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620" firstSheet="1" activeTab="1"/>
  </bookViews>
  <sheets>
    <sheet name="Uitvoer" sheetId="1" state="hidden" r:id="rId1"/>
    <sheet name="Voorblad" sheetId="2" r:id="rId2"/>
    <sheet name="Inhoud" sheetId="3" r:id="rId3"/>
    <sheet name="instructie" sheetId="4" r:id="rId4"/>
    <sheet name="Prod.1.1en1.2" sheetId="5" r:id="rId5"/>
    <sheet name="Prod.1.3." sheetId="6" r:id="rId6"/>
    <sheet name="Prod.1.4en1.5" sheetId="7" r:id="rId7"/>
    <sheet name="Opbrengsten" sheetId="8" r:id="rId8"/>
    <sheet name="Afschrijvingen" sheetId="9" r:id="rId9"/>
    <sheet name="WZV" sheetId="10" r:id="rId10"/>
    <sheet name="Instandhouding" sheetId="11" r:id="rId11"/>
    <sheet name="Afschr.inventaris" sheetId="12" r:id="rId12"/>
    <sheet name="Mutaties" sheetId="13" r:id="rId13"/>
    <sheet name="Rentecalc." sheetId="14" r:id="rId14"/>
    <sheet name="A-G" sheetId="15" r:id="rId15"/>
    <sheet name="H" sheetId="16" r:id="rId16"/>
    <sheet name="I-J" sheetId="17" r:id="rId17"/>
    <sheet name="vragen" sheetId="18" r:id="rId18"/>
    <sheet name="G1" sheetId="19" r:id="rId19"/>
  </sheets>
  <definedNames>
    <definedName name="_xlnm.Print_Area" localSheetId="8">'Afschrijvingen'!$A$1:$I$47</definedName>
    <definedName name="_xlnm.Print_Area" localSheetId="16">'I-J'!$A$1:$E$39</definedName>
    <definedName name="_xlnm.Print_Area" localSheetId="4">'Prod.1.1en1.2'!$A$1:$K$46</definedName>
    <definedName name="_xlnm.Print_Area" localSheetId="1">'Voorblad'!$A$31:$N$49</definedName>
    <definedName name="_xlnm.Print_Area" localSheetId="17">'vragen'!$A$1:$G$126</definedName>
    <definedName name="_xlnm.Print_Area" localSheetId="9">'WZV'!$A:$IV</definedName>
    <definedName name="_xlnm.Print_Titles" localSheetId="13">'Rentecalc.'!$2:$2</definedName>
    <definedName name="_xlnm.Print_Titles" localSheetId="1">'Voorblad'!$1:$16</definedName>
    <definedName name="getal_data">#REF!</definedName>
    <definedName name="kolom_data">#REF!</definedName>
    <definedName name="tabblad">#REF!</definedName>
    <definedName name="Z_60683067_AF12_11D4_9642_08005ACCD915_.wvu.PrintArea" localSheetId="14" hidden="1">'A-G'!$A:$XFD</definedName>
    <definedName name="Z_60683067_AF12_11D4_9642_08005ACCD915_.wvu.PrintArea" localSheetId="15" hidden="1">'H'!$A:$XFD</definedName>
    <definedName name="Z_60683067_AF12_11D4_9642_08005ACCD915_.wvu.PrintArea" localSheetId="16" hidden="1">'I-J'!$A:$XFD</definedName>
    <definedName name="Z_60683067_AF12_11D4_9642_08005ACCD915_.wvu.PrintArea" localSheetId="10" hidden="1">'Instandhouding'!$A:$XFD</definedName>
    <definedName name="Z_60683067_AF12_11D4_9642_08005ACCD915_.wvu.PrintArea" localSheetId="7" hidden="1">'Opbrengsten'!$A:$XFD</definedName>
    <definedName name="Z_60683067_AF12_11D4_9642_08005ACCD915_.wvu.PrintArea" localSheetId="9" hidden="1">'WZV'!$A:$XFD</definedName>
    <definedName name="Z_60683067_AF12_11D4_9642_08005ACCD915_.wvu.PrintTitles" localSheetId="13" hidden="1">'Rentecalc.'!$2:$2</definedName>
    <definedName name="Z_60683068_AF12_11D4_9642_08005ACCD915_.wvu.PrintTitles" localSheetId="14" hidden="1">'A-G'!#REF!</definedName>
    <definedName name="Z_60683068_AF12_11D4_9642_08005ACCD915_.wvu.PrintTitles" localSheetId="15" hidden="1">'H'!#REF!</definedName>
    <definedName name="Z_60683068_AF12_11D4_9642_08005ACCD915_.wvu.PrintTitles" localSheetId="16" hidden="1">'I-J'!#REF!</definedName>
    <definedName name="Z_60683068_AF12_11D4_9642_08005ACCD915_.wvu.PrintTitles" localSheetId="2" hidden="1">'Inhoud'!$2:$2</definedName>
    <definedName name="Z_60683068_AF12_11D4_9642_08005ACCD915_.wvu.PrintTitles" localSheetId="10" hidden="1">'Instandhouding'!#REF!</definedName>
    <definedName name="Z_60683068_AF12_11D4_9642_08005ACCD915_.wvu.PrintTitles" localSheetId="3" hidden="1">'instructie'!$2:$2</definedName>
    <definedName name="Z_60683068_AF12_11D4_9642_08005ACCD915_.wvu.PrintTitles" localSheetId="7" hidden="1">'Opbrengsten'!#REF!</definedName>
    <definedName name="Z_60683068_AF12_11D4_9642_08005ACCD915_.wvu.PrintTitles" localSheetId="13" hidden="1">'Rentecalc.'!$2:$2</definedName>
    <definedName name="Z_60683068_AF12_11D4_9642_08005ACCD915_.wvu.PrintTitles" localSheetId="9" hidden="1">'WZV'!#REF!</definedName>
    <definedName name="Z_60683068_AF12_11D4_9642_08005ACCD915_.wvu.Rows" localSheetId="2" hidden="1">'Inhoud'!#REF!,'Inhoud'!#REF!,'Inhoud'!#REF!</definedName>
    <definedName name="Z_60683068_AF12_11D4_9642_08005ACCD915_.wvu.Rows" localSheetId="3" hidden="1">'instructie'!#REF!,'instructie'!#REF!,'instructie'!#REF!</definedName>
    <definedName name="Z_60683068_AF12_11D4_9642_08005ACCD915_.wvu.Rows" localSheetId="13" hidden="1">'Rentecalc.'!#REF!,'Rentecalc.'!#REF!,'Rentecalc.'!#REF!,'Rentecalc.'!#REF!</definedName>
    <definedName name="Z_60683068_AF12_11D4_9642_08005ACCD915_.wvu.Rows" localSheetId="1" hidden="1">'Voorblad'!#REF!,'Voorblad'!#REF!,'Voorblad'!$38:$38,'Voorblad'!#REF!</definedName>
  </definedNames>
  <calcPr fullCalcOnLoad="1"/>
</workbook>
</file>

<file path=xl/sharedStrings.xml><?xml version="1.0" encoding="utf-8"?>
<sst xmlns="http://schemas.openxmlformats.org/spreadsheetml/2006/main" count="944" uniqueCount="711">
  <si>
    <t>(in aanv.kstn)</t>
  </si>
  <si>
    <t>Berekening nog te verwerken nacalculatie productie</t>
  </si>
  <si>
    <t>* Bij een positieve nacalculatie kunnen partijen eventueel een lager bedrag overeenkomen. Een negatieve nacalculatie kan niet worden beperkt.</t>
  </si>
  <si>
    <t xml:space="preserve">Nacalculatie </t>
  </si>
  <si>
    <t>Verschillen</t>
  </si>
  <si>
    <t>Specialisme</t>
  </si>
  <si>
    <t xml:space="preserve">Definitief </t>
  </si>
  <si>
    <t>overeengekomen</t>
  </si>
  <si>
    <t xml:space="preserve">In rekenstaat </t>
  </si>
  <si>
    <t>In gebruik ge-</t>
  </si>
  <si>
    <t>desinvestering</t>
  </si>
  <si>
    <t>Afschrijving v.</t>
  </si>
  <si>
    <t>invest.ruimte</t>
  </si>
  <si>
    <t>investerings-</t>
  </si>
  <si>
    <t>Voldoen de aanvullende inkomsten die worden aangemerkt als vrij besteedbaar, aan de voorwaarden genoemd onder artikel 4 van de beleidsregel aanvullende inkomsten zorginstellingen? Indien geen aanvullende inkomsten, kies dan "nvt".</t>
  </si>
  <si>
    <t>Is voor de langlopende leningen die geborgd zijn door het Waarborgfonds van 22 november 1999 tot 1 januari 2001, de werkelijke verschuldigde rente verhoogd met 0,6%,  gehanteerd? Indien geen langlopende leningen zijn geborgd tussen genoemde periode, kies dan "nvt".'</t>
  </si>
  <si>
    <t>Is voor de langlopende leningen, die zijn afgesloten na 1 januari 2001, het normrentepercentage gehanteerd dat overeenkomt met het normrentepercentage volgens de CTG-website rentenormering? Indien geen langlopende leningen zijn afgesloten na 1 januari 2001 kies dan "nvt".</t>
  </si>
  <si>
    <t>Is bij de leningen (met een rentefixatieperiode van minimaal twee jaar) die vervroegd zijn afgelost en vervangen door een nieuwe leningen, het juiste rente percentage toegepast? Indien er geen vervroegde aflossing en vervanging van leningen heeft plaatsgevonden, kies dan "nvt".</t>
  </si>
  <si>
    <t>Nacalculatie FB-budget</t>
  </si>
  <si>
    <t>Zijn conform model accountantsverklaring alle pagina´s van het nacalculatieformulier gewaarmerkt door de accountant?</t>
  </si>
  <si>
    <t>Afschrijving investeringen t.l.v. trekkingsrechten</t>
  </si>
  <si>
    <t>Afschrijving inventarissen</t>
  </si>
  <si>
    <t>Afschrijving inventarissen WBMV</t>
  </si>
  <si>
    <t>Flexizorgregeling</t>
  </si>
  <si>
    <t>Budgetaanpassing rentekosten</t>
  </si>
  <si>
    <t>Nog te verwerken overeengekomen nacalculatie productie</t>
  </si>
  <si>
    <t>Ingebruikgen.</t>
  </si>
  <si>
    <t>trekkingsr.</t>
  </si>
  <si>
    <t>Werkelijke opbrengsten*</t>
  </si>
  <si>
    <t>Opbrengstresultaat</t>
  </si>
  <si>
    <t>Januari</t>
  </si>
  <si>
    <t>Februari</t>
  </si>
  <si>
    <t>Maart</t>
  </si>
  <si>
    <t>April</t>
  </si>
  <si>
    <t>Mei</t>
  </si>
  <si>
    <t>Juni</t>
  </si>
  <si>
    <t>Juli</t>
  </si>
  <si>
    <t>Augustus</t>
  </si>
  <si>
    <t>September</t>
  </si>
  <si>
    <t>Oktober</t>
  </si>
  <si>
    <t>November</t>
  </si>
  <si>
    <t>December</t>
  </si>
  <si>
    <t>Overige mutaties (volgens bijlage)</t>
  </si>
  <si>
    <t>Nacalculatie productie/aanvullende inkomsten</t>
  </si>
  <si>
    <t>Kapitaalslasten</t>
  </si>
  <si>
    <t>Wordt door de instelling voor nacalculeerbare activa gebruik gemaakt van een zogenaamde BTW-constructie? a)</t>
  </si>
  <si>
    <t>Zijn er ex WTG gefinancierde vermogensbestanddelen en / of gebouwen uit de WTG-instelling overgebracht naar een andere rechtspersoon?</t>
  </si>
  <si>
    <t xml:space="preserve">Zijn er WVZ-goedgekeurde onroerende zaken (ook door beheersstichtingen en / of -vennootschappen) verkocht (zie beleidsregel Verrekening Boekwinsten)? </t>
  </si>
  <si>
    <t>Vervolg kapitaalslasten</t>
  </si>
  <si>
    <t>Zijn de aanvaardbare rentekosten berekend conform het door het CTG opgestelde calculatiemodel rentekosten?</t>
  </si>
  <si>
    <t>Is voldaan aan de regels van het protocol voor evenwichtig balansbeheer dat is opgenomen in de beleidsregel Rente?</t>
  </si>
  <si>
    <t>Overige vragen</t>
  </si>
  <si>
    <t>Zijn in het lokaal overleg overige afspraken gemaakt die van invloed zijn op de aanvaardbare kosten?</t>
  </si>
  <si>
    <t>a) Indien  gebruik wordt gemaakt van zo'n BTW-constructie voor (een deel van) de nacalculeerbare activa kunt u het CTG verzoeken om de kapitaalslasten conform de beleidsregel BTW-constructies vast te stellen. Indien een dergelijk verzoek uitblijft zijn de</t>
  </si>
  <si>
    <t>Handtekening</t>
  </si>
  <si>
    <t>KAFOV</t>
  </si>
  <si>
    <t>KRENTE</t>
  </si>
  <si>
    <t>KDOOKA</t>
  </si>
  <si>
    <t>KHUERF</t>
  </si>
  <si>
    <t>LPRIV</t>
  </si>
  <si>
    <t>VOORL</t>
  </si>
  <si>
    <t>Regel</t>
  </si>
  <si>
    <t>Registratienummer CTG</t>
  </si>
  <si>
    <t xml:space="preserve">Instelling </t>
  </si>
  <si>
    <t>Plaats</t>
  </si>
  <si>
    <t>Omschrijving</t>
  </si>
  <si>
    <t>KPVP</t>
  </si>
  <si>
    <t>%</t>
  </si>
  <si>
    <t>Installaties</t>
  </si>
  <si>
    <t>Rekenstaat</t>
  </si>
  <si>
    <t>Gewogen boekwaarde</t>
  </si>
  <si>
    <t>Factor</t>
  </si>
  <si>
    <t>Geldgever</t>
  </si>
  <si>
    <t xml:space="preserve">Saldo </t>
  </si>
  <si>
    <t>Fictief berekende lening met betrekking tot huur/leasing van inventarissen</t>
  </si>
  <si>
    <t>Kapitaal</t>
  </si>
  <si>
    <t>Algemene reserves</t>
  </si>
  <si>
    <t>Reserve aanvaardbare kosten</t>
  </si>
  <si>
    <t>Saldo resultatenrekening</t>
  </si>
  <si>
    <t>Intrest leasingcontracten</t>
  </si>
  <si>
    <t>Datum</t>
  </si>
  <si>
    <t>Voorlopige budgetmutatie</t>
  </si>
  <si>
    <t>Mutatie aanvaardbare kosten</t>
  </si>
  <si>
    <t>* In rekenstaat te vinden bij onderbouwing van de regel</t>
  </si>
  <si>
    <t>Berekening exploitatieresultaat</t>
  </si>
  <si>
    <t>&lt;&lt;&lt;</t>
  </si>
  <si>
    <t>Toelichting bij electronisch formulier:</t>
  </si>
  <si>
    <t>Instandhoudingsinvestering</t>
  </si>
  <si>
    <t>dag</t>
  </si>
  <si>
    <t>ma(a)nd(en)</t>
  </si>
  <si>
    <t>Egalisatierekening annuïteitenrente en nog te verrekenen (aanvaardbare) boeterente [(beginbalans + eindbalans) : 2]</t>
  </si>
  <si>
    <t xml:space="preserve">% </t>
  </si>
  <si>
    <t xml:space="preserve">Bedrag </t>
  </si>
  <si>
    <t xml:space="preserve">bedrag </t>
  </si>
  <si>
    <t>Afschrijving op geactiveerde rente van annuïteitenleningen</t>
  </si>
  <si>
    <t xml:space="preserve">Boekwaarde vergunningsplichtige investeringen zonder vergunning. </t>
  </si>
  <si>
    <t xml:space="preserve">Gewogen </t>
  </si>
  <si>
    <t xml:space="preserve">Factor </t>
  </si>
  <si>
    <t xml:space="preserve">Onderhanden </t>
  </si>
  <si>
    <t xml:space="preserve"> VKP´s </t>
  </si>
  <si>
    <t xml:space="preserve">In gebruik </t>
  </si>
  <si>
    <t xml:space="preserve"> genomen VKP´s </t>
  </si>
  <si>
    <t xml:space="preserve">Nog niet in </t>
  </si>
  <si>
    <t xml:space="preserve">genomen </t>
  </si>
  <si>
    <t xml:space="preserve">investeringen </t>
  </si>
  <si>
    <t xml:space="preserve">Boekwaarde </t>
  </si>
  <si>
    <t xml:space="preserve">Afschrijving </t>
  </si>
  <si>
    <t>Afschrijving</t>
  </si>
  <si>
    <t>investeringen</t>
  </si>
  <si>
    <t xml:space="preserve">gebruik genomen </t>
  </si>
  <si>
    <t xml:space="preserve">in gebruik </t>
  </si>
  <si>
    <t xml:space="preserve"> </t>
  </si>
  <si>
    <t>RUBRIEK 2: KAPITAALSLASTEN</t>
  </si>
  <si>
    <t>Jaarlijkse instandhouding</t>
  </si>
  <si>
    <t>1.5</t>
  </si>
  <si>
    <t xml:space="preserve">1.1 </t>
  </si>
  <si>
    <t xml:space="preserve">1.2 </t>
  </si>
  <si>
    <t xml:space="preserve">1.3 </t>
  </si>
  <si>
    <t xml:space="preserve">1.6 </t>
  </si>
  <si>
    <t>Totaal</t>
  </si>
  <si>
    <t>Tarief*</t>
  </si>
  <si>
    <t xml:space="preserve">2.1 </t>
  </si>
  <si>
    <t>Nacalculeerbare afschrijvingskosten</t>
  </si>
  <si>
    <t xml:space="preserve">Totaal </t>
  </si>
  <si>
    <t xml:space="preserve">Aantal </t>
  </si>
  <si>
    <t xml:space="preserve">2.2 </t>
  </si>
  <si>
    <t>Niet-nacalculeerbare afschrijvingskosten</t>
  </si>
  <si>
    <t>Instandhoudingsinvesteringen</t>
  </si>
  <si>
    <t>2.3</t>
  </si>
  <si>
    <t xml:space="preserve">Jaarlijks </t>
  </si>
  <si>
    <t xml:space="preserve">Incidenteel </t>
  </si>
  <si>
    <t>Huren onroerende goederen en erfpacht</t>
  </si>
  <si>
    <t>2.4</t>
  </si>
  <si>
    <t>Activa</t>
  </si>
  <si>
    <t>Passiva</t>
  </si>
  <si>
    <t xml:space="preserve">Aanvaardbare </t>
  </si>
  <si>
    <t xml:space="preserve">kosten </t>
  </si>
  <si>
    <t>2.7</t>
  </si>
  <si>
    <t>Doorbelaste kapitaalslasten</t>
  </si>
  <si>
    <t xml:space="preserve">Mutatie </t>
  </si>
  <si>
    <t>4.1</t>
  </si>
  <si>
    <t xml:space="preserve">Werkelijk </t>
  </si>
  <si>
    <t xml:space="preserve">Rekenstaat </t>
  </si>
  <si>
    <t xml:space="preserve">Aanschafwaarde </t>
  </si>
  <si>
    <t xml:space="preserve">Afschrijvingen </t>
  </si>
  <si>
    <t xml:space="preserve">Datum </t>
  </si>
  <si>
    <t xml:space="preserve">Besteed </t>
  </si>
  <si>
    <t>Onderhanden bouwprojecten normale WZV-procedures</t>
  </si>
  <si>
    <t xml:space="preserve">A. </t>
  </si>
  <si>
    <t>B.</t>
  </si>
  <si>
    <t xml:space="preserve">C. </t>
  </si>
  <si>
    <t>Werkelijke boekwaarde instandhoudingsinvesteringen</t>
  </si>
  <si>
    <t xml:space="preserve">D. </t>
  </si>
  <si>
    <t xml:space="preserve">E. </t>
  </si>
  <si>
    <t>Normatieve boekwaarde medische en overige inventarissen</t>
  </si>
  <si>
    <t xml:space="preserve">Afschrijvingen* </t>
  </si>
  <si>
    <t xml:space="preserve">F. </t>
  </si>
  <si>
    <t>Lokale prod.gebonden toeslag</t>
  </si>
  <si>
    <t>Afschrijving op afsluitkosten, emissie- en leningskosten (voor zover niet in afschrijvingen immat. activa en exclusief afschr. disagio waarborgfonds)</t>
  </si>
  <si>
    <t>Categorale ziekenhuizen (011)</t>
  </si>
  <si>
    <t>Beleidsregelbedragen algemene ziekenhuizen (ter informatie)</t>
  </si>
  <si>
    <t>klinische adherentie</t>
  </si>
  <si>
    <t>poliklinische adherentie</t>
  </si>
  <si>
    <t>gewogen specialisten eenheden</t>
  </si>
  <si>
    <t>erkende bedden</t>
  </si>
  <si>
    <t>toeslag regio A</t>
  </si>
  <si>
    <t>toeslag regio B</t>
  </si>
  <si>
    <t>toeslag regio C</t>
  </si>
  <si>
    <t>toeslag regio D</t>
  </si>
  <si>
    <t>bed brandwonden</t>
  </si>
  <si>
    <t>bed chr.beademing</t>
  </si>
  <si>
    <t>bed neurochirurgie</t>
  </si>
  <si>
    <t>bed neonatologie</t>
  </si>
  <si>
    <t>post-IC high care bed</t>
  </si>
  <si>
    <t>hartoperaties</t>
  </si>
  <si>
    <t>ptca's</t>
  </si>
  <si>
    <t>stents</t>
  </si>
  <si>
    <t>AICD-implantatie</t>
  </si>
  <si>
    <t>catheterablatie</t>
  </si>
  <si>
    <t xml:space="preserve">Bijlage 2 bij circulaire CDAE/amer/CI/05/23c </t>
  </si>
  <si>
    <t>A.M.L. beenmergtranspl.</t>
  </si>
  <si>
    <t>neurostimulatoren bij pijnbestrijding</t>
  </si>
  <si>
    <t>plaatsing eenz.stimulator bij bew.st.</t>
  </si>
  <si>
    <t>plaatsing tweez.stimulator bij bew.st.</t>
  </si>
  <si>
    <t>vervanging eenz.stimulator bij bew.st.</t>
  </si>
  <si>
    <t>vervanging tweez.stimulator bij bew.st.</t>
  </si>
  <si>
    <t>opname neonatale IC</t>
  </si>
  <si>
    <t>beademingsdagen IC</t>
  </si>
  <si>
    <t>cataracten</t>
  </si>
  <si>
    <t>knieen</t>
  </si>
  <si>
    <t>heupen</t>
  </si>
  <si>
    <t>brachytherapie eenvoudig D621</t>
  </si>
  <si>
    <t>brachytherapie standaard D622</t>
  </si>
  <si>
    <t>brachytherapie intensief D623</t>
  </si>
  <si>
    <t>brachytherapie bijzonder D624</t>
  </si>
  <si>
    <t>in vitro fertilisatie</t>
  </si>
  <si>
    <t>hiv-opname</t>
  </si>
  <si>
    <t>hiv-verpleegdag</t>
  </si>
  <si>
    <t>hiv-polikl.bezoek</t>
  </si>
  <si>
    <t>hiv-dagverpleging</t>
  </si>
  <si>
    <t>haemodialyses (H1)</t>
  </si>
  <si>
    <t>CAPD-dgn (H2)</t>
  </si>
  <si>
    <t>haemodialyses (H4)</t>
  </si>
  <si>
    <t>CAPD-dgn (H5)</t>
  </si>
  <si>
    <t>Thuisdialyse (W7)</t>
  </si>
  <si>
    <t>Thuisdialyse (W8)</t>
  </si>
  <si>
    <t>Thuisdialyse (W9)</t>
  </si>
  <si>
    <t>Thuisdialyse (W10)</t>
  </si>
  <si>
    <t>CCPD (W11)</t>
  </si>
  <si>
    <t>CCPD (W12)</t>
  </si>
  <si>
    <t>RBU</t>
  </si>
  <si>
    <t>hartrevalidatie</t>
  </si>
  <si>
    <t>opname-1</t>
  </si>
  <si>
    <t>opname-2</t>
  </si>
  <si>
    <t>verpleegdag-1</t>
  </si>
  <si>
    <t>verpleegdag-2</t>
  </si>
  <si>
    <t>1e polikl.bezoeker-1</t>
  </si>
  <si>
    <t xml:space="preserve">1e polikl.bezoeker-2 </t>
  </si>
  <si>
    <t>dagverpleging-1</t>
  </si>
  <si>
    <t>dagverpleging-2</t>
  </si>
  <si>
    <t>"zware" dagverpleging-1</t>
  </si>
  <si>
    <t>"zware" dagverpleging-2</t>
  </si>
  <si>
    <t>M14 - 1</t>
  </si>
  <si>
    <t>M14 - 2</t>
  </si>
  <si>
    <t>poliklinische bevalling -1</t>
  </si>
  <si>
    <t>poliklinische bevalling -2</t>
  </si>
  <si>
    <t xml:space="preserve">cervix-onderzoeken </t>
  </si>
  <si>
    <t>lab.1e lijn huisbezoek</t>
  </si>
  <si>
    <t>lab.1e lijn  afnames-1</t>
  </si>
  <si>
    <t>lab.1e lijn  afnames-2</t>
  </si>
  <si>
    <t>lab.1e lijn analyses</t>
  </si>
  <si>
    <t>trombotest</t>
  </si>
  <si>
    <t>zelfmeting bloedst.waarden training</t>
  </si>
  <si>
    <t>zelfmeting bloedst.waarden begeleiding</t>
  </si>
  <si>
    <t>rontgenonderzoeken</t>
  </si>
  <si>
    <t>functieonderzoeken</t>
  </si>
  <si>
    <t>ergotherapie</t>
  </si>
  <si>
    <t>fysiotherapie/logopedie</t>
  </si>
  <si>
    <t>PTCA</t>
  </si>
  <si>
    <t>IVF</t>
  </si>
  <si>
    <t>A010</t>
  </si>
  <si>
    <t>D300</t>
  </si>
  <si>
    <t>CAPD</t>
  </si>
  <si>
    <t>D320</t>
  </si>
  <si>
    <t>D321</t>
  </si>
  <si>
    <t>CAPD met EPO</t>
  </si>
  <si>
    <t>D310</t>
  </si>
  <si>
    <t>D311</t>
  </si>
  <si>
    <t>D312</t>
  </si>
  <si>
    <t>D313</t>
  </si>
  <si>
    <t>D330</t>
  </si>
  <si>
    <t>CCPD met dialysemiddelen</t>
  </si>
  <si>
    <t>D331</t>
  </si>
  <si>
    <t>CCPD met dialysemiddelen met EPO</t>
  </si>
  <si>
    <t>D333</t>
  </si>
  <si>
    <t>Opnamen</t>
  </si>
  <si>
    <t>Verpleegdagen</t>
  </si>
  <si>
    <t>Dagverplegingen</t>
  </si>
  <si>
    <t>Eerste polikl.bezoeken</t>
  </si>
  <si>
    <t>Hartoperaties</t>
  </si>
  <si>
    <t>Stents</t>
  </si>
  <si>
    <t>Poliklinische toediening cytostatica</t>
  </si>
  <si>
    <t>Hemodialyse</t>
  </si>
  <si>
    <t>Hemodialyse met EPO</t>
  </si>
  <si>
    <t>Thuisdialyse</t>
  </si>
  <si>
    <t>Idem met EPO</t>
  </si>
  <si>
    <t>Idem met VDA</t>
  </si>
  <si>
    <t>Idem met EPO + VDA</t>
  </si>
  <si>
    <t>Is de Regeling Jaarverslaggeving Zorginstellingen (inclusief consolidatie) toegepast?</t>
  </si>
  <si>
    <t>Ontvangt u aanvullende inkomsten (zoals bijvoorbeeld opbrengst buitenlandse patiënten) die dienen ter dekking van het WTG-budget, die vallen onder artikel 3.2 van de beleidsregel aanvullende inkomsten zorginstellingen? Indien geen aanvullende inkomsten, kies dan "nvt".</t>
  </si>
  <si>
    <t>nervus vagus plaatsing</t>
  </si>
  <si>
    <t>nervus vagus vervanging</t>
  </si>
  <si>
    <t>brachytherapie bijzonder D625</t>
  </si>
  <si>
    <t>1.3</t>
  </si>
  <si>
    <t>1.5.1</t>
  </si>
  <si>
    <t>1.5.2</t>
  </si>
  <si>
    <t xml:space="preserve"> Op regel 2314 kan de boekwaarde van vergunningsplichtige investeringen zonder vergunning in mindering worden gebracht. Dit betreft investeringen waarvoor, om voor nacalculatie in aanmerking te komen, een vergunning is vereist, maar welke niet is afgegeven. Het kan ook gaan om een overschrijding van een vergunning. De investeringen zijn gedaan ten behoeve van de instelling en er is geen titel om de daarmee samenhangende kapitaalslasten door te berekenen aan derden. </t>
  </si>
  <si>
    <t>De rente van lange leningen op regel 2317 dient te corresponderen met de leningen die in het overzicht onder G zijn vermeld. Boeterente als gevolg van het converteren van leningen (voor 2001) wordt afgeschreven over een variabele periode. De lengte van de periode wordt berekend door het bedrag van de boeterente te delen door het rentevoordeel dat in het eerste jaar na de conversiedatum wordt behaald.</t>
  </si>
  <si>
    <t>De berekening van de rentekosten is als gevolg van het ingevoerde protocol voor evenwichtig balansbeheer aangepast. Op regel 1614 wordt berekend welk bedrag de instelling 'teveel' kort heeft gefinancierd. Over dit bedrag wordt een rentecorrectie berekend van 1,5%. Op regel 1615 wordt de mogelijkheid geboden een aanpassing van de berekende overschrijding voor te stellen. Dit is vooral bedoeld voor leningen die tussen 1 januari en 1 april 2001 zijn afgesloten. Het CTG beschouwt deze leningen als ware zij afgesloten per 1 januari 2001.</t>
  </si>
  <si>
    <t>Capaciteitsmutaties (pagina 8)</t>
  </si>
  <si>
    <t>Werkelijke opbrengsten (pagina 9)</t>
  </si>
  <si>
    <t>Specificatie aanvullende inkomsten (pagina 9)</t>
  </si>
  <si>
    <t>Nacalculeerbare afschrijvingskosten (pagina 10)</t>
  </si>
  <si>
    <t>Specificatie in gebruikgenomen nacalculeerbare investeringen (pagina 11 en 12)</t>
  </si>
  <si>
    <t>Investeringen in instandhouding (WZV-meldingsplichtige vaste activa) (pagina 13)</t>
  </si>
  <si>
    <t>Afschrijvingskosten medische en overige inventarissen (pagina 14)</t>
  </si>
  <si>
    <t>Agio´s in loondienst</t>
  </si>
  <si>
    <t>Vrijgevestigde agio´s</t>
  </si>
  <si>
    <t>Zijn de vergoedingen voor de loonkosten agio´s reeds in de rekenstaat verwerkt?</t>
  </si>
  <si>
    <t>ja / nee</t>
  </si>
  <si>
    <t>Met betrekking tot 2003</t>
  </si>
  <si>
    <t>Indien bovenstaande vraag ontkennend is beantwoord, vermeld dan hier het te verwerken bedrag</t>
  </si>
  <si>
    <t>Maximaal mee te nemen: 4,5% van de aanvaardbare kosten op kasbasis conform nacalculatieformulier voor budgetaanpassing rente (regel 1517)</t>
  </si>
  <si>
    <t>Normatief werkkapitaal</t>
  </si>
  <si>
    <t xml:space="preserve">Norm. Boekwaarde </t>
  </si>
  <si>
    <t>Langlopende leningen (incl. langlopende leasecontracten)</t>
  </si>
  <si>
    <t xml:space="preserve">G. </t>
  </si>
  <si>
    <t xml:space="preserve">H. </t>
  </si>
  <si>
    <t>Eigen vermogen</t>
  </si>
  <si>
    <t xml:space="preserve">I. </t>
  </si>
  <si>
    <t>4.2</t>
  </si>
  <si>
    <t>4.3</t>
  </si>
  <si>
    <t>Nog in de tarieven te verrekenen</t>
  </si>
  <si>
    <t>TOELICHTING / INVULINSTRUCTIE</t>
  </si>
  <si>
    <t>Boekwaarde investeringen waarvoor vergunning is verleend</t>
  </si>
  <si>
    <t>Vrijvallende afschrijvingen</t>
  </si>
  <si>
    <t>Afschrijvingen nieuw</t>
  </si>
  <si>
    <t xml:space="preserve">Aanschafw. </t>
  </si>
  <si>
    <t>1.7</t>
  </si>
  <si>
    <t>Nacalculatie</t>
  </si>
  <si>
    <t>Contactpersoon</t>
  </si>
  <si>
    <t>Telefoon</t>
  </si>
  <si>
    <t>Fax</t>
  </si>
  <si>
    <t>E-mail</t>
  </si>
  <si>
    <t>(datum)</t>
  </si>
  <si>
    <t>(naam)</t>
  </si>
  <si>
    <t>(handtekening)</t>
  </si>
  <si>
    <t>Ondertekening namens het orgaan voor de gezondheidszorg:</t>
  </si>
  <si>
    <t>Medewerker</t>
  </si>
  <si>
    <t>Niet invullen</t>
  </si>
  <si>
    <t>Aanvraag</t>
  </si>
  <si>
    <t>INHOUDSOPGAVE</t>
  </si>
  <si>
    <t>1.4</t>
  </si>
  <si>
    <t>RUBRIEK 3: OVERZICHT MUTATIES</t>
  </si>
  <si>
    <t>Specificatie investeringen in instandhouding (WZV-meldingsplichtige vaste activa)</t>
  </si>
  <si>
    <t>t.l.v. trekk.recht.</t>
  </si>
  <si>
    <t>Afschrijvingskosten medische en overige inventarissen</t>
  </si>
  <si>
    <t>Budgetaanpassing medische en overige inventarissen(goedkeuringsbrieven VWS toevoegen)</t>
  </si>
  <si>
    <t>Korting toepassing beleidsregel investeringen(zie berekening hieronder)</t>
  </si>
  <si>
    <t>Totaal budgetaanpassing</t>
  </si>
  <si>
    <t>Goedgekeurde investeringsbedrag</t>
  </si>
  <si>
    <t>Kortingspercentage</t>
  </si>
  <si>
    <t>Budgetaanpassing i.v.m. vrijval artikel 2 WMBV functies (voor zover nog niet verrekend in het budget)</t>
  </si>
  <si>
    <t>Budgetaanpassing i.v.m. met goedkeuring WZV voor uitbreiding artikel 2- WBMV functiesgoedkeuringsbrieven VWS toevoegen</t>
  </si>
  <si>
    <t>RUBRIEK 4: Exploitatieresultaat</t>
  </si>
  <si>
    <t>Eventuele vordering vakantiegeldverplichting (volgens de balans per 1 januari van het jaar van invoering van het budgetsysteem)</t>
  </si>
  <si>
    <t>Grond</t>
  </si>
  <si>
    <t>2.6</t>
  </si>
  <si>
    <t>2.8</t>
  </si>
  <si>
    <t xml:space="preserve">Werkelijke </t>
  </si>
  <si>
    <t xml:space="preserve">rente** </t>
  </si>
  <si>
    <t>HOND</t>
  </si>
  <si>
    <t>Code</t>
  </si>
  <si>
    <t>1.8</t>
  </si>
  <si>
    <t>Positie eigen vermogen Ribw</t>
  </si>
  <si>
    <t>CEO</t>
  </si>
  <si>
    <t xml:space="preserve"> (t.b.v. definitieve afrekening met zorgkantoor)</t>
  </si>
  <si>
    <t>Cellen waar met haakjes (    ) is aangegeven dat een negatief bedrag wordt verwacht, kunnen worden gevuld met positieve bedragen. Het programma rekent deze celllen automatisch om; bij een totaaltelling worden ze negatief in de som opgenomen.</t>
  </si>
  <si>
    <t>3.1</t>
  </si>
  <si>
    <t>3.2</t>
  </si>
  <si>
    <t>3.3</t>
  </si>
  <si>
    <t>BIJLAGEN RENTENORMERING</t>
  </si>
  <si>
    <t>K.</t>
  </si>
  <si>
    <t xml:space="preserve">Aanvullende informatie </t>
  </si>
  <si>
    <t xml:space="preserve">onderbesteding </t>
  </si>
  <si>
    <t xml:space="preserve">overbesteding/ </t>
  </si>
  <si>
    <t xml:space="preserve">Exploitatiekosten** </t>
  </si>
  <si>
    <t>nr.</t>
  </si>
  <si>
    <t>cat.</t>
  </si>
  <si>
    <t>Bedrag</t>
  </si>
  <si>
    <t>Nummer brief VWS/CBZ</t>
  </si>
  <si>
    <t>Omschrijving project 1.</t>
  </si>
  <si>
    <t>Goedgekeurd bedrag</t>
  </si>
  <si>
    <t>Omschrijving project 2.</t>
  </si>
  <si>
    <t>Omschrijving project 4.</t>
  </si>
  <si>
    <t>Omschrijving project 3.</t>
  </si>
  <si>
    <t>Omschrijving project 5.</t>
  </si>
  <si>
    <t>Omschrijving project 7.</t>
  </si>
  <si>
    <t>Omschrijving project 6.</t>
  </si>
  <si>
    <t>Omschrijving project 8.</t>
  </si>
  <si>
    <t>Te verklaren verschillen</t>
  </si>
  <si>
    <t xml:space="preserve">Totaalbedrag </t>
  </si>
  <si>
    <t>Gegevens meldingsbrief  CbZ</t>
  </si>
  <si>
    <t xml:space="preserve">Normatieve </t>
  </si>
  <si>
    <t xml:space="preserve">afschrijvingen* </t>
  </si>
  <si>
    <t xml:space="preserve">boekwaarde </t>
  </si>
  <si>
    <t>Einddatum</t>
  </si>
  <si>
    <t>Werk.</t>
  </si>
  <si>
    <t>Norm.</t>
  </si>
  <si>
    <t>N,W,</t>
  </si>
  <si>
    <t>of V</t>
  </si>
  <si>
    <t>rentebedrag</t>
  </si>
  <si>
    <t>Aanvaardbaar</t>
  </si>
  <si>
    <t>Overschrijding bedrag kort gefinancierd</t>
  </si>
  <si>
    <t>2.1</t>
  </si>
  <si>
    <t>2.2</t>
  </si>
  <si>
    <t>2.5</t>
  </si>
  <si>
    <t>RUBRIEK 3: KAPITAALSLASTEN</t>
  </si>
  <si>
    <t>3.4</t>
  </si>
  <si>
    <t>3.5</t>
  </si>
  <si>
    <t>RUBRIEK 4: OVERZICHT MUTATIES</t>
  </si>
  <si>
    <t>Overige bijlagen</t>
  </si>
  <si>
    <t>Algemeen</t>
  </si>
  <si>
    <t>Mutatie op overschrijding  (verzoek onderbouwen)</t>
  </si>
  <si>
    <t>afschrijving</t>
  </si>
  <si>
    <t>Immateriële vaste activa</t>
  </si>
  <si>
    <t>Gebouwen</t>
  </si>
  <si>
    <t>Huur en leasing voor gebouwen / installaties</t>
  </si>
  <si>
    <t>Subtotaal</t>
  </si>
  <si>
    <t>Niet aanvaarde afschrijvingskosten</t>
  </si>
  <si>
    <t>Budgetaanpassing in verband met WZV-goedkeuring medische en overige inventarissen</t>
  </si>
  <si>
    <t>Toepassing kortingspercentages</t>
  </si>
  <si>
    <t>Budgetaanpassing artikel 2 WBMV functies</t>
  </si>
  <si>
    <t>Doorberekende kapitaalslasten</t>
  </si>
  <si>
    <t>Mutatie</t>
  </si>
  <si>
    <t>Honoraria voor medisch specialistische hulp (loondienst)</t>
  </si>
  <si>
    <t>Overige vergoedingen ter dekking van het budget</t>
  </si>
  <si>
    <t>Overige opbrengsten</t>
  </si>
  <si>
    <t>Te dekken door opbrengsten</t>
  </si>
  <si>
    <t>Berekende</t>
  </si>
  <si>
    <t xml:space="preserve">rente </t>
  </si>
  <si>
    <t>Normatief</t>
  </si>
  <si>
    <t>Rentekosten langlopende leningen</t>
  </si>
  <si>
    <t>Afschrijving op tot en met 2000 betaalde boeterente van conversies (berekening bijvoegen)</t>
  </si>
  <si>
    <t xml:space="preserve">Gewogen schuld per periode (1 januari-data aflossingen-31 december) </t>
  </si>
  <si>
    <t>Berekening  gewogen schuld en rentekosten</t>
  </si>
  <si>
    <t>normrente</t>
  </si>
  <si>
    <t>schuld</t>
  </si>
  <si>
    <t>Specificatie in gebruikgenomen nacalculeerbare investeringen</t>
  </si>
  <si>
    <t>Vervolg specificatie in gebruik genomen nacalculeerbare investeringen</t>
  </si>
  <si>
    <t>rentevastper.</t>
  </si>
  <si>
    <t>1)</t>
  </si>
  <si>
    <t>Pag.</t>
  </si>
  <si>
    <t>Minimaal te financieren met langlopende leningen</t>
  </si>
  <si>
    <t>Kenmerk</t>
  </si>
  <si>
    <t>Onderhanden bouwprojecten  met WZV vergunning (geen investeringen meldingsregeling)</t>
  </si>
  <si>
    <t>Werkelijke boekwaarde instandhoudingsinvesteringen (inclusief onderhanden werk)</t>
  </si>
  <si>
    <t>In rekenstaat</t>
  </si>
  <si>
    <t>neventarief*</t>
  </si>
  <si>
    <t>Zorgverzekeraar 1</t>
  </si>
  <si>
    <t>Zorgverzekeraar 2</t>
  </si>
  <si>
    <t>Zorgverz. Nederland</t>
  </si>
  <si>
    <t>CALCULATIEMODEL RENTEKOSTEN</t>
  </si>
  <si>
    <t>BIJLAGEN BIJ CALCULATIEMODEL RENTEKOSTEN</t>
  </si>
  <si>
    <t>1) Voor oude leningen (w) in de kolom "aanvaardbare rentekosten" het werkelijke rentebedrag vermelden</t>
  </si>
  <si>
    <t xml:space="preserve">3. In de kolom 'N, W of V' moet een 'W' worden vermeld voor bestaande leningen waarvoor de werkelijke rentekosten aanvaardbaar zijn.  U vermeldt een 'V' als sprake is van een na 31 december 2000 afgesloten lening waarvoor een normrente is vastgesteld en die in de plaats komt van een vervroegd afgeloste lening. U vermeldt een 'N' wanneer voor de lening een normatief percentage is vastgesteld en er geen sprake is van vervanging van een vervroegd afgeloste lening. </t>
  </si>
  <si>
    <t>Nadat de periode, waarin voor de berekening van de aanvaardbare rentekosten werd uitgegaan van het rentepercentage van de oude lening, is verstreken dient u in de kolom 'einddatum rentevastperiode' de einddatum van de vervangende lening te vermelden en in de kolom '%werkelijk' het werkelijke rentepercentage van de vervangende lening.</t>
  </si>
  <si>
    <t>Nieuwe leningen kunt u in dit overzicht opnemen door de storting te verwerken als een negatieve aflossing. Als op de nieuwe lening in hetzelfde jaar nog wordt afgelost, kunnen deze aflossingen op een aparte regel worden verwerkt.</t>
  </si>
  <si>
    <t>Mutaties januari</t>
  </si>
  <si>
    <t>Mutaties februari</t>
  </si>
  <si>
    <t>Mutaties maart</t>
  </si>
  <si>
    <t>Mutaties april</t>
  </si>
  <si>
    <t>Mutaties mei</t>
  </si>
  <si>
    <t>Mutaties juni</t>
  </si>
  <si>
    <t>Mutaties juli</t>
  </si>
  <si>
    <t>Mutaties augustus</t>
  </si>
  <si>
    <t>Mutaties september</t>
  </si>
  <si>
    <t>Mutaties oktober</t>
  </si>
  <si>
    <t>Mutaties november</t>
  </si>
  <si>
    <t>Mutaties december</t>
  </si>
  <si>
    <t>Factor kolom 1</t>
  </si>
  <si>
    <t>Factor kolom 2</t>
  </si>
  <si>
    <t>Uitgevoerde nog niet</t>
  </si>
  <si>
    <t>Gefactureerd in januari</t>
  </si>
  <si>
    <t>Gefactureerd in februari</t>
  </si>
  <si>
    <t>Gefactureerd in maart</t>
  </si>
  <si>
    <t>Gefactureerd in april</t>
  </si>
  <si>
    <t>Gefactureerd in mei</t>
  </si>
  <si>
    <t>Gefactureerd in juni</t>
  </si>
  <si>
    <t>Gefactureerd in juli</t>
  </si>
  <si>
    <t>Gefactureerd in augustus</t>
  </si>
  <si>
    <t>Gefactureerd in september</t>
  </si>
  <si>
    <t>Gefactureerd in oktober</t>
  </si>
  <si>
    <t>Gefactureerd in november</t>
  </si>
  <si>
    <t>Gefactureerd in december</t>
  </si>
  <si>
    <t xml:space="preserve">in gebruik genomen </t>
  </si>
  <si>
    <t>Aantal extra bijlagen bij het nacalculatieformulier:</t>
  </si>
  <si>
    <t xml:space="preserve">FB-budget </t>
  </si>
  <si>
    <t>loon</t>
  </si>
  <si>
    <t>mat.</t>
  </si>
  <si>
    <t>loonkosten</t>
  </si>
  <si>
    <t>mat.kosten</t>
  </si>
  <si>
    <t>teletherapie eenvoudig D611</t>
  </si>
  <si>
    <t>teletherapie standaard D612</t>
  </si>
  <si>
    <t>teletherapie intensief D613</t>
  </si>
  <si>
    <t>teletherapie bijzonder D614</t>
  </si>
  <si>
    <t>Opbrengst flexizorg / transmuraal</t>
  </si>
  <si>
    <t>Diverse baten en lasten:</t>
  </si>
  <si>
    <t>Zorgprestaties tussen instellingen (WDS)</t>
  </si>
  <si>
    <t>Zorgprestaties derde compartiment</t>
  </si>
  <si>
    <t>Overige zorgprestaties</t>
  </si>
  <si>
    <t>Overige subsidies</t>
  </si>
  <si>
    <t>Aanvullende inkomsten (niet ter dekking van het budget)</t>
  </si>
  <si>
    <t>Totaal opbrengsten ter dekking van het budget</t>
  </si>
  <si>
    <t>Nacalculeerbare afschrijvingskosten (normale en verkorte procedures)</t>
  </si>
  <si>
    <t>Terreinvoorzieningen</t>
  </si>
  <si>
    <t>Verbouwingen</t>
  </si>
  <si>
    <t>Afschrijvings-</t>
  </si>
  <si>
    <t>percentages</t>
  </si>
  <si>
    <t>Afschrijvingen</t>
  </si>
  <si>
    <t>Mutaties aanvaardbare kosten</t>
  </si>
  <si>
    <t>Aanvaardbare</t>
  </si>
  <si>
    <t>kosten</t>
  </si>
  <si>
    <t>Immat. vaste activa</t>
  </si>
  <si>
    <t>Terreinvoorz.</t>
  </si>
  <si>
    <t>Instandhoudingsinvesteringen (WZV-meldingsplichtige vaste activa)</t>
  </si>
  <si>
    <t>Incidentele instandhouding (trekkingsrechten)</t>
  </si>
  <si>
    <t>Saldo</t>
  </si>
  <si>
    <t>Structurele</t>
  </si>
  <si>
    <t>Bedrag investering</t>
  </si>
  <si>
    <t>(in gebruik genomen)</t>
  </si>
  <si>
    <t>t.l.v. jaarl. Insth.</t>
  </si>
  <si>
    <t>Mut.afschr.</t>
  </si>
  <si>
    <t>Is voor de bepaling van de voor nacalculatie in aanmerking te nemen kosten van de geneesmiddelen uitgegaan van de netto inkoopprijs, dat wil zeggen de inkoopprijs (volgens taxe) na aftrek van eventuele kortingen en bonussen?</t>
  </si>
  <si>
    <t>Het electronische formulier is beveiligd met een wachtwoord. Dit betekent dat in het formulier geen veranderingen kunnen worden aangebracht. Als toch de wens of de noodzaak bestaat om van het formulier af te wijken, dan kunt u dit verwerken onder de overige mutaties op regel 1514.</t>
  </si>
  <si>
    <t>Op regel 1701 dient u de samenstelling van de boekwaarde per 31 december  2003 volgens de jaarrekening op te nemen. Deze gegevens zijn exclusief de kosten voor onderhanden projecten van normale WZV-procedures. Op regel 1703 t/m 1714 vermeldt u in de eerste kolom de aanschafwaarde van (des)investeringen die in 2004 in gebruik zijn genomen c.q. buiten gebruik zijn gesteld. In de tweede kolom dient u de maandelijkse nacalculeerbare afschrijvingskosten te vermelden. Bij desinvesteringen vermeldt u in deze kolom ook de bedragen die tot dan toe in totaal op deze investeringen zijn afgeschreven.</t>
  </si>
  <si>
    <t>Is de berekening van de doorberekende kapitaalslasten juist en volledig, conform de beleidsregel aanvullende inkomsten? Indien geen doorberekende kapitaalslasten, kies dan "nvt".</t>
  </si>
  <si>
    <t>Hebben de lokale partijen verklaard dat zij de projecten die worden gedekt uit de lokale produktiegebonden toeslag hebben beoordeeld met inachtneming van de in de beleidsregel lokale produktiegebonden toeslag opgenomen criteria?</t>
  </si>
  <si>
    <t>Vrijval afschrijving</t>
  </si>
  <si>
    <t>bedrag rekenst.(-/-)</t>
  </si>
  <si>
    <t xml:space="preserve">Jaar </t>
  </si>
  <si>
    <t>Jaar</t>
  </si>
  <si>
    <t xml:space="preserve">bedrag* </t>
  </si>
  <si>
    <t>*) Vermeld hier het aflossingsbedrag per aflossingsmoment</t>
  </si>
  <si>
    <t>RUBRIEK 1: NACALCULATIE PRODUCTIE</t>
  </si>
  <si>
    <t xml:space="preserve">D  </t>
  </si>
  <si>
    <t>Normatieve boekwaarde medische en overige inventarissen artikel 2 WBMV apparatuur</t>
  </si>
  <si>
    <t>F.</t>
  </si>
  <si>
    <t>Nog in tarieven te verrekenen kosten/opbrengsten</t>
  </si>
  <si>
    <t>Eventuele correctie voorgaande jaren</t>
  </si>
  <si>
    <t>1/12 van het budget</t>
  </si>
  <si>
    <t>Gedeclareerd</t>
  </si>
  <si>
    <t>Bestemmingsreserves</t>
  </si>
  <si>
    <t>Reserve afschrijving inventarissen</t>
  </si>
  <si>
    <t xml:space="preserve">Overige reserves </t>
  </si>
  <si>
    <t>Egalisatierekening afschrijving instandhoudingsinvesteringen</t>
  </si>
  <si>
    <t>Overige egalisatierekeningen</t>
  </si>
  <si>
    <t>Voorziening groot onderhoud</t>
  </si>
  <si>
    <t xml:space="preserve">Overige voorzieningen </t>
  </si>
  <si>
    <t>Nacalculatie lokale productiegebonden component</t>
  </si>
  <si>
    <t>1.</t>
  </si>
  <si>
    <t>Parameterwaarden</t>
  </si>
  <si>
    <t>Verschil</t>
  </si>
  <si>
    <t>Realisatie</t>
  </si>
  <si>
    <t>Volgens</t>
  </si>
  <si>
    <t>Definitief overeen-</t>
  </si>
  <si>
    <t>Versie</t>
  </si>
  <si>
    <t>Uitgevoerd en gefactureerd in januari</t>
  </si>
  <si>
    <t>Uitgevoerd en gefactureerd in februari</t>
  </si>
  <si>
    <t>Uitgevoerd en gefactureerd in maart</t>
  </si>
  <si>
    <t>De werkbladen zijn met een wachtwoord beveiligd. U kunt zelf werkbladen toevoegen. Indien u een onjuistheid ondekt verzoeken wij u dit via e-mail aan het CTG door te geven (kamer1@ctgzorg.nl).</t>
  </si>
  <si>
    <t>D./E.</t>
  </si>
  <si>
    <t>G.</t>
  </si>
  <si>
    <t>Nog in tarieven te verrekenen</t>
  </si>
  <si>
    <t xml:space="preserve">J. </t>
  </si>
  <si>
    <t>Uitgevoerd en gefactureerd in april</t>
  </si>
  <si>
    <t>Uitgevoerd en gefactureerd in mei</t>
  </si>
  <si>
    <t>Uitgevoerd en gefactureerd in juni</t>
  </si>
  <si>
    <t>Uitgevoerd en gefactureerd in juli</t>
  </si>
  <si>
    <t>Uitgevoerd en gefactureerd in augustus</t>
  </si>
  <si>
    <t>Uitgevoerd en gefactureerd in september</t>
  </si>
  <si>
    <t>Uitgevoerd en gefactureerd in oktober</t>
  </si>
  <si>
    <t>Uitgevoerd en gefactureerd in november</t>
  </si>
  <si>
    <t>Uitgevoerd en gefactureerd in december</t>
  </si>
  <si>
    <t>Aantal agio´s meegenomen bij herijking</t>
  </si>
  <si>
    <t>Loondienst</t>
  </si>
  <si>
    <t>Vrijgevestigd</t>
  </si>
  <si>
    <t>Opbrengst buitenlandse patienten</t>
  </si>
  <si>
    <t>Bijlage met beleidsregelbedragen algemene ziekenhuizen</t>
  </si>
  <si>
    <t xml:space="preserve">Met de CTG-circulaires Ho/at/94/A/03c, d.d. 6 september 1994, en Hu/at/I/96/04c, d.d. 12 februari 1996, hebben wij uw aandacht gevraagd voor de voorgeschreven boekingswijze van opbrengsten en kosten. In deze circulaires wordt aangegeven dat alle activiteiten die in rekening worden gebracht voor gezondheidszorgprestaties als opbrengsten ter dekking voor het wettelijk budget moeten worden verantwoord met uitzondering van de opbrengsten in het kader van WDS. Vanaf 1 januari 1999 is de beleidsregel "aanvullende inkomsten zorginstellingen" van kracht. Opbrengsten die vallen onder deze beleidsregel hoeven niet ter dekking van het budget te worden aangewend (zie circulaires PS/tbk/A/99/08c en JM/at/A/99/12c). Betalingen door buitenlandse patiënten of verzekeraars, betalingen door werkgevers van patiënten en de in rekening gebrachte tarieven door aan de instelling verbonden dochtermaatschappen (bedrijven-poliklinieken, buitenpoliklinieken en -praktijken, zotels, etc.) dienen door u als opbrengst verantwoord te worden.
</t>
  </si>
  <si>
    <t>Nacalculatie productie (pagina 6)</t>
  </si>
  <si>
    <t>gekomen bedrag*</t>
  </si>
  <si>
    <t>Aanpassing loonkosten medisch specialisten</t>
  </si>
  <si>
    <t>(alleen voor specialisten in loondienst)</t>
  </si>
  <si>
    <t>Aanpassing</t>
  </si>
  <si>
    <t xml:space="preserve">Budgetaanpassing in verband met verschil tussen overeengekomen en in rekenstaat verwerkte specialisten </t>
  </si>
  <si>
    <t>budget loonkosten*</t>
  </si>
  <si>
    <t xml:space="preserve">Dure geneesmiddelen </t>
  </si>
  <si>
    <t>Opbrengst uit</t>
  </si>
  <si>
    <t>Perc.van</t>
  </si>
  <si>
    <t>Opnemen in</t>
  </si>
  <si>
    <t xml:space="preserve">declaraties </t>
  </si>
  <si>
    <t>opbrengst in</t>
  </si>
  <si>
    <t>budget</t>
  </si>
  <si>
    <t>opgenomen</t>
  </si>
  <si>
    <t>1 okt.2001</t>
  </si>
  <si>
    <t>Extra plaatsen</t>
  </si>
  <si>
    <t>Vergoeding</t>
  </si>
  <si>
    <t>Radiodiagnostisch laborant</t>
  </si>
  <si>
    <t>Operatie assistent</t>
  </si>
  <si>
    <t xml:space="preserve"> IC- verpleegkundige (volwassenen)</t>
  </si>
  <si>
    <t>Dialyseverpleegkundige</t>
  </si>
  <si>
    <t>Anesthesiemedewerker</t>
  </si>
  <si>
    <t>Totaal extra opleidingsplaatsen</t>
  </si>
  <si>
    <t>Verrekend in opbrengsten (meest recente opbrengstregistratie)</t>
  </si>
  <si>
    <t>Alle in te vullen velden zijn gearceerd. Dit kunt u hier aan- en uitschakelen. Voor het maken van een duidelijke afdruk van het nacalculatieformulier wordt aanbevolen eerst de arcering van de velden uit te zetten</t>
  </si>
  <si>
    <t>Kolommen</t>
  </si>
  <si>
    <t xml:space="preserve">Algemeen </t>
  </si>
  <si>
    <t>Deze vragenlijst wordt ingevuld door de instelling en gecontroleerd door de accountant.</t>
  </si>
  <si>
    <t>Per vraag aanklikken wat van toepassing is.</t>
  </si>
  <si>
    <t>Indien het antwoord in kolom 2 is aangeklikt dient op een separate bijlage een toelichting te worden gegeven.</t>
  </si>
  <si>
    <t>VRAGENLIJST NACALCULATIE</t>
  </si>
  <si>
    <t>Vervolg VRAGENLIJST NACALCULATIE</t>
  </si>
  <si>
    <t>Verpleeggelden (excl. vaste tarieven)</t>
  </si>
  <si>
    <t>A201</t>
  </si>
  <si>
    <t>Klasse 1</t>
  </si>
  <si>
    <t>A202</t>
  </si>
  <si>
    <t>Klasse 2A</t>
  </si>
  <si>
    <t>A203</t>
  </si>
  <si>
    <t>Klasse 2B</t>
  </si>
  <si>
    <t>A204</t>
  </si>
  <si>
    <t>Klasse 3A</t>
  </si>
  <si>
    <t>A205</t>
  </si>
  <si>
    <t>Klasse 3B</t>
  </si>
  <si>
    <t>A206</t>
  </si>
  <si>
    <t>Klasse 3C</t>
  </si>
  <si>
    <t>Voorschotbedragen lokaal initiatief/afrekeningen</t>
  </si>
  <si>
    <t>Met betrekking tot 1997</t>
  </si>
  <si>
    <t>Met betrekking tot 1998</t>
  </si>
  <si>
    <t xml:space="preserve">Voor de definitieve nacalculatie van de gerealiseerde productie is een overzicht in het nacalculatieformulier opgenomen. </t>
  </si>
  <si>
    <t>trend 2004</t>
  </si>
  <si>
    <t xml:space="preserve">Verschil realisatie 2004 volgens definitieve nacalculatie en voorlopige nacalculatie </t>
  </si>
  <si>
    <t>Waarde productieafspraken 2004 (zie formulier productieafspraken 2005 / voorlopige nacalculatie 2004, blz. 8)</t>
  </si>
  <si>
    <t>Verschil realisatie 2004 en productieafspraak 2004</t>
  </si>
  <si>
    <t>Nog te verwerken nacalculatie productie 2004*</t>
  </si>
  <si>
    <t xml:space="preserve">           prijspeil ult. 2003  </t>
  </si>
  <si>
    <t>(C 150) Remicade (bij reuma)(tijdelijke regeling)**</t>
  </si>
  <si>
    <t>(D 450) Hemostatica</t>
  </si>
  <si>
    <t>(C 151) Docetaxel *</t>
  </si>
  <si>
    <t>(C 152) Irinotecan *</t>
  </si>
  <si>
    <t>(C 153) Gemcitabine *</t>
  </si>
  <si>
    <t>(C 154) Oxaliplatine *</t>
  </si>
  <si>
    <t>(C 155) Paclitaxel *</t>
  </si>
  <si>
    <t>(C 156) Rituximab *</t>
  </si>
  <si>
    <t>(C 157) Infliximab (bij M.Crohn) *</t>
  </si>
  <si>
    <t>(C 158) Immunoglobuline IV *</t>
  </si>
  <si>
    <t>(C 159) Trastuzumab *</t>
  </si>
  <si>
    <t>(C 160) Botulinetoxine *</t>
  </si>
  <si>
    <t>(C 161) Verteporfin *</t>
  </si>
  <si>
    <t>(C 150) Remicade (bij reuma) * **</t>
  </si>
  <si>
    <t>(C 162) Doxorubicine liposomal (Caelyx) *</t>
  </si>
  <si>
    <t>* maximaal 75% van de werkelijke kosten (netto-inkoopkosten)</t>
  </si>
  <si>
    <t xml:space="preserve">** de tijdelijke regeling Remicade is per 1-5-2004 vervallen. Het middel is toegevoegd aan de stofnamen lijst beleidsregel dure geneesmiddelen.  </t>
  </si>
  <si>
    <t xml:space="preserve">     Voor de patienten die voor 1-5-2004 al werden behandeld met dit middel blijft de 100% budgettaire vergoedingsregeling bestaan.</t>
  </si>
  <si>
    <t xml:space="preserve">     Voor patienten die na 1-5-2004 beginnen met het middel kan de 75% budgettaire vergoeding worden overeengekomen.</t>
  </si>
  <si>
    <t>Met betrekking tot 2004</t>
  </si>
  <si>
    <t xml:space="preserve">Indien aantal agio´s utimo 2004 hoger dan aantal in herijking: aanpassing loonkosten is </t>
  </si>
  <si>
    <t xml:space="preserve">Indien aantal agio´s utimo 2004 lager dan aantal in herijking: aanpassing loonkosten is </t>
  </si>
  <si>
    <t>Totaal aanpassing vergoeding loonkosten agio´s ten opzichte van 1-1-2001</t>
  </si>
  <si>
    <t>Aantal agio´s ingestroomd na 1-1-2001 (instroom 2001 t/m 2004)</t>
  </si>
  <si>
    <t>Aantal agio´s uitgestroomd na 1-1-2001 (uitstroom 2001 t/m 2004)</t>
  </si>
  <si>
    <t xml:space="preserve">Indien aantal agio´s ultimo 2004 hoger dan aantal in herijking: aanpassing loonkosten is </t>
  </si>
  <si>
    <t xml:space="preserve">Indien aantal agio´s ultimo 2004 lager dan aantal in herijking: aanpassing loonkosten is </t>
  </si>
  <si>
    <t>Gerealiseerde extra opleidingsplaatsen 2004</t>
  </si>
  <si>
    <t>1 okt.2004</t>
  </si>
  <si>
    <t>of vrijval 2004</t>
  </si>
  <si>
    <t>ruimte 2004</t>
  </si>
  <si>
    <t>ultimo 2004</t>
  </si>
  <si>
    <t>Onderhanden werk ultimo 2004</t>
  </si>
  <si>
    <t>Verplichtingen ultimo 2004</t>
  </si>
  <si>
    <t>"Vrij besteedbaar" ultimo 2004</t>
  </si>
  <si>
    <t>nomen t/m 2003</t>
  </si>
  <si>
    <t>In gebruik genomen 2004</t>
  </si>
  <si>
    <t>Berekening kortingspercentage voor investeringen 2004</t>
  </si>
  <si>
    <t>10 * berekende investeringsruimte 2004</t>
  </si>
  <si>
    <t>Berekening kortingsbedrag (totale kortingspercentage x 10% x investeringsruimte 2004)</t>
  </si>
  <si>
    <t>saldo voor 2002</t>
  </si>
  <si>
    <t>2003</t>
  </si>
  <si>
    <t>t/m 2003</t>
  </si>
  <si>
    <t>Nog te verrekenen per 31-12-2003</t>
  </si>
  <si>
    <t>Is er in de productieafspraak 2004 een budgetaanpassing aangevraagd op basis van een wijziging in de capaciteit? Als er geen wijziging in de capaciteit heeft plaatsgevonden, kies dan "nvt"</t>
  </si>
  <si>
    <t xml:space="preserve">Wijkt de definitieve nacalculatie op de nacalculeerbare productie parameters aanzienlijk af van de voorlopige nacalculatie, zoals die is opgegeven bij de productieafspraken 2005? </t>
  </si>
  <si>
    <t>Zijn, voor de berekening van de nacalculeerbare afschrijvingskosten van de in 2004 geactiveerde activa, de afschrijvingspercentages gehanteerd zoals in de beleidsregel Afschrijving opgenomen? Indien in 2004 geen activa zijn geactiveerd, kies dan "nvt"</t>
  </si>
  <si>
    <t>Zijn, voor de berekening van de nacalculeerbare afschrijvingskosten van de voor 2004 geactiveerde activa, de door het CTG geaccepteerde afschrijvingspercentages, gecontinueerd? Indien voor 2004 geen activa zijn geactiveerd, kies dan "nvt"</t>
  </si>
  <si>
    <t>Passen de in 2004 geactiveerde investeringen in immateriele en materiele vaste activa (investeringskosten) binnen de WZV-vergunningen die voor deze projecten zijn afgegeven? Als er geen investeringen zijn geactiveerd, kies dan "nvt"</t>
  </si>
  <si>
    <t>Passen de in 2004 geactiveerde instandhoudingsinvesteringen binnen de meldingsverklaringen die door het CBZ zijn afgegeven voor deze projecten? Als er geen investeringen zijn geactiveerd, kies dan "nvt".</t>
  </si>
  <si>
    <t>Is eerst de jaarlijkse investeringsruimte volledig benut (in het onderdeel van het nacalculatieformulier over instandhoudingsinvesteringen), alvorens trekkingsrechten zijn aangesproken voor incidentele instandhoudingsinvesteringen? Indien geen instandhoudingsinvesteringen in 2004, kies dan "nvt"</t>
  </si>
  <si>
    <t xml:space="preserve">Het betreft hier opbrengsten die vallen onder de beleidsregel "aanvullende inkomsten zorginstellingen", die sinds 1 januari 2001 geldt (zie circulaires PS/tbk/A/99/08c en JM/at/A/99/12c). Hierin is vastgelegd dat inkomsten van bepaalde activiteiten niet met de aanvaardbare kosten behoeven te worden verrekend, maar dat deze onder bepaalde voorwaarden kunnen worden behouden. Deze opbrengsten dienen in het rekeningschema 2004 verantwoord te worden in rekeninggroep 83. Onder de aanvullende inkomsten vallen tevens diensten en verrichtingen (berekend aan derden), waarvoor sedert 1989 de richtlijn WDS van toepassing is. 
Slechts ter bepaling van de reserve aanvaardbare kosten kunnen deze opbrengsten met de exploitatiekosten worden verrekend. Ook als u de opbrengsten als negatieve kosten in de exploitatie-rekening hebt verwerkt, wordt u verzocht een specificatie te geven. 
</t>
  </si>
  <si>
    <t xml:space="preserve">U dient een samenvatting te geven van de nacalculeerbare afschrijvingskosten met betrekking tot materiële vaste activa, immateriële vaste activa en huur en leasing van gebouwen / installaties. Op de regel huur en lease kunt u het afschrijvingsbestanddeel van de (goedgekeurde) huurbedragen invullen. De afschrijvingen op medische en overige inventarissen, de afschrijvingen op vaste activa, vallend onder de beleidsregel "meldingsprocedure WZV" en de afschrijvingen dubieuze debiteuren, dienen hier buiten beschouwing te blijven. Het betreft hier uitsluitend investeringen op basis van de normale en de zogenoemde verkorte procedures. 
Voor een onderbouwing van de afschrijvingsbedragen over investeringen die in 2004 in gebruik zijn genomen, dient u op de volgende pagina's de investeringen per vergunning te specificeren (pagina 11 en 12). U wordt verzocht om per project een kopie van de betreffende vergunning met het nacalculatieformulier mee te zenden. Dit geldt ook voor de goedgekeurde huurbedragen.
</t>
  </si>
  <si>
    <t>Hier dient u investeringen waarvoor een normale WZV-procedure is doorlopen en ingebruikname in 2004 heeft plaatsgevonden te specificeren. Met betrekking tot de rentekosten tijdens de bouw wordt nog opgemerkt dat overeenkomstig de beleidsregel rentenormering de rentekosten tijdens de bouw tot 2002 onderdeel uitmaken van de investeringskosten, waarover dient te worden afgeschreven. In de verleende WZV-vergunning van normale procedures tot 2002 maken de rentekosten tijdens de bouw ook onderdeel uit van de totale investeringskosten waarvoor toestemming is verleend. De investeringen op grond  van verkorte procedures kunt u tevens kwijt op deze pagina´s. Voor deze investeringen dient de rente tijdens de bouw niet te worden geactiveerd, maar rechtstreeks ten laste van het exploitatieresultaat te worden gebracht.</t>
  </si>
  <si>
    <t xml:space="preserve">De instandhoudingsinvesteringen die in 2004 in gebruik zijn genomen dienen te worden gespecificeerd. Hierbij wordt onderscheid gemaakt in investeringen ten laste van de jaarlijkse instandhoudingen en investeringen ten laste van trekkingsrechten. </t>
  </si>
  <si>
    <t xml:space="preserve">Op pagina 14 kunt u het kortingspercentage 2004 van de beleidsregel investeringen berekenen. De kortingspercentages voor WZV goedgekeurde investeringen t/m 2003 zijn al eerder vastgesteld, u kunt deze in het schema overnemen. Tevens kunnen budgetaanpassingen in verband met WZV-goedkeuringen voor medische en overige inventarissen (onderdeel 1) en voor artikel 2 WBMV functies (onderdeel 3) worden gespecificeerd. Aanpassingen van de aanvaardbare kosten op grond van goedkeuringen ex WZV worden alleen verwerkt voor zover deze vergezeld gaan van de goedkeuringsbeslissing en een specificatie van de (afschrijvings)kosten. 
</t>
  </si>
  <si>
    <t xml:space="preserve">Op regel 1718 dient u in de eerste kolom de kosten voor onderhanden projecten van WZV-vergunningen per 31 december 2003 volgens de jaarrekening op te nemen. U kunt de bedragen vermelden in de maand waarin het uitgevoerde werk is gefactureerd. In de factor wordt rekening gehouden met een betalingstermijn van 1 maand. In de tweede kolom vult u de onderhanden WZV-investeringen in die in 2004 in gebruik zijn genomen. </t>
  </si>
  <si>
    <t>Op regel 1801 dient u de samenstelling van de boekwaarde per 31 december 2003 volgens de jaarrekening op te nemen. Voor instandhoudingsinvesteringen in uitvoering zijn twee varianten mogelijk. U kunt er voor kiezen de investeringskosten aan het eind van het jaar direct te activeren en de afschrijving daarop in 2004 te starten. U kunt er ook voor kiezen de investeringskosten te boeken op onderhanden werk. Alleen als u kiest voor de laatste variant dienen de regels 1803 en 1817 te worden ingevuld. Evenals in overzicht B wordt ook hier in de toegepaste factoren rekening gehouden met een betalingstermijn van 1 maand.</t>
  </si>
  <si>
    <t xml:space="preserve">U dient hier de afschrijvingen volgens de laatste rekenstaat 2004 in te vullen en deze vervolgens te vermenigvuldigen met de aangegeven factor. Het resultaat is de normatieve boekwaarde van medische en overige inventarissen. </t>
  </si>
  <si>
    <t xml:space="preserve">In de derde kolom dient te worden uitgegaan van het budget op kasbasis volgens de laatst bekende rekenstaat 2004 aangevuld met de budgetmutaties volgens het nacalculatieformulier 2004 uitgezonderd de rentemutatie. Het totaal van deze kolom dient gelijk te zijn aan het bedrag op pagina 15, regel 1517. 
In de vierde kolom dient per maand te worden aangegeven de declaratiewaarde van de productie in die maand, ongeacht het moment van factureren. Opbrengsten van toeslagen die zijn afgegeven voor de verrekening van de lumpsum (specialistenhonorering) dienen buiten beschouwing te blijven. 
In de laatste kolom komt op regel 2004 het saldo ultimo 2003 te staan. Dit bedrag komt overeen met het financieringsresultaat ultimo 2003 conform de berekening in de eerste tabel bij onderdeel G. Voor het invullen van de eerste tabel dient u uit te gaan van de opbrengstregistratie uit de meest recente rekenstaat van het lopende jaar.
</t>
  </si>
  <si>
    <t>2. In de kolom 'einddatum rentevastperiode' dient de datum worden opgenomen waarop het huidige rentepercentage expireert. Als een bestaande lening in 2004 vervroegd is afgelost kunt u bij de vervangende lening in deze kolom de datum vermelden waarop de oorspronkelijke rentevastperiode zou aflopen, echter met een maximum van 5 jaar na datum afsluiten vervangende lening. Gedurende de periode dat de oude lening nog zou zijn doorgelopen heeft de instelling recht op een rentevergoeding  conform het oude rentepercentage. In de kolom '% werkelijk' dient u in dat geval het werkelijke rentepercentage van de oude lening te vermelden</t>
  </si>
  <si>
    <t>1. In de kolom 'Datum normrente' moet voor leningen die vanaf 2001 zijn afgesloten de datum worden vermeld waarop het berekende normpercentage is vastgesteld. Dit is datum waarop de leningsovereenkomst tot stand is gekomen.</t>
  </si>
  <si>
    <t>4. In de kolommen van 'Storting/Aflossing 2004' dient u het aflossingsbedrag, de dag en de maand(en) van aflossing aan te geven. Aan de hand van deze gegevens wordt de gewogen schuld berekend. Indien deze berekening voor een specifieke situatie niet tot de juiste uitkomst leidt, kan het bedrag van de gewogen schuld worden aangepast. Ook de berekende aanvaardbare rentekosten kunnen worden aangepast voor afwijkingen in de werkelijke rentekosten als het gaat om oude leningen.</t>
  </si>
  <si>
    <t>Voor de bepaling van het resultaat dient te worden uitgegaan van het budget aanvaardbare kosten op kasbasis volgens de laatst bekende rekenstaat 2004, aangevuld met de budgetmutaties volgens het nacalculatieformulier 2004, uitgezonderd de mutatie op de rente. De gegevens op deze bijlage dienen aan te sluiten bij de jaarrekening. In het resultaat volgens de jaarrekening is het volledige resultaat op rente inbegrepen. Teneinde aanluiting te behouden kan op regel 2313 de mutatie op rente worden opgenomen. Als het resultaat in de reserves is verwerkt, behoeft regel 2311 niet te worden ingevuld.</t>
  </si>
  <si>
    <t>Correctiebedrag tbv aansluiting ak cf jaarrekening en ak cf nacalculatieformulier</t>
  </si>
  <si>
    <t>ultimo 2003</t>
  </si>
  <si>
    <t>2002</t>
  </si>
  <si>
    <t>Met betrekking tot 1999</t>
  </si>
  <si>
    <t>Met betrekking tot 2000</t>
  </si>
  <si>
    <t>Met betrekking tot 2001</t>
  </si>
  <si>
    <t>Met betrekking tot 2002</t>
  </si>
  <si>
    <t>Verpleeggelden ter dekking van het budget</t>
  </si>
  <si>
    <t>Opbrengst vaste tarieven</t>
  </si>
  <si>
    <t>A002</t>
  </si>
  <si>
    <t>Opnametarief</t>
  </si>
  <si>
    <t>A003</t>
  </si>
  <si>
    <t>Verkeerde bed</t>
  </si>
  <si>
    <t>A004</t>
  </si>
  <si>
    <t>Verblijf gezonde moeder</t>
  </si>
  <si>
    <t>A005</t>
  </si>
  <si>
    <t>Verblijf gezonde zuigeling</t>
  </si>
  <si>
    <t>A006</t>
  </si>
  <si>
    <t>Afwezigheidsdag</t>
  </si>
  <si>
    <t>A007</t>
  </si>
  <si>
    <t>Dagbehandeling</t>
  </si>
  <si>
    <t>Opbrengst nevenverrichtingen</t>
  </si>
  <si>
    <t>Vergoedingen voor diagnostiche verrichtingen</t>
  </si>
  <si>
    <t>Vergoedingen voor therapeutische verrichtingen</t>
  </si>
  <si>
    <t>Vergoedingen voor gebruik polikliniek</t>
  </si>
  <si>
    <t>Gedeclareerde opbrengsten voor dure geneesmiddelen</t>
  </si>
  <si>
    <t>Overige dienstverlening</t>
  </si>
  <si>
    <t>Eigen bijdrage clienten</t>
  </si>
  <si>
    <t>Dure geneesmiddelen</t>
  </si>
  <si>
    <t>Aanpassing vergoeding loonkosten agio´s</t>
  </si>
  <si>
    <t xml:space="preserve">In deze tabel dienen de overeengekomen aantallen specialisten en agio´s te worden ingevuld.  </t>
  </si>
</sst>
</file>

<file path=xl/styles.xml><?xml version="1.0" encoding="utf-8"?>
<styleSheet xmlns="http://schemas.openxmlformats.org/spreadsheetml/2006/main">
  <numFmts count="4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fl&quot;\ * #,##0_-;_-&quot;fl&quot;\ * #,##0\-;_-&quot;fl&quot;\ * &quot;-&quot;_-;_-@_-"/>
    <numFmt numFmtId="165" formatCode="_-&quot;fl&quot;\ * #,##0.00_-;_-&quot;fl&quot;\ * #,##0.00\-;_-&quot;fl&quot;\ * &quot;-&quot;??_-;_-@_-"/>
    <numFmt numFmtId="166" formatCode="0.0000"/>
    <numFmt numFmtId="167" formatCode="#,##0.0_-;#,##0.0\-"/>
    <numFmt numFmtId="168" formatCode="0.000"/>
    <numFmt numFmtId="169" formatCode="#,##0_ ;[Red]\-#,##0\ "/>
    <numFmt numFmtId="170" formatCode="#,##0.0"/>
    <numFmt numFmtId="171" formatCode="#,##0;\(#,##0\);"/>
    <numFmt numFmtId="172" formatCode="d\ mmmm\ yyyy"/>
    <numFmt numFmtId="173" formatCode="0.0%"/>
    <numFmt numFmtId="174" formatCode="0.00000"/>
    <numFmt numFmtId="175" formatCode="#,##0.0000"/>
    <numFmt numFmtId="176" formatCode="dd/mm/yy"/>
    <numFmt numFmtId="177" formatCode="#,##0;\(#,##0_ \ \);"/>
    <numFmt numFmtId="178" formatCode="#,##0_ \ ;\(#,##0\)_ ;"/>
    <numFmt numFmtId="179" formatCode="#,##0\ ;\(#,##0\);"/>
    <numFmt numFmtId="180" formatCode="#,##0_ \ ;\(#,##0\)_ ;\ \ "/>
    <numFmt numFmtId="181" formatCode="#,##0_ ;\(#,##0\);"/>
    <numFmt numFmtId="182" formatCode="dd/mm/yy_ "/>
    <numFmt numFmtId="183" formatCode="\(#,##0\)_ ;#,##0_ \ ;\ \(* \)_ "/>
    <numFmt numFmtId="184" formatCode="#,##0_ ;;"/>
    <numFmt numFmtId="185" formatCode="General\ "/>
    <numFmt numFmtId="186" formatCode="0\ ;"/>
    <numFmt numFmtId="187" formatCode="\ \ƒ* #,##0_ \ ;\ \ƒ* ;\ \ƒ* "/>
    <numFmt numFmtId="188" formatCode="\ \ \ \ 0"/>
    <numFmt numFmtId="189" formatCode="0_ "/>
    <numFmt numFmtId="190" formatCode="0;;"/>
    <numFmt numFmtId="191" formatCode="0%;\(0%\);\%"/>
    <numFmt numFmtId="192" formatCode="_-* #,##0_-;_-* #,##0\-;_-* &quot;-&quot;??_-;_-@_-"/>
    <numFmt numFmtId="193" formatCode="_-* #,##0.0_-;_-* #,##0.0\-;_-* &quot;-&quot;??_-;_-@_-"/>
    <numFmt numFmtId="194" formatCode="#,##0.00_ ;\-#,##0.00\ "/>
    <numFmt numFmtId="195" formatCode="#,##0.00_ ;[Red]\-#,##0.00\ "/>
    <numFmt numFmtId="196" formatCode="0.0"/>
    <numFmt numFmtId="197" formatCode="[$-413]dddd\ d\ mmmm\ yyyy"/>
    <numFmt numFmtId="198" formatCode="[$-413]d/mmm/yy;@"/>
    <numFmt numFmtId="199" formatCode="#,##0_ ;\-#,##0\ "/>
  </numFmts>
  <fonts count="28">
    <font>
      <sz val="10"/>
      <name val="Arial"/>
      <family val="0"/>
    </font>
    <font>
      <b/>
      <sz val="10"/>
      <name val="Arial"/>
      <family val="2"/>
    </font>
    <font>
      <sz val="8"/>
      <name val="Arial"/>
      <family val="2"/>
    </font>
    <font>
      <b/>
      <sz val="8"/>
      <name val="Arial"/>
      <family val="2"/>
    </font>
    <font>
      <sz val="9"/>
      <name val="Arial"/>
      <family val="2"/>
    </font>
    <font>
      <b/>
      <sz val="9"/>
      <name val="Arial"/>
      <family val="2"/>
    </font>
    <font>
      <sz val="8"/>
      <color indexed="9"/>
      <name val="Arial"/>
      <family val="2"/>
    </font>
    <font>
      <sz val="10"/>
      <name val="Helv"/>
      <family val="0"/>
    </font>
    <font>
      <b/>
      <sz val="14"/>
      <name val="Helv"/>
      <family val="0"/>
    </font>
    <font>
      <sz val="24"/>
      <color indexed="13"/>
      <name val="Helv"/>
      <family val="0"/>
    </font>
    <font>
      <b/>
      <i/>
      <sz val="8"/>
      <name val="Arial"/>
      <family val="2"/>
    </font>
    <font>
      <sz val="10"/>
      <color indexed="9"/>
      <name val="Arial"/>
      <family val="2"/>
    </font>
    <font>
      <sz val="8"/>
      <name val="Tahoma"/>
      <family val="2"/>
    </font>
    <font>
      <b/>
      <sz val="8"/>
      <color indexed="9"/>
      <name val="Arial"/>
      <family val="2"/>
    </font>
    <font>
      <b/>
      <i/>
      <sz val="9"/>
      <name val="Arial"/>
      <family val="2"/>
    </font>
    <font>
      <sz val="9"/>
      <color indexed="9"/>
      <name val="Arial"/>
      <family val="2"/>
    </font>
    <font>
      <b/>
      <sz val="9"/>
      <color indexed="9"/>
      <name val="Arial"/>
      <family val="2"/>
    </font>
    <font>
      <sz val="12"/>
      <name val="Arial"/>
      <family val="2"/>
    </font>
    <font>
      <sz val="20"/>
      <name val="Arial"/>
      <family val="2"/>
    </font>
    <font>
      <sz val="9"/>
      <color indexed="61"/>
      <name val="Arial"/>
      <family val="2"/>
    </font>
    <font>
      <i/>
      <sz val="9"/>
      <name val="Arial"/>
      <family val="2"/>
    </font>
    <font>
      <b/>
      <sz val="9"/>
      <color indexed="8"/>
      <name val="Arial"/>
      <family val="2"/>
    </font>
    <font>
      <u val="single"/>
      <sz val="10"/>
      <color indexed="12"/>
      <name val="Arial"/>
      <family val="0"/>
    </font>
    <font>
      <u val="single"/>
      <sz val="10"/>
      <color indexed="36"/>
      <name val="Arial"/>
      <family val="0"/>
    </font>
    <font>
      <b/>
      <sz val="12"/>
      <name val="Arial"/>
      <family val="2"/>
    </font>
    <font>
      <sz val="9"/>
      <color indexed="47"/>
      <name val="Arial"/>
      <family val="2"/>
    </font>
    <font>
      <sz val="9"/>
      <color indexed="8"/>
      <name val="Arial"/>
      <family val="2"/>
    </font>
    <font>
      <u val="single"/>
      <sz val="10"/>
      <name val="Arial"/>
      <family val="2"/>
    </font>
  </fonts>
  <fills count="9">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60"/>
        <bgColor indexed="64"/>
      </patternFill>
    </fill>
    <fill>
      <patternFill patternType="solid">
        <fgColor indexed="16"/>
        <bgColor indexed="64"/>
      </patternFill>
    </fill>
    <fill>
      <patternFill patternType="solid">
        <fgColor indexed="9"/>
        <bgColor indexed="64"/>
      </patternFill>
    </fill>
    <fill>
      <patternFill patternType="solid">
        <fgColor indexed="22"/>
        <bgColor indexed="64"/>
      </patternFill>
    </fill>
  </fills>
  <borders count="84">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color indexed="63"/>
      </bottom>
    </border>
    <border>
      <left>
        <color indexed="63"/>
      </left>
      <right style="hair"/>
      <top style="hair"/>
      <bottom>
        <color indexed="63"/>
      </bottom>
    </border>
    <border>
      <left>
        <color indexed="63"/>
      </left>
      <right>
        <color indexed="63"/>
      </right>
      <top style="hair"/>
      <bottom style="hair"/>
    </border>
    <border>
      <left style="thin"/>
      <right style="thin"/>
      <top>
        <color indexed="63"/>
      </top>
      <bottom style="thin"/>
    </border>
    <border>
      <left style="thin"/>
      <right style="thin"/>
      <top style="hair"/>
      <bottom style="thin"/>
    </border>
    <border>
      <left style="thin"/>
      <right>
        <color indexed="63"/>
      </right>
      <top style="thin"/>
      <bottom style="thin"/>
    </border>
    <border>
      <left>
        <color indexed="63"/>
      </left>
      <right style="hair"/>
      <top style="hair"/>
      <bottom style="hair"/>
    </border>
    <border>
      <left>
        <color indexed="63"/>
      </left>
      <right>
        <color indexed="63"/>
      </right>
      <top style="hair"/>
      <bottom style="thin"/>
    </border>
    <border>
      <left>
        <color indexed="63"/>
      </left>
      <right style="hair"/>
      <top style="hair"/>
      <bottom style="thin"/>
    </border>
    <border>
      <left>
        <color indexed="63"/>
      </left>
      <right style="hair"/>
      <top style="thin"/>
      <bottom style="thin"/>
    </border>
    <border>
      <left style="thin"/>
      <right style="thin"/>
      <top style="thin"/>
      <bottom>
        <color indexed="63"/>
      </bottom>
    </border>
    <border>
      <left>
        <color indexed="63"/>
      </left>
      <right style="thin"/>
      <top>
        <color indexed="63"/>
      </top>
      <bottom style="thin"/>
    </border>
    <border>
      <left style="hair"/>
      <right style="hair"/>
      <top style="hair"/>
      <bottom style="hair"/>
    </border>
    <border>
      <left style="hair"/>
      <right style="hair"/>
      <top style="hair"/>
      <bottom>
        <color indexed="63"/>
      </bottom>
    </border>
    <border>
      <left style="hair"/>
      <right>
        <color indexed="63"/>
      </right>
      <top style="hair"/>
      <bottom style="hair"/>
    </border>
    <border>
      <left>
        <color indexed="63"/>
      </left>
      <right>
        <color indexed="63"/>
      </right>
      <top>
        <color indexed="63"/>
      </top>
      <bottom style="hair"/>
    </border>
    <border>
      <left style="thin"/>
      <right style="hair"/>
      <top style="hair"/>
      <bottom style="hair"/>
    </border>
    <border>
      <left style="thin"/>
      <right style="hair"/>
      <top style="hair"/>
      <bottom style="thin"/>
    </border>
    <border>
      <left style="thin"/>
      <right>
        <color indexed="63"/>
      </right>
      <top style="hair"/>
      <bottom style="hair"/>
    </border>
    <border>
      <left style="thin"/>
      <right>
        <color indexed="63"/>
      </right>
      <top style="hair"/>
      <bottom style="thin"/>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hair"/>
      <bottom>
        <color indexed="63"/>
      </bottom>
    </border>
    <border>
      <left style="hair"/>
      <right style="hair"/>
      <top style="hair"/>
      <bottom style="thin"/>
    </border>
    <border>
      <left>
        <color indexed="63"/>
      </left>
      <right style="thin"/>
      <top style="thin"/>
      <bottom>
        <color indexed="63"/>
      </bottom>
    </border>
    <border>
      <left style="hair"/>
      <right style="hair"/>
      <top>
        <color indexed="63"/>
      </top>
      <bottom style="hair"/>
    </border>
    <border>
      <left>
        <color indexed="63"/>
      </left>
      <right style="hair"/>
      <top style="thin"/>
      <bottom style="hair"/>
    </border>
    <border>
      <left style="hair"/>
      <right>
        <color indexed="63"/>
      </right>
      <top style="hair"/>
      <bottom style="thin"/>
    </border>
    <border>
      <left style="hair"/>
      <right>
        <color indexed="63"/>
      </right>
      <top style="thin"/>
      <bottom style="thin"/>
    </border>
    <border>
      <left>
        <color indexed="63"/>
      </left>
      <right style="hair"/>
      <top>
        <color indexed="63"/>
      </top>
      <bottom style="thin"/>
    </border>
    <border>
      <left style="hair"/>
      <right style="hair"/>
      <top>
        <color indexed="63"/>
      </top>
      <bottom style="thin"/>
    </border>
    <border>
      <left style="hair"/>
      <right style="hair"/>
      <top style="thin"/>
      <bottom style="thin"/>
    </border>
    <border>
      <left style="thin"/>
      <right style="hair"/>
      <top>
        <color indexed="63"/>
      </top>
      <bottom style="hair"/>
    </border>
    <border>
      <left style="thin"/>
      <right style="hair"/>
      <top style="hair"/>
      <bottom>
        <color indexed="63"/>
      </bottom>
    </border>
    <border>
      <left>
        <color indexed="63"/>
      </left>
      <right style="hair"/>
      <top>
        <color indexed="63"/>
      </top>
      <bottom style="hair"/>
    </border>
    <border>
      <left>
        <color indexed="63"/>
      </left>
      <right>
        <color indexed="63"/>
      </right>
      <top style="thin"/>
      <bottom style="hair"/>
    </border>
    <border>
      <left style="hair"/>
      <right>
        <color indexed="63"/>
      </right>
      <top style="hair"/>
      <bottom>
        <color indexed="63"/>
      </bottom>
    </border>
    <border>
      <left style="thin"/>
      <right>
        <color indexed="63"/>
      </right>
      <top style="thin"/>
      <bottom>
        <color indexed="63"/>
      </bottom>
    </border>
    <border>
      <left style="thin"/>
      <right>
        <color indexed="63"/>
      </right>
      <top>
        <color indexed="63"/>
      </top>
      <bottom style="thin"/>
    </border>
    <border>
      <left style="hair"/>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style="thin"/>
      <bottom style="hair"/>
    </border>
    <border>
      <left style="thin"/>
      <right>
        <color indexed="63"/>
      </right>
      <top style="thin"/>
      <bottom style="hair"/>
    </border>
    <border>
      <left>
        <color indexed="63"/>
      </left>
      <right style="thin"/>
      <top style="thin"/>
      <bottom style="hair"/>
    </border>
    <border>
      <left style="thin"/>
      <right>
        <color indexed="63"/>
      </right>
      <top>
        <color indexed="63"/>
      </top>
      <bottom>
        <color indexed="63"/>
      </bottom>
    </border>
    <border>
      <left>
        <color indexed="63"/>
      </left>
      <right style="thin"/>
      <top style="hair"/>
      <bottom style="thin"/>
    </border>
    <border>
      <left style="medium"/>
      <right>
        <color indexed="63"/>
      </right>
      <top style="medium"/>
      <bottom style="medium"/>
    </border>
    <border>
      <left>
        <color indexed="63"/>
      </left>
      <right style="thin"/>
      <top style="medium"/>
      <bottom style="medium"/>
    </border>
    <border>
      <left style="thin"/>
      <right style="medium"/>
      <top style="medium"/>
      <bottom style="medium"/>
    </border>
    <border>
      <left style="medium"/>
      <right style="medium"/>
      <top style="medium"/>
      <bottom style="medium"/>
    </border>
    <border>
      <left>
        <color indexed="63"/>
      </left>
      <right style="thin"/>
      <top style="hair"/>
      <bottom>
        <color indexed="63"/>
      </bottom>
    </border>
    <border>
      <left>
        <color indexed="63"/>
      </left>
      <right style="thin"/>
      <top>
        <color indexed="63"/>
      </top>
      <bottom style="hair"/>
    </border>
    <border>
      <left style="thin"/>
      <right style="hair"/>
      <top style="thin"/>
      <bottom style="thin"/>
    </border>
    <border>
      <left style="hair"/>
      <right style="thin"/>
      <top style="thin"/>
      <bottom style="thin"/>
    </border>
    <border>
      <left style="hair"/>
      <right style="hair"/>
      <top>
        <color indexed="63"/>
      </top>
      <bottom>
        <color indexed="63"/>
      </bottom>
    </border>
    <border>
      <left style="hair"/>
      <right>
        <color indexed="63"/>
      </right>
      <top>
        <color indexed="63"/>
      </top>
      <bottom style="hair"/>
    </border>
    <border>
      <left>
        <color indexed="63"/>
      </left>
      <right style="thin"/>
      <top style="hair"/>
      <bottom style="hair"/>
    </border>
    <border>
      <left style="hair"/>
      <right style="thin"/>
      <top style="hair"/>
      <bottom style="thin"/>
    </border>
    <border>
      <left style="thin"/>
      <right>
        <color indexed="63"/>
      </right>
      <top>
        <color indexed="63"/>
      </top>
      <bottom style="hair"/>
    </border>
    <border>
      <left style="hair"/>
      <right>
        <color indexed="63"/>
      </right>
      <top style="thin"/>
      <bottom style="hair"/>
    </border>
    <border>
      <left style="thin"/>
      <right style="hair"/>
      <top style="thin"/>
      <bottom style="hair"/>
    </border>
    <border>
      <left style="hair"/>
      <right style="thin"/>
      <top style="thin"/>
      <bottom style="hair"/>
    </border>
    <border>
      <left style="hair"/>
      <right style="thin"/>
      <top style="hair"/>
      <bottom style="hair"/>
    </border>
    <border>
      <left style="hair"/>
      <right style="thin"/>
      <top>
        <color indexed="63"/>
      </top>
      <bottom>
        <color indexed="63"/>
      </bottom>
    </border>
  </borders>
  <cellStyleXfs count="45">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7" fillId="0" borderId="1">
      <alignment/>
      <protection/>
    </xf>
    <xf numFmtId="0" fontId="23"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Protection="0">
      <alignment/>
    </xf>
    <xf numFmtId="0" fontId="8" fillId="2" borderId="1">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xf numFmtId="0" fontId="7" fillId="0" borderId="0">
      <alignment/>
      <protection/>
    </xf>
    <xf numFmtId="0" fontId="0" fillId="0" borderId="0">
      <alignment/>
      <protection/>
    </xf>
    <xf numFmtId="0" fontId="0" fillId="0" borderId="0" applyFill="0" applyBorder="0">
      <alignment/>
      <protection/>
    </xf>
    <xf numFmtId="178" fontId="4" fillId="0" borderId="2" applyFill="0" applyBorder="0">
      <alignment/>
      <protection/>
    </xf>
    <xf numFmtId="187" fontId="4" fillId="0" borderId="2" applyFill="0" applyBorder="0">
      <alignment/>
      <protection/>
    </xf>
    <xf numFmtId="183" fontId="4" fillId="0" borderId="2" applyFill="0" applyBorder="0">
      <alignment/>
      <protection/>
    </xf>
    <xf numFmtId="178" fontId="5" fillId="3" borderId="3">
      <alignment/>
      <protection/>
    </xf>
    <xf numFmtId="183" fontId="5" fillId="3" borderId="3">
      <alignment/>
      <protection/>
    </xf>
    <xf numFmtId="0" fontId="7" fillId="0" borderId="1">
      <alignment/>
      <protection/>
    </xf>
    <xf numFmtId="0" fontId="9" fillId="4" borderId="0">
      <alignment/>
      <protection/>
    </xf>
    <xf numFmtId="0" fontId="8" fillId="0" borderId="4">
      <alignment/>
      <protection/>
    </xf>
    <xf numFmtId="0" fontId="8" fillId="0" borderId="1">
      <alignment/>
      <protection/>
    </xf>
    <xf numFmtId="165" fontId="0" fillId="0" borderId="0" applyFont="0" applyFill="0" applyBorder="0" applyAlignment="0" applyProtection="0"/>
    <xf numFmtId="164" fontId="0" fillId="0" borderId="0" applyFont="0" applyFill="0" applyBorder="0" applyAlignment="0" applyProtection="0"/>
  </cellStyleXfs>
  <cellXfs count="1421">
    <xf numFmtId="0" fontId="0" fillId="0" borderId="0" xfId="0" applyAlignment="1">
      <alignment/>
    </xf>
    <xf numFmtId="0" fontId="1" fillId="0" borderId="0" xfId="0" applyNumberFormat="1" applyFont="1" applyAlignment="1" applyProtection="1">
      <alignment/>
      <protection hidden="1"/>
    </xf>
    <xf numFmtId="0" fontId="0" fillId="0" borderId="0" xfId="0" applyAlignment="1" applyProtection="1">
      <alignment/>
      <protection hidden="1"/>
    </xf>
    <xf numFmtId="0" fontId="0" fillId="0" borderId="0" xfId="0" applyAlignment="1" applyProtection="1">
      <alignment horizontal="left"/>
      <protection hidden="1"/>
    </xf>
    <xf numFmtId="0" fontId="1" fillId="0" borderId="0" xfId="0" applyFont="1" applyBorder="1" applyAlignment="1" applyProtection="1">
      <alignment/>
      <protection hidden="1"/>
    </xf>
    <xf numFmtId="0" fontId="0" fillId="0" borderId="0" xfId="0" applyBorder="1" applyAlignment="1" applyProtection="1">
      <alignment/>
      <protection hidden="1"/>
    </xf>
    <xf numFmtId="0" fontId="2" fillId="0" borderId="5" xfId="0" applyNumberFormat="1" applyFont="1" applyBorder="1" applyAlignment="1" applyProtection="1">
      <alignment vertical="center"/>
      <protection hidden="1"/>
    </xf>
    <xf numFmtId="0" fontId="2" fillId="0" borderId="5" xfId="0" applyFont="1" applyBorder="1" applyAlignment="1" applyProtection="1">
      <alignment vertical="center"/>
      <protection hidden="1"/>
    </xf>
    <xf numFmtId="0" fontId="13" fillId="0" borderId="5" xfId="0" applyNumberFormat="1" applyFont="1" applyBorder="1" applyAlignment="1" applyProtection="1">
      <alignment vertical="center"/>
      <protection hidden="1"/>
    </xf>
    <xf numFmtId="0" fontId="6" fillId="0" borderId="5" xfId="0" applyFont="1" applyBorder="1" applyAlignment="1" applyProtection="1">
      <alignment vertical="center"/>
      <protection hidden="1"/>
    </xf>
    <xf numFmtId="186" fontId="2" fillId="0" borderId="6" xfId="0" applyNumberFormat="1" applyFont="1" applyBorder="1" applyAlignment="1" applyProtection="1">
      <alignment horizontal="right" vertical="center"/>
      <protection hidden="1"/>
    </xf>
    <xf numFmtId="0" fontId="2"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5" fillId="0" borderId="0" xfId="0" applyNumberFormat="1" applyFont="1" applyBorder="1" applyAlignment="1" applyProtection="1">
      <alignment horizontal="left"/>
      <protection hidden="1"/>
    </xf>
    <xf numFmtId="37" fontId="0" fillId="0" borderId="0" xfId="0" applyNumberFormat="1" applyAlignment="1" applyProtection="1">
      <alignment/>
      <protection hidden="1"/>
    </xf>
    <xf numFmtId="2" fontId="0" fillId="0" borderId="0" xfId="0" applyNumberFormat="1" applyFont="1" applyAlignment="1" applyProtection="1">
      <alignment/>
      <protection hidden="1"/>
    </xf>
    <xf numFmtId="37" fontId="0" fillId="0" borderId="0" xfId="0" applyNumberFormat="1" applyFont="1" applyAlignment="1" applyProtection="1">
      <alignment/>
      <protection hidden="1"/>
    </xf>
    <xf numFmtId="37" fontId="1" fillId="0" borderId="0" xfId="0" applyNumberFormat="1" applyFont="1" applyBorder="1" applyAlignment="1" applyProtection="1">
      <alignment horizontal="left"/>
      <protection hidden="1"/>
    </xf>
    <xf numFmtId="37" fontId="1" fillId="0" borderId="0" xfId="0" applyNumberFormat="1" applyFont="1" applyBorder="1" applyAlignment="1" applyProtection="1">
      <alignment horizontal="center"/>
      <protection hidden="1"/>
    </xf>
    <xf numFmtId="0" fontId="1" fillId="0" borderId="0" xfId="32" applyFont="1" applyBorder="1" applyAlignment="1" applyProtection="1">
      <alignment horizontal="left"/>
      <protection hidden="1"/>
    </xf>
    <xf numFmtId="0" fontId="3" fillId="0" borderId="0" xfId="0" applyNumberFormat="1" applyFont="1" applyBorder="1" applyAlignment="1" applyProtection="1">
      <alignment vertical="center"/>
      <protection hidden="1"/>
    </xf>
    <xf numFmtId="37" fontId="3" fillId="3" borderId="3" xfId="0" applyNumberFormat="1" applyFont="1" applyFill="1" applyBorder="1" applyAlignment="1" applyProtection="1">
      <alignment horizontal="left" vertical="center"/>
      <protection hidden="1"/>
    </xf>
    <xf numFmtId="37" fontId="3" fillId="3" borderId="7" xfId="0" applyNumberFormat="1" applyFont="1" applyFill="1" applyBorder="1" applyAlignment="1" applyProtection="1">
      <alignment horizontal="right" vertical="center"/>
      <protection hidden="1"/>
    </xf>
    <xf numFmtId="37" fontId="3" fillId="0" borderId="0" xfId="0" applyNumberFormat="1" applyFont="1" applyBorder="1" applyAlignment="1" applyProtection="1">
      <alignment vertical="center"/>
      <protection hidden="1"/>
    </xf>
    <xf numFmtId="37" fontId="3" fillId="3" borderId="3" xfId="0" applyNumberFormat="1" applyFont="1" applyFill="1" applyBorder="1" applyAlignment="1" applyProtection="1">
      <alignment horizontal="right" vertical="center"/>
      <protection hidden="1"/>
    </xf>
    <xf numFmtId="0" fontId="5" fillId="0" borderId="0" xfId="0" applyNumberFormat="1" applyFont="1" applyBorder="1" applyAlignment="1" applyProtection="1">
      <alignment/>
      <protection hidden="1"/>
    </xf>
    <xf numFmtId="37" fontId="5" fillId="0" borderId="0" xfId="0" applyNumberFormat="1" applyFont="1" applyBorder="1" applyAlignment="1" applyProtection="1">
      <alignment/>
      <protection hidden="1"/>
    </xf>
    <xf numFmtId="0" fontId="5" fillId="0" borderId="0" xfId="0" applyFont="1" applyBorder="1" applyAlignment="1" applyProtection="1">
      <alignment horizontal="left" vertical="top"/>
      <protection hidden="1"/>
    </xf>
    <xf numFmtId="0" fontId="5" fillId="0" borderId="0" xfId="0" applyFont="1" applyBorder="1" applyAlignment="1" applyProtection="1">
      <alignment horizontal="right" vertical="top"/>
      <protection hidden="1"/>
    </xf>
    <xf numFmtId="0" fontId="5" fillId="0" borderId="0" xfId="0" applyFont="1" applyBorder="1" applyAlignment="1" applyProtection="1">
      <alignment horizontal="right"/>
      <protection hidden="1"/>
    </xf>
    <xf numFmtId="0" fontId="5" fillId="3" borderId="8" xfId="0" applyNumberFormat="1" applyFont="1" applyFill="1" applyBorder="1" applyAlignment="1" applyProtection="1">
      <alignment horizontal="left"/>
      <protection hidden="1"/>
    </xf>
    <xf numFmtId="0" fontId="5" fillId="3" borderId="9" xfId="0" applyNumberFormat="1" applyFont="1" applyFill="1" applyBorder="1" applyAlignment="1" applyProtection="1">
      <alignment horizontal="left"/>
      <protection hidden="1"/>
    </xf>
    <xf numFmtId="37" fontId="5" fillId="0" borderId="0" xfId="0" applyNumberFormat="1" applyFont="1" applyBorder="1" applyAlignment="1" applyProtection="1">
      <alignment horizontal="left"/>
      <protection hidden="1"/>
    </xf>
    <xf numFmtId="0" fontId="5" fillId="3" borderId="10" xfId="0" applyNumberFormat="1" applyFont="1" applyFill="1" applyBorder="1" applyAlignment="1" applyProtection="1">
      <alignment horizontal="left"/>
      <protection hidden="1"/>
    </xf>
    <xf numFmtId="0" fontId="5" fillId="3" borderId="11" xfId="0" applyNumberFormat="1" applyFont="1" applyFill="1" applyBorder="1" applyAlignment="1" applyProtection="1">
      <alignment horizontal="left"/>
      <protection hidden="1"/>
    </xf>
    <xf numFmtId="37" fontId="4" fillId="0" borderId="12" xfId="0" applyNumberFormat="1" applyFont="1" applyFill="1" applyBorder="1" applyAlignment="1" applyProtection="1">
      <alignment/>
      <protection hidden="1"/>
    </xf>
    <xf numFmtId="0" fontId="5" fillId="3" borderId="3" xfId="0" applyNumberFormat="1" applyFont="1" applyFill="1" applyBorder="1" applyAlignment="1" applyProtection="1">
      <alignment horizontal="left"/>
      <protection hidden="1"/>
    </xf>
    <xf numFmtId="37" fontId="5" fillId="3" borderId="5" xfId="0" applyNumberFormat="1" applyFont="1" applyFill="1" applyBorder="1" applyAlignment="1" applyProtection="1">
      <alignment/>
      <protection hidden="1"/>
    </xf>
    <xf numFmtId="184" fontId="4" fillId="3" borderId="5" xfId="34" applyNumberFormat="1" applyFont="1" applyFill="1" applyBorder="1" applyAlignment="1" applyProtection="1">
      <alignment horizontal="left"/>
      <protection hidden="1"/>
    </xf>
    <xf numFmtId="184" fontId="4" fillId="3" borderId="5" xfId="36" applyNumberFormat="1" applyFont="1" applyFill="1" applyBorder="1" applyAlignment="1" applyProtection="1">
      <alignment/>
      <protection hidden="1"/>
    </xf>
    <xf numFmtId="0" fontId="5" fillId="0" borderId="0" xfId="0" applyNumberFormat="1" applyFont="1" applyAlignment="1" applyProtection="1">
      <alignment/>
      <protection hidden="1"/>
    </xf>
    <xf numFmtId="0" fontId="4" fillId="0" borderId="0" xfId="0" applyFont="1" applyAlignment="1" applyProtection="1">
      <alignment/>
      <protection hidden="1"/>
    </xf>
    <xf numFmtId="0" fontId="4" fillId="0" borderId="0" xfId="0" applyFont="1" applyAlignment="1" applyProtection="1">
      <alignment horizontal="left"/>
      <protection hidden="1"/>
    </xf>
    <xf numFmtId="0" fontId="5" fillId="0" borderId="0" xfId="0" applyFont="1" applyBorder="1" applyAlignment="1" applyProtection="1">
      <alignment horizontal="left"/>
      <protection hidden="1"/>
    </xf>
    <xf numFmtId="0" fontId="5" fillId="0" borderId="0" xfId="0" applyFont="1" applyBorder="1" applyAlignment="1" applyProtection="1">
      <alignment/>
      <protection hidden="1"/>
    </xf>
    <xf numFmtId="184" fontId="4" fillId="3" borderId="7" xfId="36" applyNumberFormat="1" applyFont="1" applyFill="1" applyBorder="1" applyAlignment="1" applyProtection="1">
      <alignment/>
      <protection hidden="1"/>
    </xf>
    <xf numFmtId="0" fontId="5" fillId="0" borderId="0" xfId="0" applyFont="1" applyAlignment="1" applyProtection="1">
      <alignment/>
      <protection hidden="1"/>
    </xf>
    <xf numFmtId="0" fontId="4" fillId="0" borderId="0" xfId="0" applyFont="1" applyAlignment="1" applyProtection="1">
      <alignment vertical="top"/>
      <protection hidden="1"/>
    </xf>
    <xf numFmtId="37" fontId="4" fillId="0" borderId="13" xfId="0" applyNumberFormat="1" applyFont="1" applyFill="1" applyBorder="1" applyAlignment="1" applyProtection="1">
      <alignment/>
      <protection hidden="1" locked="0"/>
    </xf>
    <xf numFmtId="0" fontId="4" fillId="0" borderId="13" xfId="0" applyFont="1" applyFill="1" applyBorder="1" applyAlignment="1" applyProtection="1">
      <alignment/>
      <protection hidden="1" locked="0"/>
    </xf>
    <xf numFmtId="0" fontId="5" fillId="3" borderId="14" xfId="0" applyNumberFormat="1" applyFont="1" applyFill="1" applyBorder="1" applyAlignment="1" applyProtection="1">
      <alignment horizontal="left"/>
      <protection hidden="1"/>
    </xf>
    <xf numFmtId="0" fontId="4" fillId="3" borderId="5" xfId="0" applyFont="1" applyFill="1" applyBorder="1" applyAlignment="1" applyProtection="1">
      <alignment/>
      <protection hidden="1"/>
    </xf>
    <xf numFmtId="0" fontId="1" fillId="0" borderId="0" xfId="0" applyNumberFormat="1" applyFont="1" applyBorder="1" applyAlignment="1" applyProtection="1">
      <alignment/>
      <protection hidden="1"/>
    </xf>
    <xf numFmtId="0" fontId="5" fillId="3" borderId="15" xfId="0" applyNumberFormat="1" applyFont="1" applyFill="1" applyBorder="1" applyAlignment="1" applyProtection="1">
      <alignment horizontal="left"/>
      <protection hidden="1"/>
    </xf>
    <xf numFmtId="37" fontId="4" fillId="0" borderId="6" xfId="0" applyNumberFormat="1" applyFont="1" applyFill="1" applyBorder="1" applyAlignment="1" applyProtection="1">
      <alignment/>
      <protection hidden="1" locked="0"/>
    </xf>
    <xf numFmtId="0" fontId="4" fillId="0" borderId="6" xfId="0" applyFont="1" applyFill="1" applyBorder="1" applyAlignment="1" applyProtection="1">
      <alignment/>
      <protection hidden="1" locked="0"/>
    </xf>
    <xf numFmtId="166" fontId="4" fillId="0" borderId="0" xfId="0" applyNumberFormat="1" applyFont="1" applyBorder="1" applyAlignment="1" applyProtection="1">
      <alignment horizontal="center"/>
      <protection hidden="1"/>
    </xf>
    <xf numFmtId="178" fontId="4" fillId="0" borderId="0" xfId="34" applyFont="1" applyBorder="1" applyAlignment="1" applyProtection="1">
      <alignment/>
      <protection hidden="1"/>
    </xf>
    <xf numFmtId="37" fontId="5" fillId="3" borderId="16" xfId="0" applyNumberFormat="1" applyFont="1" applyFill="1" applyBorder="1" applyAlignment="1" applyProtection="1">
      <alignment/>
      <protection hidden="1"/>
    </xf>
    <xf numFmtId="0" fontId="5" fillId="3" borderId="5" xfId="0" applyFont="1" applyFill="1" applyBorder="1" applyAlignment="1" applyProtection="1">
      <alignment/>
      <protection hidden="1"/>
    </xf>
    <xf numFmtId="0" fontId="5" fillId="3" borderId="7" xfId="0" applyFont="1" applyFill="1" applyBorder="1" applyAlignment="1" applyProtection="1">
      <alignment/>
      <protection hidden="1"/>
    </xf>
    <xf numFmtId="37" fontId="3" fillId="0" borderId="0" xfId="0" applyNumberFormat="1" applyFont="1" applyFill="1" applyBorder="1" applyAlignment="1" applyProtection="1">
      <alignment horizontal="right" vertical="center"/>
      <protection hidden="1"/>
    </xf>
    <xf numFmtId="185" fontId="3" fillId="0" borderId="0" xfId="0" applyNumberFormat="1" applyFont="1" applyFill="1" applyBorder="1" applyAlignment="1" applyProtection="1">
      <alignment horizontal="right" vertical="center"/>
      <protection hidden="1"/>
    </xf>
    <xf numFmtId="0" fontId="3" fillId="0" borderId="0" xfId="0" applyNumberFormat="1" applyFont="1" applyBorder="1" applyAlignment="1" applyProtection="1">
      <alignment/>
      <protection hidden="1"/>
    </xf>
    <xf numFmtId="37" fontId="3" fillId="0" borderId="0" xfId="0" applyNumberFormat="1" applyFont="1" applyBorder="1" applyAlignment="1" applyProtection="1">
      <alignment/>
      <protection hidden="1"/>
    </xf>
    <xf numFmtId="0" fontId="1" fillId="0" borderId="0" xfId="0" applyFont="1" applyBorder="1" applyAlignment="1" applyProtection="1">
      <alignment horizontal="right" vertical="top"/>
      <protection hidden="1"/>
    </xf>
    <xf numFmtId="0" fontId="1" fillId="0" borderId="0" xfId="0" applyFont="1" applyBorder="1" applyAlignment="1" applyProtection="1">
      <alignment horizontal="right"/>
      <protection hidden="1"/>
    </xf>
    <xf numFmtId="37" fontId="3" fillId="0" borderId="0" xfId="0" applyNumberFormat="1" applyFont="1" applyFill="1" applyBorder="1" applyAlignment="1" applyProtection="1">
      <alignment/>
      <protection hidden="1"/>
    </xf>
    <xf numFmtId="0" fontId="1" fillId="0" borderId="0" xfId="0" applyFont="1" applyFill="1" applyBorder="1" applyAlignment="1" applyProtection="1">
      <alignment horizontal="right" vertical="top"/>
      <protection hidden="1"/>
    </xf>
    <xf numFmtId="0" fontId="1" fillId="0" borderId="0" xfId="0" applyFont="1" applyFill="1" applyBorder="1" applyAlignment="1" applyProtection="1">
      <alignment horizontal="right"/>
      <protection hidden="1"/>
    </xf>
    <xf numFmtId="0" fontId="5" fillId="0" borderId="0" xfId="0" applyNumberFormat="1" applyFont="1" applyFill="1" applyBorder="1" applyAlignment="1" applyProtection="1">
      <alignment horizontal="left"/>
      <protection hidden="1"/>
    </xf>
    <xf numFmtId="0" fontId="5" fillId="0" borderId="0" xfId="0" applyFont="1" applyFill="1" applyBorder="1" applyAlignment="1" applyProtection="1">
      <alignment vertical="top"/>
      <protection hidden="1"/>
    </xf>
    <xf numFmtId="0" fontId="4" fillId="0" borderId="0" xfId="0" applyFont="1" applyFill="1" applyBorder="1" applyAlignment="1" applyProtection="1">
      <alignment vertical="top"/>
      <protection hidden="1"/>
    </xf>
    <xf numFmtId="0" fontId="10" fillId="0" borderId="17" xfId="0" applyNumberFormat="1" applyFont="1" applyFill="1" applyBorder="1" applyAlignment="1" applyProtection="1">
      <alignment horizontal="right"/>
      <protection hidden="1"/>
    </xf>
    <xf numFmtId="0" fontId="1" fillId="0" borderId="0" xfId="0" applyNumberFormat="1" applyFont="1" applyFill="1" applyBorder="1" applyAlignment="1" applyProtection="1">
      <alignment/>
      <protection hidden="1"/>
    </xf>
    <xf numFmtId="0" fontId="0" fillId="0" borderId="0" xfId="0" applyFill="1" applyBorder="1" applyAlignment="1" applyProtection="1">
      <alignment/>
      <protection hidden="1"/>
    </xf>
    <xf numFmtId="0" fontId="5" fillId="0" borderId="17" xfId="0" applyFont="1" applyFill="1" applyBorder="1" applyAlignment="1" applyProtection="1">
      <alignment horizontal="right"/>
      <protection hidden="1"/>
    </xf>
    <xf numFmtId="0" fontId="4" fillId="0" borderId="18" xfId="0" applyFont="1" applyFill="1" applyBorder="1" applyAlignment="1" applyProtection="1">
      <alignment/>
      <protection hidden="1"/>
    </xf>
    <xf numFmtId="178" fontId="4" fillId="0" borderId="19" xfId="34" applyFont="1" applyFill="1" applyBorder="1" applyAlignment="1" applyProtection="1">
      <alignment/>
      <protection hidden="1"/>
    </xf>
    <xf numFmtId="178" fontId="4" fillId="3" borderId="7" xfId="34" applyFont="1" applyFill="1" applyBorder="1" applyAlignment="1" applyProtection="1">
      <alignment/>
      <protection hidden="1"/>
    </xf>
    <xf numFmtId="0" fontId="5" fillId="3" borderId="2" xfId="0" applyNumberFormat="1" applyFont="1" applyFill="1" applyBorder="1" applyAlignment="1" applyProtection="1">
      <alignment horizontal="left"/>
      <protection hidden="1"/>
    </xf>
    <xf numFmtId="0" fontId="5" fillId="0" borderId="20" xfId="0" applyFont="1" applyFill="1" applyBorder="1" applyAlignment="1" applyProtection="1">
      <alignment horizontal="right"/>
      <protection hidden="1"/>
    </xf>
    <xf numFmtId="0" fontId="5" fillId="0" borderId="0" xfId="0" applyNumberFormat="1" applyFont="1" applyFill="1" applyBorder="1" applyAlignment="1" applyProtection="1">
      <alignment/>
      <protection hidden="1"/>
    </xf>
    <xf numFmtId="0" fontId="4" fillId="0" borderId="0" xfId="0" applyFont="1" applyFill="1" applyBorder="1" applyAlignment="1" applyProtection="1">
      <alignment/>
      <protection hidden="1"/>
    </xf>
    <xf numFmtId="0" fontId="1" fillId="0" borderId="0" xfId="0" applyFont="1" applyFill="1" applyBorder="1" applyAlignment="1" applyProtection="1">
      <alignment/>
      <protection hidden="1"/>
    </xf>
    <xf numFmtId="0" fontId="1" fillId="0" borderId="0" xfId="0" applyNumberFormat="1" applyFont="1" applyFill="1" applyAlignment="1" applyProtection="1">
      <alignment/>
      <protection hidden="1"/>
    </xf>
    <xf numFmtId="0" fontId="0" fillId="0" borderId="0" xfId="0" applyFill="1" applyAlignment="1" applyProtection="1">
      <alignment/>
      <protection hidden="1"/>
    </xf>
    <xf numFmtId="0" fontId="10" fillId="0" borderId="13" xfId="0" applyFont="1" applyFill="1" applyBorder="1" applyAlignment="1" applyProtection="1">
      <alignment horizontal="right"/>
      <protection hidden="1"/>
    </xf>
    <xf numFmtId="178" fontId="4" fillId="3" borderId="5" xfId="34" applyFont="1" applyFill="1" applyBorder="1" applyAlignment="1" applyProtection="1">
      <alignment/>
      <protection hidden="1"/>
    </xf>
    <xf numFmtId="0" fontId="4" fillId="0" borderId="0" xfId="0" applyFont="1" applyBorder="1" applyAlignment="1" applyProtection="1">
      <alignment/>
      <protection hidden="1"/>
    </xf>
    <xf numFmtId="0" fontId="4" fillId="0" borderId="0" xfId="0" applyFont="1" applyBorder="1" applyAlignment="1" applyProtection="1">
      <alignment vertical="center"/>
      <protection hidden="1"/>
    </xf>
    <xf numFmtId="0" fontId="4" fillId="0" borderId="0" xfId="0" applyFont="1" applyAlignment="1" applyProtection="1">
      <alignment vertical="center"/>
      <protection hidden="1"/>
    </xf>
    <xf numFmtId="0" fontId="0" fillId="0" borderId="0" xfId="0" applyFont="1" applyAlignment="1" applyProtection="1">
      <alignment/>
      <protection hidden="1"/>
    </xf>
    <xf numFmtId="37" fontId="5" fillId="0" borderId="0" xfId="0" applyNumberFormat="1" applyFont="1" applyAlignment="1" applyProtection="1">
      <alignment/>
      <protection hidden="1"/>
    </xf>
    <xf numFmtId="37" fontId="4" fillId="0" borderId="0" xfId="0" applyNumberFormat="1" applyFont="1" applyAlignment="1" applyProtection="1">
      <alignment/>
      <protection hidden="1"/>
    </xf>
    <xf numFmtId="0" fontId="0" fillId="0" borderId="0" xfId="0" applyFont="1" applyBorder="1" applyAlignment="1" applyProtection="1">
      <alignment/>
      <protection hidden="1"/>
    </xf>
    <xf numFmtId="2" fontId="0" fillId="0" borderId="0" xfId="0" applyNumberFormat="1" applyFont="1" applyAlignment="1" applyProtection="1">
      <alignment horizontal="left"/>
      <protection hidden="1"/>
    </xf>
    <xf numFmtId="0" fontId="1" fillId="0" borderId="0" xfId="0" applyNumberFormat="1" applyFont="1" applyBorder="1" applyAlignment="1" applyProtection="1">
      <alignment horizontal="left"/>
      <protection hidden="1"/>
    </xf>
    <xf numFmtId="0" fontId="3" fillId="0" borderId="0" xfId="0" applyFont="1" applyFill="1" applyBorder="1" applyAlignment="1" applyProtection="1">
      <alignment horizontal="left"/>
      <protection hidden="1"/>
    </xf>
    <xf numFmtId="170" fontId="3" fillId="0" borderId="0" xfId="0" applyNumberFormat="1" applyFont="1" applyFill="1" applyBorder="1" applyAlignment="1" applyProtection="1">
      <alignment horizontal="left"/>
      <protection hidden="1"/>
    </xf>
    <xf numFmtId="0" fontId="3" fillId="0" borderId="0" xfId="0" applyNumberFormat="1" applyFont="1" applyFill="1" applyBorder="1" applyAlignment="1" applyProtection="1">
      <alignment horizontal="right"/>
      <protection hidden="1"/>
    </xf>
    <xf numFmtId="37" fontId="3" fillId="0" borderId="0" xfId="0" applyNumberFormat="1" applyFont="1" applyFill="1" applyBorder="1" applyAlignment="1" applyProtection="1">
      <alignment horizontal="center"/>
      <protection hidden="1"/>
    </xf>
    <xf numFmtId="0" fontId="3" fillId="0" borderId="0" xfId="0" applyFont="1" applyFill="1" applyBorder="1" applyAlignment="1" applyProtection="1">
      <alignment horizontal="right"/>
      <protection hidden="1"/>
    </xf>
    <xf numFmtId="0" fontId="3" fillId="0" borderId="0" xfId="0" applyFont="1" applyFill="1" applyAlignment="1" applyProtection="1">
      <alignment/>
      <protection hidden="1"/>
    </xf>
    <xf numFmtId="37" fontId="3" fillId="3" borderId="21" xfId="0" applyNumberFormat="1" applyFont="1" applyFill="1" applyBorder="1" applyAlignment="1" applyProtection="1">
      <alignment horizontal="right" vertical="center"/>
      <protection hidden="1"/>
    </xf>
    <xf numFmtId="189" fontId="3" fillId="3" borderId="14" xfId="0" applyNumberFormat="1" applyFont="1" applyFill="1" applyBorder="1" applyAlignment="1" applyProtection="1">
      <alignment horizontal="right" vertical="center"/>
      <protection hidden="1"/>
    </xf>
    <xf numFmtId="0" fontId="3" fillId="3" borderId="22" xfId="0" applyFont="1" applyFill="1" applyBorder="1" applyAlignment="1" applyProtection="1">
      <alignment horizontal="right" vertical="center"/>
      <protection hidden="1"/>
    </xf>
    <xf numFmtId="0" fontId="3" fillId="3" borderId="3" xfId="0" applyFont="1" applyFill="1" applyBorder="1" applyAlignment="1" applyProtection="1">
      <alignment horizontal="right" vertical="center"/>
      <protection hidden="1"/>
    </xf>
    <xf numFmtId="0" fontId="3" fillId="3" borderId="14" xfId="0" applyFont="1" applyFill="1" applyBorder="1" applyAlignment="1" applyProtection="1">
      <alignment horizontal="right" vertical="center"/>
      <protection hidden="1"/>
    </xf>
    <xf numFmtId="170" fontId="5" fillId="0" borderId="0" xfId="0" applyNumberFormat="1" applyFont="1" applyFill="1" applyBorder="1" applyAlignment="1" applyProtection="1">
      <alignment horizontal="left"/>
      <protection hidden="1"/>
    </xf>
    <xf numFmtId="0" fontId="5" fillId="0" borderId="0" xfId="0" applyNumberFormat="1" applyFont="1" applyFill="1" applyBorder="1" applyAlignment="1" applyProtection="1">
      <alignment horizontal="right"/>
      <protection hidden="1"/>
    </xf>
    <xf numFmtId="37" fontId="5" fillId="0" borderId="0" xfId="0" applyNumberFormat="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0" fontId="2" fillId="0" borderId="0" xfId="0" applyNumberFormat="1" applyFont="1" applyBorder="1" applyAlignment="1" applyProtection="1">
      <alignment horizontal="left"/>
      <protection hidden="1"/>
    </xf>
    <xf numFmtId="0" fontId="3" fillId="0" borderId="0" xfId="0" applyFont="1" applyBorder="1" applyAlignment="1" applyProtection="1">
      <alignment horizontal="left"/>
      <protection hidden="1"/>
    </xf>
    <xf numFmtId="0" fontId="2"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Alignment="1" applyProtection="1">
      <alignment/>
      <protection hidden="1"/>
    </xf>
    <xf numFmtId="37" fontId="5" fillId="0" borderId="0" xfId="0" applyNumberFormat="1" applyFont="1" applyFill="1" applyBorder="1" applyAlignment="1" applyProtection="1">
      <alignment horizontal="right"/>
      <protection hidden="1"/>
    </xf>
    <xf numFmtId="0" fontId="10" fillId="0" borderId="0" xfId="0" applyFont="1" applyBorder="1" applyAlignment="1" applyProtection="1">
      <alignment horizontal="right"/>
      <protection hidden="1"/>
    </xf>
    <xf numFmtId="0" fontId="4" fillId="0" borderId="17" xfId="0" applyFont="1" applyFill="1" applyBorder="1" applyAlignment="1" applyProtection="1">
      <alignment/>
      <protection hidden="1"/>
    </xf>
    <xf numFmtId="170" fontId="0" fillId="0" borderId="0" xfId="0" applyNumberFormat="1" applyAlignment="1" applyProtection="1">
      <alignment horizontal="left"/>
      <protection hidden="1"/>
    </xf>
    <xf numFmtId="37" fontId="5" fillId="0" borderId="0" xfId="0" applyNumberFormat="1" applyFont="1" applyFill="1" applyBorder="1" applyAlignment="1" applyProtection="1">
      <alignment horizontal="right" vertical="center"/>
      <protection hidden="1"/>
    </xf>
    <xf numFmtId="0" fontId="5" fillId="0" borderId="0" xfId="32" applyFont="1" applyAlignment="1" applyProtection="1">
      <alignment horizontal="left"/>
      <protection hidden="1"/>
    </xf>
    <xf numFmtId="0" fontId="5" fillId="3" borderId="8" xfId="32" applyFont="1" applyFill="1" applyBorder="1" applyAlignment="1" applyProtection="1">
      <alignment horizontal="left"/>
      <protection hidden="1"/>
    </xf>
    <xf numFmtId="0" fontId="5" fillId="3" borderId="10" xfId="32" applyFont="1" applyFill="1" applyBorder="1" applyAlignment="1" applyProtection="1">
      <alignment horizontal="left"/>
      <protection hidden="1"/>
    </xf>
    <xf numFmtId="0" fontId="4" fillId="0" borderId="0" xfId="32" applyFont="1" applyBorder="1" applyAlignment="1" applyProtection="1">
      <alignment horizontal="center"/>
      <protection hidden="1"/>
    </xf>
    <xf numFmtId="0" fontId="5" fillId="3" borderId="15" xfId="32" applyFont="1" applyFill="1" applyBorder="1" applyAlignment="1" applyProtection="1">
      <alignment horizontal="left"/>
      <protection hidden="1"/>
    </xf>
    <xf numFmtId="0" fontId="5" fillId="3" borderId="3" xfId="32" applyFont="1" applyFill="1" applyBorder="1" applyAlignment="1" applyProtection="1">
      <alignment horizontal="left"/>
      <protection hidden="1"/>
    </xf>
    <xf numFmtId="0" fontId="5" fillId="3" borderId="3" xfId="0" applyFont="1" applyFill="1" applyBorder="1" applyAlignment="1" applyProtection="1">
      <alignment horizontal="left"/>
      <protection hidden="1"/>
    </xf>
    <xf numFmtId="0" fontId="4" fillId="0" borderId="0" xfId="32" applyFont="1" applyAlignment="1" applyProtection="1">
      <alignment horizontal="left"/>
      <protection hidden="1"/>
    </xf>
    <xf numFmtId="37" fontId="5" fillId="0" borderId="0" xfId="0" applyNumberFormat="1" applyFont="1" applyFill="1" applyBorder="1" applyAlignment="1" applyProtection="1">
      <alignment/>
      <protection hidden="1"/>
    </xf>
    <xf numFmtId="0" fontId="5" fillId="3" borderId="8" xfId="0" applyFont="1" applyFill="1" applyBorder="1" applyAlignment="1" applyProtection="1">
      <alignment horizontal="left"/>
      <protection hidden="1"/>
    </xf>
    <xf numFmtId="0" fontId="4" fillId="0" borderId="13" xfId="0" applyFont="1" applyFill="1" applyBorder="1" applyAlignment="1" applyProtection="1">
      <alignment/>
      <protection hidden="1"/>
    </xf>
    <xf numFmtId="0" fontId="5" fillId="3" borderId="10" xfId="0" applyFont="1" applyFill="1" applyBorder="1" applyAlignment="1" applyProtection="1">
      <alignment horizontal="left"/>
      <protection hidden="1"/>
    </xf>
    <xf numFmtId="182" fontId="4" fillId="0" borderId="23" xfId="0" applyNumberFormat="1" applyFont="1" applyFill="1" applyBorder="1" applyAlignment="1" applyProtection="1">
      <alignment horizontal="left"/>
      <protection hidden="1" locked="0"/>
    </xf>
    <xf numFmtId="2" fontId="0" fillId="0" borderId="0" xfId="0" applyNumberFormat="1" applyAlignment="1" applyProtection="1">
      <alignment/>
      <protection hidden="1"/>
    </xf>
    <xf numFmtId="37" fontId="0" fillId="0" borderId="0" xfId="0" applyNumberFormat="1" applyAlignment="1" applyProtection="1">
      <alignment horizontal="center"/>
      <protection hidden="1"/>
    </xf>
    <xf numFmtId="37" fontId="0" fillId="0" borderId="0" xfId="0" applyNumberFormat="1" applyBorder="1" applyAlignment="1" applyProtection="1">
      <alignment/>
      <protection hidden="1"/>
    </xf>
    <xf numFmtId="37" fontId="0" fillId="0" borderId="0" xfId="0" applyNumberFormat="1" applyBorder="1" applyAlignment="1" applyProtection="1">
      <alignment horizontal="center"/>
      <protection hidden="1"/>
    </xf>
    <xf numFmtId="188" fontId="4" fillId="0" borderId="23" xfId="0" applyNumberFormat="1" applyFont="1" applyFill="1" applyBorder="1" applyAlignment="1" applyProtection="1">
      <alignment horizontal="left"/>
      <protection hidden="1"/>
    </xf>
    <xf numFmtId="0" fontId="4" fillId="0" borderId="23" xfId="0" applyNumberFormat="1" applyFont="1" applyFill="1" applyBorder="1" applyAlignment="1" applyProtection="1">
      <alignment horizontal="left"/>
      <protection hidden="1"/>
    </xf>
    <xf numFmtId="0" fontId="4" fillId="5" borderId="24" xfId="0" applyNumberFormat="1" applyFont="1" applyFill="1" applyBorder="1" applyAlignment="1" applyProtection="1">
      <alignment horizontal="left"/>
      <protection hidden="1"/>
    </xf>
    <xf numFmtId="188" fontId="4" fillId="5" borderId="24" xfId="0" applyNumberFormat="1" applyFont="1" applyFill="1" applyBorder="1" applyAlignment="1" applyProtection="1">
      <alignment horizontal="left"/>
      <protection hidden="1"/>
    </xf>
    <xf numFmtId="0" fontId="4" fillId="3" borderId="5" xfId="0" applyNumberFormat="1" applyFont="1" applyFill="1" applyBorder="1" applyAlignment="1" applyProtection="1">
      <alignment horizontal="left"/>
      <protection hidden="1"/>
    </xf>
    <xf numFmtId="178" fontId="4" fillId="0" borderId="0" xfId="0" applyNumberFormat="1" applyFont="1" applyBorder="1" applyAlignment="1" applyProtection="1">
      <alignment/>
      <protection hidden="1"/>
    </xf>
    <xf numFmtId="49" fontId="4" fillId="0" borderId="0" xfId="0" applyNumberFormat="1" applyFont="1" applyBorder="1" applyAlignment="1" applyProtection="1">
      <alignment horizontal="center"/>
      <protection hidden="1"/>
    </xf>
    <xf numFmtId="183" fontId="4" fillId="6" borderId="23" xfId="36" applyFont="1" applyFill="1" applyBorder="1" applyAlignment="1" applyProtection="1">
      <alignment horizontal="right"/>
      <protection hidden="1"/>
    </xf>
    <xf numFmtId="49" fontId="5" fillId="6" borderId="25" xfId="0" applyNumberFormat="1" applyFont="1" applyFill="1" applyBorder="1" applyAlignment="1" applyProtection="1">
      <alignment horizontal="left"/>
      <protection hidden="1"/>
    </xf>
    <xf numFmtId="183" fontId="4" fillId="0" borderId="0" xfId="36" applyFont="1" applyFill="1" applyBorder="1" applyAlignment="1" applyProtection="1">
      <alignment horizontal="right"/>
      <protection hidden="1"/>
    </xf>
    <xf numFmtId="49" fontId="5" fillId="0" borderId="0" xfId="0" applyNumberFormat="1" applyFont="1" applyFill="1" applyBorder="1" applyAlignment="1" applyProtection="1">
      <alignment horizontal="left"/>
      <protection hidden="1"/>
    </xf>
    <xf numFmtId="49" fontId="5" fillId="0" borderId="13" xfId="0" applyNumberFormat="1" applyFont="1" applyFill="1" applyBorder="1" applyAlignment="1" applyProtection="1">
      <alignment horizontal="left"/>
      <protection hidden="1"/>
    </xf>
    <xf numFmtId="49" fontId="5" fillId="0" borderId="6" xfId="0" applyNumberFormat="1" applyFont="1" applyFill="1" applyBorder="1" applyAlignment="1" applyProtection="1">
      <alignment horizontal="left"/>
      <protection hidden="1"/>
    </xf>
    <xf numFmtId="49" fontId="5" fillId="3" borderId="5" xfId="0" applyNumberFormat="1" applyFont="1" applyFill="1" applyBorder="1" applyAlignment="1" applyProtection="1">
      <alignment horizontal="left"/>
      <protection hidden="1"/>
    </xf>
    <xf numFmtId="49" fontId="0" fillId="0" borderId="0" xfId="0" applyNumberFormat="1" applyFont="1" applyBorder="1" applyAlignment="1" applyProtection="1">
      <alignment horizontal="center"/>
      <protection hidden="1"/>
    </xf>
    <xf numFmtId="49" fontId="5" fillId="0" borderId="0" xfId="0" applyNumberFormat="1" applyFont="1" applyFill="1" applyBorder="1" applyAlignment="1" applyProtection="1">
      <alignment horizontal="right"/>
      <protection hidden="1"/>
    </xf>
    <xf numFmtId="49" fontId="4" fillId="0" borderId="0" xfId="0" applyNumberFormat="1" applyFont="1" applyAlignment="1" applyProtection="1">
      <alignment/>
      <protection hidden="1"/>
    </xf>
    <xf numFmtId="49" fontId="4" fillId="0" borderId="13" xfId="0" applyNumberFormat="1" applyFont="1" applyFill="1" applyBorder="1" applyAlignment="1" applyProtection="1">
      <alignment horizontal="left"/>
      <protection hidden="1"/>
    </xf>
    <xf numFmtId="0" fontId="5" fillId="0" borderId="6" xfId="0" applyNumberFormat="1" applyFont="1" applyBorder="1" applyAlignment="1" applyProtection="1">
      <alignment horizontal="left"/>
      <protection hidden="1"/>
    </xf>
    <xf numFmtId="37" fontId="5" fillId="0" borderId="0" xfId="0" applyNumberFormat="1" applyFont="1" applyBorder="1" applyAlignment="1" applyProtection="1">
      <alignment horizontal="right"/>
      <protection hidden="1"/>
    </xf>
    <xf numFmtId="37" fontId="5" fillId="0" borderId="0" xfId="0" applyNumberFormat="1" applyFont="1" applyBorder="1" applyAlignment="1" applyProtection="1">
      <alignment horizontal="right" vertical="top"/>
      <protection hidden="1"/>
    </xf>
    <xf numFmtId="0" fontId="2" fillId="0" borderId="0" xfId="0" applyNumberFormat="1" applyFont="1" applyBorder="1" applyAlignment="1" applyProtection="1">
      <alignment/>
      <protection hidden="1"/>
    </xf>
    <xf numFmtId="37" fontId="4" fillId="0" borderId="0" xfId="0" applyNumberFormat="1" applyFont="1" applyBorder="1" applyAlignment="1" applyProtection="1">
      <alignment/>
      <protection hidden="1"/>
    </xf>
    <xf numFmtId="37" fontId="4" fillId="0" borderId="0" xfId="0" applyNumberFormat="1" applyFont="1" applyBorder="1" applyAlignment="1" applyProtection="1">
      <alignment horizontal="left"/>
      <protection hidden="1"/>
    </xf>
    <xf numFmtId="37" fontId="4" fillId="0" borderId="0" xfId="0" applyNumberFormat="1" applyFont="1" applyBorder="1" applyAlignment="1" applyProtection="1">
      <alignment horizontal="center"/>
      <protection hidden="1"/>
    </xf>
    <xf numFmtId="0" fontId="4" fillId="0" borderId="0" xfId="0" applyNumberFormat="1" applyFont="1" applyBorder="1" applyAlignment="1" applyProtection="1">
      <alignment/>
      <protection hidden="1"/>
    </xf>
    <xf numFmtId="3" fontId="4" fillId="0" borderId="0" xfId="0" applyNumberFormat="1" applyFont="1" applyAlignment="1" applyProtection="1">
      <alignment horizontal="left"/>
      <protection hidden="1"/>
    </xf>
    <xf numFmtId="3" fontId="4" fillId="0" borderId="0" xfId="0" applyNumberFormat="1" applyFont="1" applyAlignment="1" applyProtection="1">
      <alignment/>
      <protection hidden="1"/>
    </xf>
    <xf numFmtId="0" fontId="5" fillId="0" borderId="0" xfId="0" applyNumberFormat="1" applyFont="1" applyAlignment="1" applyProtection="1">
      <alignment vertical="center"/>
      <protection hidden="1"/>
    </xf>
    <xf numFmtId="0" fontId="4" fillId="3" borderId="26" xfId="0" applyFont="1" applyFill="1" applyBorder="1" applyAlignment="1" applyProtection="1">
      <alignment horizontal="left"/>
      <protection hidden="1"/>
    </xf>
    <xf numFmtId="0" fontId="4" fillId="3" borderId="0" xfId="0" applyFont="1" applyFill="1" applyBorder="1" applyAlignment="1" applyProtection="1">
      <alignment horizontal="left"/>
      <protection hidden="1"/>
    </xf>
    <xf numFmtId="0" fontId="4" fillId="3" borderId="0" xfId="0" applyFont="1" applyFill="1" applyBorder="1" applyAlignment="1" applyProtection="1">
      <alignment/>
      <protection hidden="1"/>
    </xf>
    <xf numFmtId="0" fontId="5" fillId="3" borderId="5" xfId="0" applyFont="1" applyFill="1" applyBorder="1" applyAlignment="1" applyProtection="1">
      <alignment horizontal="left"/>
      <protection hidden="1"/>
    </xf>
    <xf numFmtId="0" fontId="3" fillId="0" borderId="0" xfId="0" applyNumberFormat="1" applyFont="1" applyFill="1" applyBorder="1" applyAlignment="1" applyProtection="1">
      <alignment horizontal="left"/>
      <protection hidden="1"/>
    </xf>
    <xf numFmtId="0" fontId="5" fillId="0" borderId="0" xfId="0" applyFont="1" applyBorder="1" applyAlignment="1" applyProtection="1">
      <alignment horizontal="center"/>
      <protection hidden="1"/>
    </xf>
    <xf numFmtId="0" fontId="4" fillId="0" borderId="27" xfId="0" applyFont="1" applyFill="1" applyBorder="1" applyAlignment="1" applyProtection="1">
      <alignment horizontal="left"/>
      <protection hidden="1"/>
    </xf>
    <xf numFmtId="0" fontId="4" fillId="0" borderId="28" xfId="0" applyFont="1" applyFill="1" applyBorder="1" applyAlignment="1" applyProtection="1">
      <alignment/>
      <protection hidden="1"/>
    </xf>
    <xf numFmtId="0" fontId="4" fillId="0" borderId="0" xfId="0" applyFont="1" applyFill="1" applyAlignment="1" applyProtection="1">
      <alignment vertical="center"/>
      <protection hidden="1"/>
    </xf>
    <xf numFmtId="37" fontId="4" fillId="0" borderId="0" xfId="0" applyNumberFormat="1" applyFont="1" applyFill="1" applyAlignment="1" applyProtection="1">
      <alignment vertical="center"/>
      <protection hidden="1"/>
    </xf>
    <xf numFmtId="3" fontId="4" fillId="0" borderId="29" xfId="0" applyNumberFormat="1" applyFont="1" applyFill="1" applyBorder="1" applyAlignment="1" applyProtection="1">
      <alignment horizontal="left"/>
      <protection hidden="1"/>
    </xf>
    <xf numFmtId="0" fontId="4" fillId="0" borderId="29" xfId="0" applyFont="1" applyFill="1" applyBorder="1" applyAlignment="1" applyProtection="1">
      <alignment horizontal="left"/>
      <protection hidden="1"/>
    </xf>
    <xf numFmtId="3" fontId="4" fillId="0" borderId="30" xfId="0" applyNumberFormat="1" applyFont="1" applyFill="1" applyBorder="1" applyAlignment="1" applyProtection="1">
      <alignment horizontal="left"/>
      <protection hidden="1"/>
    </xf>
    <xf numFmtId="0" fontId="4" fillId="0" borderId="19" xfId="0" applyFont="1" applyFill="1" applyBorder="1" applyAlignment="1" applyProtection="1">
      <alignment/>
      <protection hidden="1"/>
    </xf>
    <xf numFmtId="0" fontId="0" fillId="0" borderId="0" xfId="0" applyFill="1" applyBorder="1" applyAlignment="1" applyProtection="1">
      <alignment vertical="center"/>
      <protection hidden="1"/>
    </xf>
    <xf numFmtId="0" fontId="4" fillId="0" borderId="0" xfId="0" applyFont="1" applyAlignment="1" applyProtection="1">
      <alignment horizontal="center"/>
      <protection hidden="1"/>
    </xf>
    <xf numFmtId="0" fontId="4" fillId="3" borderId="16" xfId="0" applyNumberFormat="1" applyFont="1" applyFill="1" applyBorder="1" applyAlignment="1" applyProtection="1">
      <alignment horizontal="left"/>
      <protection hidden="1"/>
    </xf>
    <xf numFmtId="0" fontId="4" fillId="0" borderId="31" xfId="0" applyNumberFormat="1" applyFont="1" applyFill="1" applyBorder="1" applyAlignment="1" applyProtection="1">
      <alignment horizontal="center"/>
      <protection hidden="1"/>
    </xf>
    <xf numFmtId="0" fontId="4" fillId="3" borderId="3" xfId="0" applyNumberFormat="1" applyFont="1" applyFill="1" applyBorder="1" applyAlignment="1" applyProtection="1">
      <alignment horizontal="left"/>
      <protection hidden="1"/>
    </xf>
    <xf numFmtId="0" fontId="4" fillId="0" borderId="13" xfId="0" applyNumberFormat="1" applyFont="1" applyFill="1" applyBorder="1" applyAlignment="1" applyProtection="1">
      <alignment horizontal="left"/>
      <protection hidden="1"/>
    </xf>
    <xf numFmtId="0" fontId="0" fillId="0" borderId="17" xfId="0" applyBorder="1" applyAlignment="1" applyProtection="1">
      <alignment/>
      <protection hidden="1"/>
    </xf>
    <xf numFmtId="0" fontId="4" fillId="0" borderId="32" xfId="0" applyFont="1" applyFill="1" applyBorder="1" applyAlignment="1" applyProtection="1">
      <alignment/>
      <protection hidden="1"/>
    </xf>
    <xf numFmtId="0" fontId="0" fillId="0" borderId="12" xfId="0" applyBorder="1" applyAlignment="1" applyProtection="1">
      <alignment/>
      <protection hidden="1"/>
    </xf>
    <xf numFmtId="0" fontId="5" fillId="0" borderId="5" xfId="0" applyFont="1" applyFill="1" applyBorder="1" applyAlignment="1" applyProtection="1">
      <alignment/>
      <protection hidden="1"/>
    </xf>
    <xf numFmtId="0" fontId="0" fillId="0" borderId="7" xfId="0" applyFill="1" applyBorder="1" applyAlignment="1" applyProtection="1">
      <alignment/>
      <protection hidden="1"/>
    </xf>
    <xf numFmtId="178" fontId="5" fillId="3" borderId="3" xfId="37" applyAlignment="1">
      <alignment/>
      <protection/>
    </xf>
    <xf numFmtId="0" fontId="5" fillId="0" borderId="33" xfId="0" applyFont="1" applyFill="1" applyBorder="1" applyAlignment="1" applyProtection="1">
      <alignment horizontal="right" vertical="top"/>
      <protection hidden="1"/>
    </xf>
    <xf numFmtId="0" fontId="3" fillId="0" borderId="0" xfId="0" applyNumberFormat="1" applyFont="1" applyFill="1" applyBorder="1" applyAlignment="1" applyProtection="1">
      <alignment vertical="center"/>
      <protection hidden="1"/>
    </xf>
    <xf numFmtId="0" fontId="3" fillId="3" borderId="21" xfId="0" applyFont="1" applyFill="1" applyBorder="1" applyAlignment="1" applyProtection="1">
      <alignment horizontal="right" vertical="center"/>
      <protection hidden="1"/>
    </xf>
    <xf numFmtId="37" fontId="3" fillId="0" borderId="34" xfId="0" applyNumberFormat="1" applyFont="1" applyFill="1" applyBorder="1" applyAlignment="1" applyProtection="1">
      <alignment vertical="center"/>
      <protection hidden="1"/>
    </xf>
    <xf numFmtId="0" fontId="3" fillId="0" borderId="0" xfId="0" applyFont="1" applyBorder="1" applyAlignment="1" applyProtection="1">
      <alignment horizontal="left" vertical="center"/>
      <protection hidden="1"/>
    </xf>
    <xf numFmtId="0" fontId="3" fillId="0" borderId="0" xfId="0" applyNumberFormat="1" applyFont="1" applyBorder="1" applyAlignment="1" applyProtection="1">
      <alignment horizontal="center" vertical="center"/>
      <protection hidden="1"/>
    </xf>
    <xf numFmtId="0" fontId="3" fillId="3" borderId="21" xfId="0" applyNumberFormat="1" applyFont="1" applyFill="1" applyBorder="1" applyAlignment="1" applyProtection="1">
      <alignment horizontal="right" vertical="center"/>
      <protection hidden="1"/>
    </xf>
    <xf numFmtId="0" fontId="3" fillId="0" borderId="0" xfId="0" applyFont="1" applyBorder="1" applyAlignment="1" applyProtection="1">
      <alignment horizontal="center" vertical="center"/>
      <protection hidden="1"/>
    </xf>
    <xf numFmtId="37" fontId="3" fillId="0" borderId="0" xfId="0" applyNumberFormat="1" applyFont="1" applyBorder="1" applyAlignment="1" applyProtection="1">
      <alignment horizontal="center" vertical="center"/>
      <protection hidden="1"/>
    </xf>
    <xf numFmtId="37" fontId="3" fillId="3" borderId="14" xfId="0" applyNumberFormat="1" applyFont="1" applyFill="1" applyBorder="1" applyAlignment="1" applyProtection="1">
      <alignment horizontal="right" vertical="center"/>
      <protection hidden="1"/>
    </xf>
    <xf numFmtId="49" fontId="3" fillId="3" borderId="3" xfId="0" applyNumberFormat="1" applyFont="1" applyFill="1" applyBorder="1" applyAlignment="1" applyProtection="1">
      <alignment horizontal="center" vertical="center"/>
      <protection hidden="1"/>
    </xf>
    <xf numFmtId="0" fontId="3" fillId="3" borderId="3" xfId="0" applyFont="1" applyFill="1" applyBorder="1" applyAlignment="1" applyProtection="1">
      <alignment horizontal="right"/>
      <protection hidden="1"/>
    </xf>
    <xf numFmtId="37" fontId="3" fillId="0" borderId="34" xfId="0" applyNumberFormat="1" applyFont="1" applyBorder="1" applyAlignment="1" applyProtection="1">
      <alignment vertical="center"/>
      <protection hidden="1"/>
    </xf>
    <xf numFmtId="37" fontId="3" fillId="3" borderId="16" xfId="0" applyNumberFormat="1" applyFont="1" applyFill="1" applyBorder="1" applyAlignment="1" applyProtection="1">
      <alignment horizontal="center" vertical="center"/>
      <protection hidden="1"/>
    </xf>
    <xf numFmtId="37" fontId="3" fillId="3" borderId="2" xfId="0" applyNumberFormat="1" applyFont="1" applyFill="1" applyBorder="1" applyAlignment="1" applyProtection="1">
      <alignment horizontal="right" vertical="center"/>
      <protection hidden="1"/>
    </xf>
    <xf numFmtId="0" fontId="3" fillId="0" borderId="0" xfId="0" applyNumberFormat="1" applyFont="1" applyBorder="1" applyAlignment="1" applyProtection="1">
      <alignment horizontal="left" vertical="center"/>
      <protection hidden="1"/>
    </xf>
    <xf numFmtId="37" fontId="3" fillId="3" borderId="3" xfId="0" applyNumberFormat="1" applyFont="1" applyFill="1" applyBorder="1" applyAlignment="1" applyProtection="1">
      <alignment horizontal="center" vertical="center"/>
      <protection hidden="1"/>
    </xf>
    <xf numFmtId="0" fontId="3" fillId="0" borderId="34" xfId="0" applyNumberFormat="1" applyFont="1" applyBorder="1" applyAlignment="1" applyProtection="1">
      <alignment horizontal="left" vertical="center"/>
      <protection hidden="1"/>
    </xf>
    <xf numFmtId="3" fontId="3" fillId="3" borderId="21" xfId="0" applyNumberFormat="1" applyFont="1" applyFill="1" applyBorder="1" applyAlignment="1" applyProtection="1">
      <alignment horizontal="left" vertical="center"/>
      <protection hidden="1"/>
    </xf>
    <xf numFmtId="3" fontId="3" fillId="3" borderId="21" xfId="0" applyNumberFormat="1" applyFont="1" applyFill="1" applyBorder="1" applyAlignment="1" applyProtection="1">
      <alignment horizontal="right" vertical="center"/>
      <protection hidden="1"/>
    </xf>
    <xf numFmtId="0" fontId="3" fillId="0" borderId="34" xfId="0" applyNumberFormat="1" applyFont="1" applyBorder="1" applyAlignment="1" applyProtection="1">
      <alignment horizontal="center" vertical="center"/>
      <protection hidden="1"/>
    </xf>
    <xf numFmtId="3" fontId="3" fillId="3" borderId="14" xfId="0" applyNumberFormat="1" applyFont="1" applyFill="1" applyBorder="1" applyAlignment="1" applyProtection="1">
      <alignment horizontal="center" vertical="center"/>
      <protection hidden="1"/>
    </xf>
    <xf numFmtId="2" fontId="3" fillId="3" borderId="14" xfId="0" applyNumberFormat="1" applyFont="1" applyFill="1" applyBorder="1" applyAlignment="1" applyProtection="1">
      <alignment horizontal="right" vertical="center"/>
      <protection hidden="1"/>
    </xf>
    <xf numFmtId="3" fontId="3" fillId="3" borderId="6" xfId="0" applyNumberFormat="1" applyFont="1" applyFill="1" applyBorder="1" applyAlignment="1" applyProtection="1">
      <alignment horizontal="right" vertical="center"/>
      <protection hidden="1"/>
    </xf>
    <xf numFmtId="3" fontId="3" fillId="3" borderId="3" xfId="0" applyNumberFormat="1" applyFont="1" applyFill="1" applyBorder="1" applyAlignment="1" applyProtection="1">
      <alignment horizontal="center" vertical="center"/>
      <protection hidden="1"/>
    </xf>
    <xf numFmtId="37" fontId="3" fillId="3" borderId="3" xfId="0" applyNumberFormat="1" applyFont="1" applyFill="1" applyBorder="1" applyAlignment="1" applyProtection="1">
      <alignment horizontal="right"/>
      <protection hidden="1"/>
    </xf>
    <xf numFmtId="0" fontId="2" fillId="0" borderId="0" xfId="0" applyFont="1" applyBorder="1" applyAlignment="1" applyProtection="1">
      <alignment horizontal="center" vertical="center"/>
      <protection hidden="1"/>
    </xf>
    <xf numFmtId="14" fontId="3" fillId="3" borderId="3" xfId="0" applyNumberFormat="1" applyFont="1" applyFill="1" applyBorder="1" applyAlignment="1" applyProtection="1">
      <alignment horizontal="right" vertical="center"/>
      <protection hidden="1"/>
    </xf>
    <xf numFmtId="49" fontId="4" fillId="0" borderId="18" xfId="0" applyNumberFormat="1" applyFont="1" applyFill="1" applyBorder="1" applyAlignment="1" applyProtection="1">
      <alignment horizontal="left"/>
      <protection hidden="1"/>
    </xf>
    <xf numFmtId="0" fontId="5" fillId="0" borderId="0" xfId="0" applyFont="1" applyFill="1" applyBorder="1" applyAlignment="1" applyProtection="1">
      <alignment/>
      <protection hidden="1"/>
    </xf>
    <xf numFmtId="37" fontId="20" fillId="0" borderId="13" xfId="0" applyNumberFormat="1" applyFont="1" applyFill="1" applyBorder="1" applyAlignment="1" applyProtection="1">
      <alignment/>
      <protection hidden="1" locked="0"/>
    </xf>
    <xf numFmtId="0" fontId="2" fillId="0" borderId="0" xfId="0" applyFont="1" applyAlignment="1" applyProtection="1">
      <alignment horizontal="left"/>
      <protection hidden="1"/>
    </xf>
    <xf numFmtId="49" fontId="4" fillId="0" borderId="0" xfId="0" applyNumberFormat="1" applyFont="1" applyFill="1" applyBorder="1" applyAlignment="1" applyProtection="1">
      <alignment horizontal="left"/>
      <protection hidden="1"/>
    </xf>
    <xf numFmtId="9" fontId="5" fillId="3" borderId="5" xfId="37" applyNumberFormat="1" applyFont="1" applyFill="1" applyBorder="1" applyAlignment="1" applyProtection="1">
      <alignment horizontal="right"/>
      <protection hidden="1"/>
    </xf>
    <xf numFmtId="0" fontId="10" fillId="0" borderId="0" xfId="32" applyFont="1" applyBorder="1" applyAlignment="1" applyProtection="1">
      <alignment horizontal="right"/>
      <protection hidden="1"/>
    </xf>
    <xf numFmtId="0" fontId="14" fillId="0" borderId="0" xfId="0" applyNumberFormat="1" applyFont="1" applyBorder="1" applyAlignment="1" applyProtection="1">
      <alignment horizontal="left"/>
      <protection hidden="1"/>
    </xf>
    <xf numFmtId="37" fontId="2" fillId="0" borderId="0" xfId="0" applyNumberFormat="1" applyFont="1" applyBorder="1" applyAlignment="1" applyProtection="1">
      <alignment vertical="center"/>
      <protection hidden="1"/>
    </xf>
    <xf numFmtId="0" fontId="3" fillId="3" borderId="3"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5" fillId="0" borderId="0" xfId="0" applyFont="1" applyAlignment="1" applyProtection="1">
      <alignment horizontal="right"/>
      <protection hidden="1"/>
    </xf>
    <xf numFmtId="37" fontId="4" fillId="0" borderId="32" xfId="0" applyNumberFormat="1" applyFont="1" applyFill="1" applyBorder="1" applyAlignment="1" applyProtection="1">
      <alignment/>
      <protection hidden="1"/>
    </xf>
    <xf numFmtId="0" fontId="4" fillId="0" borderId="33" xfId="0" applyFont="1" applyBorder="1" applyAlignment="1" applyProtection="1">
      <alignment horizontal="left"/>
      <protection hidden="1"/>
    </xf>
    <xf numFmtId="183" fontId="4" fillId="0" borderId="25" xfId="36" applyBorder="1" applyAlignment="1" applyProtection="1">
      <alignment/>
      <protection hidden="1"/>
    </xf>
    <xf numFmtId="49" fontId="4" fillId="0" borderId="35" xfId="0" applyNumberFormat="1" applyFont="1" applyFill="1" applyBorder="1" applyAlignment="1" applyProtection="1">
      <alignment horizontal="left"/>
      <protection hidden="1"/>
    </xf>
    <xf numFmtId="0" fontId="3" fillId="0" borderId="0" xfId="0" applyNumberFormat="1" applyFont="1" applyFill="1" applyBorder="1" applyAlignment="1" applyProtection="1">
      <alignment horizontal="right" vertical="center"/>
      <protection hidden="1"/>
    </xf>
    <xf numFmtId="49" fontId="3" fillId="0" borderId="0" xfId="0" applyNumberFormat="1" applyFont="1" applyFill="1" applyBorder="1" applyAlignment="1" applyProtection="1">
      <alignment horizontal="right" vertical="center"/>
      <protection hidden="1"/>
    </xf>
    <xf numFmtId="0" fontId="3" fillId="0" borderId="0" xfId="0" applyFont="1" applyFill="1" applyBorder="1" applyAlignment="1" applyProtection="1">
      <alignment horizontal="right" vertical="center"/>
      <protection hidden="1"/>
    </xf>
    <xf numFmtId="178" fontId="4" fillId="0" borderId="36" xfId="34" applyBorder="1" applyAlignment="1" applyProtection="1">
      <alignment/>
      <protection hidden="1"/>
    </xf>
    <xf numFmtId="0" fontId="3" fillId="3" borderId="21" xfId="0" applyFont="1" applyFill="1" applyBorder="1" applyAlignment="1" applyProtection="1">
      <alignment horizontal="right"/>
      <protection hidden="1"/>
    </xf>
    <xf numFmtId="0" fontId="3" fillId="3" borderId="7" xfId="0" applyFont="1" applyFill="1" applyBorder="1" applyAlignment="1" applyProtection="1">
      <alignment horizontal="right"/>
      <protection hidden="1"/>
    </xf>
    <xf numFmtId="0" fontId="3" fillId="3" borderId="14" xfId="0" applyFont="1" applyFill="1" applyBorder="1" applyAlignment="1" applyProtection="1">
      <alignment horizontal="right"/>
      <protection hidden="1"/>
    </xf>
    <xf numFmtId="49" fontId="4" fillId="0" borderId="19" xfId="0" applyNumberFormat="1" applyFont="1" applyFill="1" applyBorder="1" applyAlignment="1" applyProtection="1">
      <alignment horizontal="left"/>
      <protection hidden="1" locked="0"/>
    </xf>
    <xf numFmtId="49" fontId="4" fillId="0" borderId="32" xfId="0" applyNumberFormat="1" applyFont="1" applyFill="1" applyBorder="1" applyAlignment="1" applyProtection="1">
      <alignment horizontal="left"/>
      <protection hidden="1" locked="0"/>
    </xf>
    <xf numFmtId="49" fontId="4" fillId="0" borderId="0" xfId="0" applyNumberFormat="1" applyFont="1" applyFill="1" applyBorder="1" applyAlignment="1" applyProtection="1">
      <alignment horizontal="left"/>
      <protection hidden="1" locked="0"/>
    </xf>
    <xf numFmtId="0" fontId="3" fillId="3" borderId="37" xfId="0" applyFont="1" applyFill="1" applyBorder="1" applyAlignment="1" applyProtection="1">
      <alignment horizontal="right"/>
      <protection hidden="1"/>
    </xf>
    <xf numFmtId="0" fontId="4" fillId="0" borderId="38" xfId="0" applyNumberFormat="1" applyFont="1" applyFill="1" applyBorder="1" applyAlignment="1" applyProtection="1">
      <alignment horizontal="left"/>
      <protection hidden="1"/>
    </xf>
    <xf numFmtId="0" fontId="4" fillId="0" borderId="32" xfId="0" applyNumberFormat="1" applyFont="1" applyFill="1" applyBorder="1" applyAlignment="1" applyProtection="1">
      <alignment horizontal="left"/>
      <protection hidden="1"/>
    </xf>
    <xf numFmtId="188" fontId="4" fillId="0" borderId="39" xfId="0" applyNumberFormat="1" applyFont="1" applyFill="1" applyBorder="1" applyAlignment="1" applyProtection="1">
      <alignment horizontal="left"/>
      <protection hidden="1"/>
    </xf>
    <xf numFmtId="0" fontId="4" fillId="0" borderId="12" xfId="0" applyFont="1" applyFill="1" applyBorder="1" applyAlignment="1" applyProtection="1">
      <alignment/>
      <protection hidden="1"/>
    </xf>
    <xf numFmtId="0" fontId="20" fillId="0" borderId="29" xfId="0" applyFont="1" applyFill="1" applyBorder="1" applyAlignment="1" applyProtection="1">
      <alignment horizontal="left"/>
      <protection hidden="1"/>
    </xf>
    <xf numFmtId="3" fontId="20" fillId="0" borderId="29" xfId="0" applyNumberFormat="1" applyFont="1" applyFill="1" applyBorder="1" applyAlignment="1" applyProtection="1">
      <alignment horizontal="left"/>
      <protection hidden="1"/>
    </xf>
    <xf numFmtId="3" fontId="20" fillId="0" borderId="35" xfId="0" applyNumberFormat="1" applyFont="1" applyFill="1" applyBorder="1" applyAlignment="1" applyProtection="1">
      <alignment horizontal="left"/>
      <protection hidden="1"/>
    </xf>
    <xf numFmtId="3" fontId="20" fillId="0" borderId="30" xfId="0" applyNumberFormat="1" applyFont="1" applyFill="1" applyBorder="1" applyAlignment="1" applyProtection="1">
      <alignment horizontal="left"/>
      <protection hidden="1"/>
    </xf>
    <xf numFmtId="0" fontId="2" fillId="0" borderId="0" xfId="0" applyNumberFormat="1" applyFont="1" applyBorder="1" applyAlignment="1" applyProtection="1">
      <alignment vertical="center"/>
      <protection hidden="1"/>
    </xf>
    <xf numFmtId="0" fontId="2" fillId="0" borderId="0" xfId="0" applyNumberFormat="1" applyFont="1" applyAlignment="1" applyProtection="1">
      <alignment/>
      <protection hidden="1"/>
    </xf>
    <xf numFmtId="0" fontId="3" fillId="3" borderId="8" xfId="0" applyNumberFormat="1" applyFont="1" applyFill="1" applyBorder="1" applyAlignment="1" applyProtection="1">
      <alignment horizontal="left"/>
      <protection hidden="1"/>
    </xf>
    <xf numFmtId="178" fontId="5" fillId="3" borderId="3" xfId="37" applyFont="1" applyFill="1" applyBorder="1" applyAlignment="1" applyProtection="1">
      <alignment/>
      <protection hidden="1"/>
    </xf>
    <xf numFmtId="190" fontId="4" fillId="0" borderId="13" xfId="0" applyNumberFormat="1" applyFont="1" applyFill="1" applyBorder="1" applyAlignment="1" applyProtection="1">
      <alignment/>
      <protection hidden="1" locked="0"/>
    </xf>
    <xf numFmtId="190" fontId="4" fillId="0" borderId="40" xfId="0" applyNumberFormat="1" applyFont="1" applyFill="1" applyBorder="1" applyAlignment="1" applyProtection="1">
      <alignment horizontal="left"/>
      <protection hidden="1" locked="0"/>
    </xf>
    <xf numFmtId="190" fontId="4" fillId="0" borderId="23" xfId="0" applyNumberFormat="1" applyFont="1" applyFill="1" applyBorder="1" applyAlignment="1" applyProtection="1">
      <alignment horizontal="center"/>
      <protection hidden="1" locked="0"/>
    </xf>
    <xf numFmtId="178" fontId="4" fillId="0" borderId="23" xfId="34" applyFill="1" applyBorder="1" applyAlignment="1" applyProtection="1">
      <alignment/>
      <protection hidden="1" locked="0"/>
    </xf>
    <xf numFmtId="187" fontId="4" fillId="0" borderId="23" xfId="35" applyFill="1" applyBorder="1" applyAlignment="1" applyProtection="1">
      <alignment/>
      <protection hidden="1" locked="0"/>
    </xf>
    <xf numFmtId="187" fontId="4" fillId="0" borderId="23" xfId="35" applyFill="1" applyBorder="1" applyAlignment="1" applyProtection="1">
      <alignment/>
      <protection hidden="1"/>
    </xf>
    <xf numFmtId="178" fontId="4" fillId="0" borderId="23" xfId="34" applyFont="1" applyFill="1" applyBorder="1" applyAlignment="1" applyProtection="1">
      <alignment/>
      <protection hidden="1" locked="0"/>
    </xf>
    <xf numFmtId="0" fontId="4" fillId="0" borderId="5" xfId="0" applyFont="1" applyFill="1" applyBorder="1" applyAlignment="1" applyProtection="1">
      <alignment/>
      <protection hidden="1"/>
    </xf>
    <xf numFmtId="0" fontId="3" fillId="3" borderId="16" xfId="0" applyFont="1" applyFill="1" applyBorder="1" applyAlignment="1" applyProtection="1">
      <alignment horizontal="center"/>
      <protection hidden="1"/>
    </xf>
    <xf numFmtId="0" fontId="0" fillId="0" borderId="7" xfId="0" applyBorder="1" applyAlignment="1">
      <alignment horizontal="center"/>
    </xf>
    <xf numFmtId="0" fontId="2" fillId="0" borderId="0" xfId="0" applyNumberFormat="1" applyFont="1" applyAlignment="1" applyProtection="1">
      <alignment horizontal="justify"/>
      <protection hidden="1"/>
    </xf>
    <xf numFmtId="0" fontId="2" fillId="0" borderId="0" xfId="0" applyFont="1" applyAlignment="1">
      <alignment horizontal="justify"/>
    </xf>
    <xf numFmtId="49" fontId="3" fillId="3" borderId="16" xfId="0" applyNumberFormat="1" applyFont="1" applyFill="1" applyBorder="1" applyAlignment="1" applyProtection="1">
      <alignment horizontal="center" vertical="center"/>
      <protection hidden="1"/>
    </xf>
    <xf numFmtId="49" fontId="3" fillId="3" borderId="5" xfId="0" applyNumberFormat="1" applyFont="1" applyFill="1" applyBorder="1" applyAlignment="1" applyProtection="1">
      <alignment horizontal="center" vertical="center"/>
      <protection hidden="1"/>
    </xf>
    <xf numFmtId="49" fontId="3" fillId="3" borderId="16" xfId="0" applyNumberFormat="1" applyFont="1" applyFill="1" applyBorder="1" applyAlignment="1" applyProtection="1">
      <alignment horizontal="right" vertical="center"/>
      <protection hidden="1"/>
    </xf>
    <xf numFmtId="49" fontId="3" fillId="3" borderId="7" xfId="0" applyNumberFormat="1" applyFont="1" applyFill="1" applyBorder="1" applyAlignment="1" applyProtection="1">
      <alignment horizontal="right" vertical="center"/>
      <protection hidden="1"/>
    </xf>
    <xf numFmtId="178" fontId="4" fillId="0" borderId="41" xfId="34" applyFill="1" applyBorder="1" applyAlignment="1" applyProtection="1">
      <alignment/>
      <protection hidden="1" locked="0"/>
    </xf>
    <xf numFmtId="178" fontId="4" fillId="0" borderId="20" xfId="34" applyFill="1" applyBorder="1" applyAlignment="1" applyProtection="1">
      <alignment/>
      <protection hidden="1" locked="0"/>
    </xf>
    <xf numFmtId="178" fontId="5" fillId="0" borderId="0" xfId="34" applyFont="1" applyFill="1" applyBorder="1" applyAlignment="1" applyProtection="1">
      <alignment horizontal="right"/>
      <protection hidden="1"/>
    </xf>
    <xf numFmtId="178" fontId="14" fillId="0" borderId="0" xfId="34" applyFont="1" applyFill="1" applyBorder="1" applyAlignment="1" applyProtection="1">
      <alignment horizontal="right"/>
      <protection hidden="1"/>
    </xf>
    <xf numFmtId="0" fontId="4" fillId="0" borderId="0" xfId="32" applyFont="1" applyFill="1" applyBorder="1" applyAlignment="1" applyProtection="1">
      <alignment horizontal="left"/>
      <protection hidden="1"/>
    </xf>
    <xf numFmtId="37" fontId="4" fillId="0" borderId="0" xfId="0" applyNumberFormat="1"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4" fillId="0" borderId="0" xfId="0" applyFont="1" applyFill="1" applyBorder="1" applyAlignment="1" applyProtection="1">
      <alignment horizontal="left"/>
      <protection hidden="1"/>
    </xf>
    <xf numFmtId="0" fontId="5" fillId="3" borderId="26" xfId="0" applyNumberFormat="1" applyFont="1" applyFill="1" applyBorder="1" applyAlignment="1" applyProtection="1">
      <alignment horizontal="left"/>
      <protection hidden="1"/>
    </xf>
    <xf numFmtId="0" fontId="5" fillId="3" borderId="5" xfId="0" applyNumberFormat="1" applyFont="1" applyFill="1" applyBorder="1" applyAlignment="1" applyProtection="1">
      <alignment horizontal="left"/>
      <protection hidden="1"/>
    </xf>
    <xf numFmtId="0" fontId="5" fillId="3" borderId="0" xfId="0" applyNumberFormat="1" applyFont="1" applyFill="1" applyBorder="1" applyAlignment="1" applyProtection="1">
      <alignment horizontal="left"/>
      <protection hidden="1"/>
    </xf>
    <xf numFmtId="178" fontId="4" fillId="3" borderId="23" xfId="34" applyFill="1" applyBorder="1" applyAlignment="1" applyProtection="1">
      <alignment/>
      <protection hidden="1"/>
    </xf>
    <xf numFmtId="178" fontId="5" fillId="3" borderId="3" xfId="37" applyAlignment="1" applyProtection="1">
      <alignment/>
      <protection hidden="1"/>
    </xf>
    <xf numFmtId="0" fontId="0" fillId="0" borderId="0" xfId="0" applyFont="1" applyFill="1" applyAlignment="1" applyProtection="1">
      <alignment/>
      <protection hidden="1"/>
    </xf>
    <xf numFmtId="0" fontId="0" fillId="0" borderId="0" xfId="0" applyFont="1" applyFill="1" applyBorder="1" applyAlignment="1" applyProtection="1">
      <alignment/>
      <protection hidden="1"/>
    </xf>
    <xf numFmtId="178" fontId="4" fillId="0" borderId="24" xfId="34" applyFill="1" applyBorder="1" applyAlignment="1" applyProtection="1">
      <alignment/>
      <protection hidden="1" locked="0"/>
    </xf>
    <xf numFmtId="37" fontId="4" fillId="0" borderId="6" xfId="0" applyNumberFormat="1" applyFont="1" applyFill="1" applyBorder="1" applyAlignment="1" applyProtection="1">
      <alignment/>
      <protection hidden="1"/>
    </xf>
    <xf numFmtId="37" fontId="4" fillId="0" borderId="42" xfId="0" applyNumberFormat="1" applyFont="1" applyFill="1" applyBorder="1" applyAlignment="1" applyProtection="1">
      <alignment/>
      <protection hidden="1"/>
    </xf>
    <xf numFmtId="178" fontId="4" fillId="0" borderId="43" xfId="34" applyFill="1" applyBorder="1" applyAlignment="1" applyProtection="1">
      <alignment/>
      <protection hidden="1"/>
    </xf>
    <xf numFmtId="37" fontId="3" fillId="3" borderId="7" xfId="0" applyNumberFormat="1" applyFont="1" applyFill="1" applyBorder="1" applyAlignment="1" applyProtection="1">
      <alignment horizontal="center" vertical="center"/>
      <protection hidden="1"/>
    </xf>
    <xf numFmtId="0" fontId="3" fillId="3" borderId="16" xfId="0" applyFont="1" applyFill="1" applyBorder="1" applyAlignment="1" applyProtection="1">
      <alignment horizontal="center" vertical="center"/>
      <protection hidden="1"/>
    </xf>
    <xf numFmtId="0" fontId="3" fillId="3" borderId="7" xfId="0" applyFont="1" applyFill="1" applyBorder="1" applyAlignment="1" applyProtection="1">
      <alignment horizontal="center" vertical="center"/>
      <protection hidden="1"/>
    </xf>
    <xf numFmtId="0" fontId="2" fillId="3" borderId="5" xfId="0" applyFont="1" applyFill="1" applyBorder="1" applyAlignment="1" applyProtection="1">
      <alignment horizontal="center" vertical="center"/>
      <protection hidden="1"/>
    </xf>
    <xf numFmtId="0" fontId="2" fillId="3" borderId="7" xfId="0" applyFont="1" applyFill="1" applyBorder="1" applyAlignment="1" applyProtection="1">
      <alignment horizontal="center" vertical="center"/>
      <protection hidden="1"/>
    </xf>
    <xf numFmtId="183" fontId="4" fillId="0" borderId="23" xfId="36" applyFill="1" applyBorder="1" applyAlignment="1" applyProtection="1">
      <alignment/>
      <protection hidden="1" locked="0"/>
    </xf>
    <xf numFmtId="178" fontId="4" fillId="0" borderId="23" xfId="34" applyFill="1" applyBorder="1" applyAlignment="1" applyProtection="1">
      <alignment/>
      <protection hidden="1"/>
    </xf>
    <xf numFmtId="183" fontId="4" fillId="0" borderId="36" xfId="36" applyFill="1" applyBorder="1" applyAlignment="1" applyProtection="1">
      <alignment/>
      <protection hidden="1" locked="0"/>
    </xf>
    <xf numFmtId="178" fontId="5" fillId="3" borderId="3" xfId="37" applyFill="1" applyAlignment="1" applyProtection="1">
      <alignment/>
      <protection hidden="1"/>
    </xf>
    <xf numFmtId="183" fontId="5" fillId="3" borderId="3" xfId="38" applyAlignment="1" applyProtection="1">
      <alignment/>
      <protection hidden="1"/>
    </xf>
    <xf numFmtId="178" fontId="4" fillId="0" borderId="0" xfId="34" applyFont="1" applyFill="1" applyBorder="1" applyAlignment="1" applyProtection="1">
      <alignment/>
      <protection hidden="1"/>
    </xf>
    <xf numFmtId="178" fontId="5" fillId="0" borderId="5" xfId="37" applyFill="1" applyBorder="1" applyAlignment="1" applyProtection="1">
      <alignment/>
      <protection hidden="1"/>
    </xf>
    <xf numFmtId="178" fontId="5" fillId="3" borderId="5" xfId="34" applyFont="1" applyFill="1" applyBorder="1" applyAlignment="1" applyProtection="1">
      <alignment/>
      <protection hidden="1"/>
    </xf>
    <xf numFmtId="0" fontId="3" fillId="0" borderId="0" xfId="0" applyNumberFormat="1" applyFont="1" applyBorder="1" applyAlignment="1" applyProtection="1">
      <alignment horizontal="left"/>
      <protection hidden="1"/>
    </xf>
    <xf numFmtId="37" fontId="4" fillId="0" borderId="0" xfId="32" applyNumberFormat="1" applyFont="1" applyAlignment="1" applyProtection="1">
      <alignment/>
      <protection hidden="1"/>
    </xf>
    <xf numFmtId="0" fontId="4" fillId="0" borderId="0" xfId="32" applyFont="1" applyAlignment="1" applyProtection="1">
      <alignment/>
      <protection hidden="1"/>
    </xf>
    <xf numFmtId="0" fontId="5" fillId="0" borderId="0" xfId="32" applyFont="1" applyAlignment="1" applyProtection="1">
      <alignment/>
      <protection hidden="1"/>
    </xf>
    <xf numFmtId="0" fontId="4" fillId="0" borderId="27" xfId="32" applyFont="1" applyFill="1" applyBorder="1" applyAlignment="1" applyProtection="1">
      <alignment/>
      <protection hidden="1"/>
    </xf>
    <xf numFmtId="178" fontId="4" fillId="0" borderId="25" xfId="34" applyFill="1" applyBorder="1" applyAlignment="1" applyProtection="1">
      <alignment/>
      <protection hidden="1" locked="0"/>
    </xf>
    <xf numFmtId="0" fontId="4" fillId="0" borderId="0" xfId="32" applyFont="1" applyBorder="1" applyAlignment="1" applyProtection="1">
      <alignment/>
      <protection hidden="1"/>
    </xf>
    <xf numFmtId="183" fontId="4" fillId="0" borderId="38" xfId="36" applyFill="1" applyBorder="1" applyAlignment="1" applyProtection="1">
      <alignment/>
      <protection hidden="1" locked="0"/>
    </xf>
    <xf numFmtId="0" fontId="4" fillId="0" borderId="28" xfId="32" applyFont="1" applyFill="1" applyBorder="1" applyAlignment="1" applyProtection="1">
      <alignment/>
      <protection hidden="1"/>
    </xf>
    <xf numFmtId="178" fontId="4" fillId="5" borderId="36" xfId="34" applyFill="1" applyBorder="1" applyAlignment="1" applyProtection="1">
      <alignment/>
      <protection hidden="1"/>
    </xf>
    <xf numFmtId="178" fontId="4" fillId="0" borderId="44" xfId="34" applyFill="1" applyBorder="1" applyAlignment="1" applyProtection="1">
      <alignment/>
      <protection hidden="1"/>
    </xf>
    <xf numFmtId="0" fontId="5" fillId="3" borderId="3" xfId="32" applyFont="1" applyFill="1" applyBorder="1" applyAlignment="1" applyProtection="1">
      <alignment/>
      <protection hidden="1"/>
    </xf>
    <xf numFmtId="0" fontId="4" fillId="0" borderId="0" xfId="32" applyFont="1" applyFill="1" applyBorder="1" applyAlignment="1" applyProtection="1">
      <alignment/>
      <protection hidden="1"/>
    </xf>
    <xf numFmtId="37" fontId="4" fillId="0" borderId="0" xfId="0" applyNumberFormat="1" applyFont="1" applyFill="1" applyBorder="1" applyAlignment="1" applyProtection="1">
      <alignment/>
      <protection hidden="1"/>
    </xf>
    <xf numFmtId="178" fontId="4" fillId="0" borderId="0" xfId="34" applyFill="1" applyBorder="1" applyAlignment="1" applyProtection="1">
      <alignment/>
      <protection hidden="1"/>
    </xf>
    <xf numFmtId="0" fontId="5" fillId="0" borderId="0" xfId="32" applyFont="1" applyFill="1" applyBorder="1" applyAlignment="1" applyProtection="1">
      <alignment/>
      <protection hidden="1"/>
    </xf>
    <xf numFmtId="178" fontId="5" fillId="0" borderId="0" xfId="37" applyFill="1" applyBorder="1" applyAlignment="1" applyProtection="1">
      <alignment/>
      <protection hidden="1"/>
    </xf>
    <xf numFmtId="183" fontId="5" fillId="3" borderId="3" xfId="38" applyAlignment="1">
      <alignment/>
      <protection/>
    </xf>
    <xf numFmtId="0" fontId="20" fillId="0" borderId="0" xfId="0" applyFont="1" applyFill="1" applyBorder="1" applyAlignment="1" applyProtection="1">
      <alignment/>
      <protection hidden="1"/>
    </xf>
    <xf numFmtId="183" fontId="4" fillId="0" borderId="0" xfId="36" applyFill="1" applyBorder="1" applyAlignment="1">
      <alignment/>
      <protection/>
    </xf>
    <xf numFmtId="178" fontId="4" fillId="0" borderId="17" xfId="34" applyFill="1" applyBorder="1" applyAlignment="1" applyProtection="1">
      <alignment/>
      <protection hidden="1" locked="0"/>
    </xf>
    <xf numFmtId="49" fontId="4" fillId="0" borderId="0" xfId="0" applyNumberFormat="1" applyFont="1" applyBorder="1" applyAlignment="1" applyProtection="1">
      <alignment/>
      <protection hidden="1"/>
    </xf>
    <xf numFmtId="0" fontId="4" fillId="0" borderId="27" xfId="0" applyFont="1" applyFill="1" applyBorder="1" applyAlignment="1" applyProtection="1">
      <alignment/>
      <protection hidden="1"/>
    </xf>
    <xf numFmtId="178" fontId="4" fillId="0" borderId="25" xfId="34" applyBorder="1" applyAlignment="1" applyProtection="1">
      <alignment/>
      <protection hidden="1"/>
    </xf>
    <xf numFmtId="178" fontId="4" fillId="0" borderId="23" xfId="34" applyBorder="1" applyAlignment="1" applyProtection="1">
      <alignment/>
      <protection hidden="1"/>
    </xf>
    <xf numFmtId="0" fontId="5" fillId="3" borderId="3" xfId="0" applyFont="1" applyFill="1" applyBorder="1" applyAlignment="1" applyProtection="1">
      <alignment/>
      <protection hidden="1"/>
    </xf>
    <xf numFmtId="178" fontId="4" fillId="5" borderId="12" xfId="34" applyFill="1" applyBorder="1" applyAlignment="1" applyProtection="1">
      <alignment/>
      <protection hidden="1"/>
    </xf>
    <xf numFmtId="0" fontId="4" fillId="0" borderId="45" xfId="0" applyFont="1" applyFill="1" applyBorder="1" applyAlignment="1" applyProtection="1">
      <alignment/>
      <protection hidden="1"/>
    </xf>
    <xf numFmtId="183" fontId="4" fillId="0" borderId="12" xfId="36" applyFill="1" applyBorder="1" applyAlignment="1" applyProtection="1">
      <alignment/>
      <protection hidden="1" locked="0"/>
    </xf>
    <xf numFmtId="183" fontId="4" fillId="0" borderId="23" xfId="36" applyBorder="1" applyAlignment="1" applyProtection="1">
      <alignment/>
      <protection hidden="1"/>
    </xf>
    <xf numFmtId="0" fontId="4" fillId="0" borderId="46" xfId="0" applyFont="1" applyFill="1" applyBorder="1" applyAlignment="1" applyProtection="1">
      <alignment/>
      <protection hidden="1"/>
    </xf>
    <xf numFmtId="178" fontId="4" fillId="0" borderId="47" xfId="34" applyFill="1" applyBorder="1" applyAlignment="1" applyProtection="1">
      <alignment/>
      <protection hidden="1" locked="0"/>
    </xf>
    <xf numFmtId="178" fontId="5" fillId="3" borderId="7" xfId="37" applyFont="1" applyBorder="1" applyAlignment="1" applyProtection="1">
      <alignment/>
      <protection hidden="1"/>
    </xf>
    <xf numFmtId="178" fontId="5" fillId="0" borderId="0" xfId="37" applyFont="1" applyFill="1" applyBorder="1" applyAlignment="1" applyProtection="1">
      <alignment/>
      <protection hidden="1"/>
    </xf>
    <xf numFmtId="178" fontId="4" fillId="0" borderId="31" xfId="34" applyFont="1" applyFill="1" applyBorder="1" applyAlignment="1" applyProtection="1">
      <alignment/>
      <protection hidden="1"/>
    </xf>
    <xf numFmtId="178" fontId="5" fillId="3" borderId="5" xfId="37" applyFont="1" applyBorder="1" applyAlignment="1" applyProtection="1">
      <alignment/>
      <protection hidden="1"/>
    </xf>
    <xf numFmtId="178" fontId="5" fillId="3" borderId="3" xfId="37" applyBorder="1" applyAlignment="1" applyProtection="1">
      <alignment/>
      <protection hidden="1"/>
    </xf>
    <xf numFmtId="178" fontId="4" fillId="0" borderId="13" xfId="37" applyFont="1" applyFill="1" applyBorder="1" applyAlignment="1" applyProtection="1">
      <alignment/>
      <protection hidden="1"/>
    </xf>
    <xf numFmtId="178" fontId="4" fillId="0" borderId="17" xfId="37" applyFont="1" applyFill="1" applyBorder="1" applyAlignment="1" applyProtection="1">
      <alignment/>
      <protection hidden="1"/>
    </xf>
    <xf numFmtId="0" fontId="4" fillId="0" borderId="13" xfId="0" applyFont="1" applyBorder="1" applyAlignment="1" applyProtection="1">
      <alignment/>
      <protection hidden="1"/>
    </xf>
    <xf numFmtId="183" fontId="4" fillId="0" borderId="13" xfId="36" applyBorder="1" applyAlignment="1" applyProtection="1">
      <alignment/>
      <protection hidden="1"/>
    </xf>
    <xf numFmtId="183" fontId="4" fillId="6" borderId="17" xfId="36" applyFont="1" applyFill="1" applyBorder="1" applyAlignment="1" applyProtection="1">
      <alignment/>
      <protection hidden="1"/>
    </xf>
    <xf numFmtId="183" fontId="4" fillId="0" borderId="23" xfId="36" applyFont="1" applyBorder="1" applyAlignment="1" applyProtection="1">
      <alignment/>
      <protection hidden="1"/>
    </xf>
    <xf numFmtId="183" fontId="4" fillId="0" borderId="0" xfId="36" applyFont="1" applyFill="1" applyBorder="1" applyAlignment="1" applyProtection="1">
      <alignment/>
      <protection hidden="1"/>
    </xf>
    <xf numFmtId="0" fontId="4" fillId="0" borderId="0" xfId="0" applyFont="1" applyFill="1" applyAlignment="1" applyProtection="1">
      <alignment/>
      <protection hidden="1"/>
    </xf>
    <xf numFmtId="0" fontId="4" fillId="0" borderId="29" xfId="0" applyFont="1" applyFill="1" applyBorder="1" applyAlignment="1" applyProtection="1">
      <alignment/>
      <protection hidden="1"/>
    </xf>
    <xf numFmtId="183" fontId="4" fillId="0" borderId="13" xfId="36" applyFont="1" applyFill="1" applyBorder="1" applyAlignment="1" applyProtection="1">
      <alignment/>
      <protection hidden="1"/>
    </xf>
    <xf numFmtId="183" fontId="4" fillId="0" borderId="17" xfId="36" applyFont="1" applyFill="1" applyBorder="1" applyAlignment="1" applyProtection="1">
      <alignment/>
      <protection hidden="1"/>
    </xf>
    <xf numFmtId="183" fontId="4" fillId="0" borderId="6" xfId="36" applyFont="1" applyFill="1" applyBorder="1" applyAlignment="1" applyProtection="1">
      <alignment/>
      <protection hidden="1"/>
    </xf>
    <xf numFmtId="183" fontId="4" fillId="0" borderId="42" xfId="36" applyFont="1" applyFill="1" applyBorder="1" applyAlignment="1" applyProtection="1">
      <alignment/>
      <protection hidden="1"/>
    </xf>
    <xf numFmtId="0" fontId="5" fillId="3" borderId="16" xfId="0" applyFont="1" applyFill="1" applyBorder="1" applyAlignment="1" applyProtection="1">
      <alignment/>
      <protection hidden="1"/>
    </xf>
    <xf numFmtId="183" fontId="5" fillId="3" borderId="5" xfId="36" applyFont="1" applyFill="1" applyBorder="1" applyAlignment="1" applyProtection="1">
      <alignment/>
      <protection hidden="1"/>
    </xf>
    <xf numFmtId="183" fontId="5" fillId="3" borderId="7" xfId="36" applyFont="1" applyFill="1" applyBorder="1" applyAlignment="1" applyProtection="1">
      <alignment/>
      <protection hidden="1"/>
    </xf>
    <xf numFmtId="178" fontId="5" fillId="3" borderId="3" xfId="37" applyFont="1" applyFill="1" applyAlignment="1" applyProtection="1">
      <alignment/>
      <protection hidden="1"/>
    </xf>
    <xf numFmtId="37" fontId="2" fillId="0" borderId="0" xfId="0" applyNumberFormat="1" applyFont="1" applyBorder="1" applyAlignment="1" applyProtection="1">
      <alignment/>
      <protection hidden="1"/>
    </xf>
    <xf numFmtId="178" fontId="4" fillId="0" borderId="23" xfId="34" applyFont="1" applyBorder="1" applyAlignment="1" applyProtection="1">
      <alignment/>
      <protection hidden="1"/>
    </xf>
    <xf numFmtId="0" fontId="4" fillId="0" borderId="35" xfId="0" applyFont="1" applyFill="1" applyBorder="1" applyAlignment="1" applyProtection="1">
      <alignment/>
      <protection hidden="1"/>
    </xf>
    <xf numFmtId="178" fontId="4" fillId="0" borderId="0" xfId="34" applyAlignment="1" applyProtection="1">
      <alignment/>
      <protection hidden="1"/>
    </xf>
    <xf numFmtId="0" fontId="4" fillId="0" borderId="30" xfId="0" applyFont="1" applyFill="1" applyBorder="1" applyAlignment="1" applyProtection="1">
      <alignment/>
      <protection hidden="1"/>
    </xf>
    <xf numFmtId="0" fontId="4" fillId="0" borderId="18" xfId="0" applyFont="1" applyBorder="1" applyAlignment="1" applyProtection="1">
      <alignment/>
      <protection hidden="1"/>
    </xf>
    <xf numFmtId="178" fontId="4" fillId="0" borderId="19" xfId="34" applyBorder="1" applyAlignment="1" applyProtection="1">
      <alignment/>
      <protection hidden="1"/>
    </xf>
    <xf numFmtId="178" fontId="5" fillId="3" borderId="5" xfId="37" applyFont="1" applyFill="1" applyBorder="1" applyAlignment="1" applyProtection="1">
      <alignment/>
      <protection hidden="1"/>
    </xf>
    <xf numFmtId="183" fontId="5" fillId="3" borderId="7" xfId="38" applyFont="1" applyBorder="1" applyAlignment="1" applyProtection="1">
      <alignment/>
      <protection hidden="1"/>
    </xf>
    <xf numFmtId="169" fontId="4" fillId="0" borderId="13" xfId="0" applyNumberFormat="1" applyFont="1" applyFill="1" applyBorder="1" applyAlignment="1" applyProtection="1">
      <alignment/>
      <protection hidden="1"/>
    </xf>
    <xf numFmtId="0" fontId="4" fillId="0" borderId="48" xfId="0" applyFont="1" applyFill="1" applyBorder="1" applyAlignment="1" applyProtection="1">
      <alignment/>
      <protection hidden="1"/>
    </xf>
    <xf numFmtId="178" fontId="4" fillId="0" borderId="48" xfId="34" applyFont="1" applyFill="1" applyBorder="1" applyAlignment="1" applyProtection="1">
      <alignment/>
      <protection hidden="1"/>
    </xf>
    <xf numFmtId="178" fontId="4" fillId="0" borderId="39" xfId="34" applyFont="1" applyFill="1" applyBorder="1" applyAlignment="1" applyProtection="1">
      <alignment/>
      <protection hidden="1"/>
    </xf>
    <xf numFmtId="178" fontId="4" fillId="0" borderId="18" xfId="34" applyFont="1" applyFill="1" applyBorder="1" applyAlignment="1" applyProtection="1">
      <alignment/>
      <protection hidden="1" locked="0"/>
    </xf>
    <xf numFmtId="178" fontId="4" fillId="0" borderId="19" xfId="34" applyFont="1" applyFill="1" applyBorder="1" applyAlignment="1" applyProtection="1">
      <alignment/>
      <protection hidden="1" locked="0"/>
    </xf>
    <xf numFmtId="0" fontId="20" fillId="0" borderId="29" xfId="0" applyFont="1" applyFill="1" applyBorder="1" applyAlignment="1" applyProtection="1">
      <alignment/>
      <protection hidden="1"/>
    </xf>
    <xf numFmtId="0" fontId="20" fillId="0" borderId="35" xfId="0" applyFont="1" applyFill="1" applyBorder="1" applyAlignment="1" applyProtection="1">
      <alignment/>
      <protection hidden="1"/>
    </xf>
    <xf numFmtId="0" fontId="4" fillId="0" borderId="49" xfId="0" applyFont="1" applyBorder="1" applyAlignment="1" applyProtection="1">
      <alignment/>
      <protection hidden="1"/>
    </xf>
    <xf numFmtId="191" fontId="4" fillId="0" borderId="23" xfId="34" applyNumberFormat="1" applyBorder="1" applyAlignment="1" applyProtection="1">
      <alignment/>
      <protection hidden="1"/>
    </xf>
    <xf numFmtId="0" fontId="14" fillId="3" borderId="16" xfId="0" applyFont="1" applyFill="1" applyBorder="1" applyAlignment="1" applyProtection="1">
      <alignment/>
      <protection hidden="1"/>
    </xf>
    <xf numFmtId="183" fontId="5" fillId="3" borderId="5" xfId="38" applyFont="1" applyBorder="1" applyAlignment="1" applyProtection="1">
      <alignment/>
      <protection hidden="1"/>
    </xf>
    <xf numFmtId="2" fontId="4" fillId="0" borderId="0" xfId="0" applyNumberFormat="1" applyFont="1" applyAlignment="1" applyProtection="1">
      <alignment/>
      <protection hidden="1"/>
    </xf>
    <xf numFmtId="37" fontId="4" fillId="0" borderId="27" xfId="0" applyNumberFormat="1" applyFont="1" applyFill="1" applyBorder="1" applyAlignment="1" applyProtection="1">
      <alignment/>
      <protection hidden="1"/>
    </xf>
    <xf numFmtId="178" fontId="4" fillId="0" borderId="17" xfId="34" applyFont="1" applyFill="1" applyBorder="1" applyAlignment="1" applyProtection="1">
      <alignment/>
      <protection hidden="1" locked="0"/>
    </xf>
    <xf numFmtId="183" fontId="4" fillId="0" borderId="23" xfId="36" applyFont="1" applyFill="1" applyBorder="1" applyAlignment="1" applyProtection="1">
      <alignment/>
      <protection hidden="1" locked="0"/>
    </xf>
    <xf numFmtId="183" fontId="19" fillId="6" borderId="25" xfId="36" applyFont="1" applyFill="1" applyBorder="1" applyAlignment="1" applyProtection="1">
      <alignment/>
      <protection hidden="1"/>
    </xf>
    <xf numFmtId="183" fontId="4" fillId="0" borderId="25" xfId="36" applyFont="1" applyFill="1" applyBorder="1" applyAlignment="1" applyProtection="1">
      <alignment/>
      <protection hidden="1" locked="0"/>
    </xf>
    <xf numFmtId="37" fontId="4" fillId="0" borderId="28" xfId="0" applyNumberFormat="1" applyFont="1" applyFill="1" applyBorder="1" applyAlignment="1" applyProtection="1">
      <alignment/>
      <protection hidden="1"/>
    </xf>
    <xf numFmtId="178" fontId="5" fillId="3" borderId="16" xfId="34" applyFont="1" applyFill="1" applyBorder="1" applyAlignment="1" applyProtection="1">
      <alignment/>
      <protection hidden="1"/>
    </xf>
    <xf numFmtId="183" fontId="5" fillId="3" borderId="16" xfId="38" applyBorder="1" applyAlignment="1" applyProtection="1">
      <alignment horizontal="right"/>
      <protection hidden="1"/>
    </xf>
    <xf numFmtId="183" fontId="5" fillId="3" borderId="5" xfId="38" applyBorder="1" applyAlignment="1" applyProtection="1">
      <alignment horizontal="right"/>
      <protection hidden="1"/>
    </xf>
    <xf numFmtId="183" fontId="4" fillId="5" borderId="23" xfId="36" applyFont="1" applyFill="1" applyBorder="1" applyAlignment="1" applyProtection="1">
      <alignment/>
      <protection hidden="1"/>
    </xf>
    <xf numFmtId="183" fontId="4" fillId="5" borderId="36" xfId="36" applyFont="1" applyFill="1" applyBorder="1" applyAlignment="1" applyProtection="1">
      <alignment/>
      <protection hidden="1"/>
    </xf>
    <xf numFmtId="178" fontId="5" fillId="3" borderId="5" xfId="37" applyBorder="1" applyAlignment="1" applyProtection="1">
      <alignment/>
      <protection hidden="1"/>
    </xf>
    <xf numFmtId="183" fontId="5" fillId="3" borderId="5" xfId="38" applyBorder="1" applyAlignment="1" applyProtection="1">
      <alignment/>
      <protection hidden="1"/>
    </xf>
    <xf numFmtId="178" fontId="5" fillId="3" borderId="7" xfId="37" applyBorder="1" applyAlignment="1" applyProtection="1">
      <alignment/>
      <protection hidden="1"/>
    </xf>
    <xf numFmtId="178" fontId="4" fillId="0" borderId="3" xfId="34" applyFont="1" applyFill="1" applyBorder="1" applyAlignment="1" applyProtection="1">
      <alignment/>
      <protection hidden="1" locked="0"/>
    </xf>
    <xf numFmtId="178" fontId="4" fillId="5" borderId="23" xfId="34" applyFont="1" applyFill="1" applyBorder="1" applyAlignment="1" applyProtection="1">
      <alignment/>
      <protection hidden="1"/>
    </xf>
    <xf numFmtId="37" fontId="3" fillId="3" borderId="50" xfId="0" applyNumberFormat="1" applyFont="1" applyFill="1" applyBorder="1" applyAlignment="1" applyProtection="1">
      <alignment horizontal="right" vertical="center"/>
      <protection hidden="1"/>
    </xf>
    <xf numFmtId="0" fontId="2" fillId="0" borderId="37" xfId="0" applyFont="1" applyBorder="1" applyAlignment="1">
      <alignment horizontal="right" vertical="center"/>
    </xf>
    <xf numFmtId="0" fontId="3" fillId="3" borderId="51" xfId="0" applyFont="1" applyFill="1" applyBorder="1" applyAlignment="1" applyProtection="1">
      <alignment horizontal="right" vertical="center"/>
      <protection hidden="1"/>
    </xf>
    <xf numFmtId="0" fontId="2" fillId="0" borderId="22" xfId="0" applyFont="1" applyBorder="1" applyAlignment="1">
      <alignment horizontal="right" vertical="center"/>
    </xf>
    <xf numFmtId="37" fontId="4" fillId="0" borderId="26" xfId="0" applyNumberFormat="1" applyFont="1" applyFill="1" applyBorder="1" applyAlignment="1" applyProtection="1">
      <alignment/>
      <protection hidden="1"/>
    </xf>
    <xf numFmtId="183" fontId="4" fillId="0" borderId="49" xfId="36" applyFont="1" applyFill="1" applyBorder="1" applyAlignment="1" applyProtection="1">
      <alignment/>
      <protection hidden="1" locked="0"/>
    </xf>
    <xf numFmtId="178" fontId="4" fillId="0" borderId="17" xfId="34" applyFont="1" applyFill="1" applyBorder="1" applyAlignment="1" applyProtection="1">
      <alignment/>
      <protection hidden="1"/>
    </xf>
    <xf numFmtId="3" fontId="3" fillId="3" borderId="16" xfId="0" applyNumberFormat="1" applyFont="1" applyFill="1" applyBorder="1" applyAlignment="1" applyProtection="1">
      <alignment horizontal="center" vertical="center"/>
      <protection hidden="1"/>
    </xf>
    <xf numFmtId="3" fontId="3" fillId="3" borderId="5" xfId="0" applyNumberFormat="1" applyFont="1" applyFill="1" applyBorder="1" applyAlignment="1" applyProtection="1">
      <alignment horizontal="center" vertical="center"/>
      <protection hidden="1"/>
    </xf>
    <xf numFmtId="3" fontId="3" fillId="3" borderId="7" xfId="0" applyNumberFormat="1" applyFont="1" applyFill="1" applyBorder="1" applyAlignment="1" applyProtection="1">
      <alignment horizontal="center" vertical="center"/>
      <protection hidden="1"/>
    </xf>
    <xf numFmtId="190" fontId="4" fillId="0" borderId="23" xfId="0" applyNumberFormat="1" applyFont="1" applyFill="1" applyBorder="1" applyAlignment="1" applyProtection="1">
      <alignment/>
      <protection hidden="1" locked="0"/>
    </xf>
    <xf numFmtId="2" fontId="4" fillId="0" borderId="23" xfId="0" applyNumberFormat="1" applyFont="1" applyFill="1" applyBorder="1" applyAlignment="1" applyProtection="1">
      <alignment/>
      <protection hidden="1" locked="0"/>
    </xf>
    <xf numFmtId="181" fontId="5" fillId="3" borderId="16" xfId="34" applyNumberFormat="1" applyFont="1" applyFill="1" applyBorder="1" applyAlignment="1" applyProtection="1">
      <alignment/>
      <protection hidden="1"/>
    </xf>
    <xf numFmtId="181" fontId="5" fillId="3" borderId="5" xfId="34" applyNumberFormat="1" applyFont="1" applyFill="1" applyBorder="1" applyAlignment="1" applyProtection="1">
      <alignment/>
      <protection hidden="1"/>
    </xf>
    <xf numFmtId="3" fontId="5" fillId="0" borderId="0" xfId="0" applyNumberFormat="1" applyFont="1" applyAlignment="1" applyProtection="1">
      <alignment/>
      <protection hidden="1"/>
    </xf>
    <xf numFmtId="183" fontId="4" fillId="0" borderId="36" xfId="36" applyFont="1" applyFill="1" applyBorder="1" applyAlignment="1" applyProtection="1">
      <alignment/>
      <protection hidden="1" locked="0"/>
    </xf>
    <xf numFmtId="183" fontId="4" fillId="0" borderId="36" xfId="36" applyFont="1" applyFill="1" applyBorder="1" applyAlignment="1" applyProtection="1">
      <alignment/>
      <protection hidden="1"/>
    </xf>
    <xf numFmtId="37" fontId="14" fillId="3" borderId="5" xfId="0" applyNumberFormat="1" applyFont="1" applyFill="1" applyBorder="1" applyAlignment="1" applyProtection="1">
      <alignment/>
      <protection hidden="1"/>
    </xf>
    <xf numFmtId="0" fontId="3" fillId="3" borderId="3" xfId="0" applyFont="1" applyFill="1" applyBorder="1" applyAlignment="1" applyProtection="1">
      <alignment/>
      <protection hidden="1"/>
    </xf>
    <xf numFmtId="178" fontId="4" fillId="0" borderId="0" xfId="34" applyFont="1" applyFill="1" applyBorder="1" applyAlignment="1" applyProtection="1">
      <alignment/>
      <protection hidden="1" locked="0"/>
    </xf>
    <xf numFmtId="178" fontId="4" fillId="0" borderId="13" xfId="34" applyFont="1" applyFill="1" applyBorder="1" applyAlignment="1" applyProtection="1">
      <alignment/>
      <protection hidden="1" locked="0"/>
    </xf>
    <xf numFmtId="178" fontId="4" fillId="0" borderId="26" xfId="34" applyFont="1" applyFill="1" applyBorder="1" applyAlignment="1" applyProtection="1">
      <alignment/>
      <protection hidden="1" locked="0"/>
    </xf>
    <xf numFmtId="178" fontId="4" fillId="0" borderId="52" xfId="34" applyFont="1" applyFill="1" applyBorder="1" applyAlignment="1" applyProtection="1">
      <alignment/>
      <protection hidden="1"/>
    </xf>
    <xf numFmtId="178" fontId="5" fillId="3" borderId="21" xfId="37" applyFont="1" applyFill="1" applyBorder="1" applyAlignment="1" applyProtection="1">
      <alignment/>
      <protection hidden="1"/>
    </xf>
    <xf numFmtId="178" fontId="4" fillId="3" borderId="14" xfId="34" applyFont="1" applyFill="1" applyBorder="1" applyAlignment="1" applyProtection="1">
      <alignment/>
      <protection hidden="1" locked="0"/>
    </xf>
    <xf numFmtId="178" fontId="4" fillId="0" borderId="32" xfId="34" applyFont="1" applyFill="1" applyBorder="1" applyAlignment="1" applyProtection="1">
      <alignment/>
      <protection hidden="1"/>
    </xf>
    <xf numFmtId="178" fontId="4" fillId="0" borderId="25" xfId="34" applyFont="1" applyFill="1" applyBorder="1" applyAlignment="1" applyProtection="1">
      <alignment/>
      <protection hidden="1" locked="0"/>
    </xf>
    <xf numFmtId="178" fontId="4" fillId="0" borderId="38" xfId="34" applyFont="1" applyBorder="1" applyAlignment="1" applyProtection="1">
      <alignment/>
      <protection hidden="1"/>
    </xf>
    <xf numFmtId="178" fontId="4" fillId="0" borderId="23" xfId="34" applyFill="1" applyBorder="1" applyProtection="1">
      <alignment/>
      <protection/>
    </xf>
    <xf numFmtId="178" fontId="4" fillId="0" borderId="23" xfId="34" applyFont="1" applyFill="1" applyBorder="1" applyProtection="1">
      <alignment/>
      <protection locked="0"/>
    </xf>
    <xf numFmtId="0" fontId="1" fillId="0" borderId="0" xfId="0" applyNumberFormat="1" applyFont="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1"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2" fillId="0" borderId="5"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2" fillId="0" borderId="5" xfId="0" applyFont="1" applyBorder="1" applyAlignment="1" applyProtection="1">
      <alignment horizontal="left" vertical="center"/>
      <protection/>
    </xf>
    <xf numFmtId="0" fontId="3" fillId="0" borderId="5" xfId="0" applyNumberFormat="1" applyFont="1" applyBorder="1" applyAlignment="1" applyProtection="1">
      <alignment vertical="center"/>
      <protection/>
    </xf>
    <xf numFmtId="186" fontId="2" fillId="0" borderId="6" xfId="0" applyNumberFormat="1" applyFont="1" applyBorder="1" applyAlignment="1" applyProtection="1">
      <alignment horizontal="right" vertical="center"/>
      <protection/>
    </xf>
    <xf numFmtId="0" fontId="2"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5" fillId="0" borderId="0" xfId="0" applyNumberFormat="1" applyFont="1" applyBorder="1" applyAlignment="1" applyProtection="1">
      <alignment horizontal="left"/>
      <protection/>
    </xf>
    <xf numFmtId="37" fontId="5" fillId="0" borderId="0" xfId="0" applyNumberFormat="1" applyFont="1" applyBorder="1" applyAlignment="1" applyProtection="1">
      <alignment/>
      <protection/>
    </xf>
    <xf numFmtId="0" fontId="5" fillId="0" borderId="0" xfId="0" applyFont="1" applyBorder="1" applyAlignment="1" applyProtection="1">
      <alignment horizontal="left" vertical="top"/>
      <protection/>
    </xf>
    <xf numFmtId="0" fontId="5" fillId="0" borderId="0" xfId="0" applyFont="1" applyBorder="1" applyAlignment="1" applyProtection="1">
      <alignment horizontal="right" vertical="top"/>
      <protection/>
    </xf>
    <xf numFmtId="0" fontId="5" fillId="0" borderId="0" xfId="0" applyFont="1" applyBorder="1" applyAlignment="1" applyProtection="1">
      <alignment horizontal="right"/>
      <protection/>
    </xf>
    <xf numFmtId="0" fontId="4" fillId="0" borderId="0" xfId="0" applyFont="1" applyBorder="1" applyAlignment="1" applyProtection="1">
      <alignment/>
      <protection/>
    </xf>
    <xf numFmtId="37" fontId="5" fillId="0" borderId="0" xfId="0" applyNumberFormat="1" applyFont="1" applyBorder="1" applyAlignment="1" applyProtection="1">
      <alignment horizontal="left"/>
      <protection/>
    </xf>
    <xf numFmtId="0" fontId="4" fillId="0" borderId="0" xfId="0" applyFont="1" applyAlignment="1" applyProtection="1">
      <alignment/>
      <protection/>
    </xf>
    <xf numFmtId="0" fontId="5" fillId="0" borderId="0" xfId="0" applyNumberFormat="1" applyFont="1" applyAlignment="1" applyProtection="1">
      <alignment/>
      <protection/>
    </xf>
    <xf numFmtId="0" fontId="4" fillId="0" borderId="0" xfId="0" applyFont="1" applyAlignment="1" applyProtection="1">
      <alignment/>
      <protection/>
    </xf>
    <xf numFmtId="0" fontId="5" fillId="0" borderId="0" xfId="0" applyFont="1" applyBorder="1" applyAlignment="1" applyProtection="1">
      <alignment horizontal="left"/>
      <protection/>
    </xf>
    <xf numFmtId="0" fontId="5" fillId="0" borderId="0" xfId="0" applyFont="1" applyBorder="1" applyAlignment="1" applyProtection="1">
      <alignment/>
      <protection/>
    </xf>
    <xf numFmtId="0" fontId="4" fillId="0" borderId="0" xfId="0" applyFont="1" applyAlignment="1" applyProtection="1">
      <alignment horizontal="left"/>
      <protection/>
    </xf>
    <xf numFmtId="0" fontId="5" fillId="0" borderId="0" xfId="0" applyFont="1" applyAlignment="1" applyProtection="1">
      <alignment/>
      <protection/>
    </xf>
    <xf numFmtId="0" fontId="0" fillId="0" borderId="0" xfId="0" applyBorder="1" applyAlignment="1" applyProtection="1">
      <alignment/>
      <protection/>
    </xf>
    <xf numFmtId="0" fontId="0" fillId="0" borderId="0" xfId="0" applyFill="1" applyAlignment="1" applyProtection="1">
      <alignment/>
      <protection/>
    </xf>
    <xf numFmtId="0" fontId="5" fillId="0" borderId="0" xfId="0" applyNumberFormat="1" applyFont="1" applyAlignment="1" applyProtection="1">
      <alignment/>
      <protection/>
    </xf>
    <xf numFmtId="0" fontId="5" fillId="0" borderId="0" xfId="0" applyFont="1" applyAlignment="1" applyProtection="1">
      <alignment/>
      <protection/>
    </xf>
    <xf numFmtId="0" fontId="4" fillId="0" borderId="0" xfId="0" applyFont="1" applyBorder="1" applyAlignment="1" applyProtection="1">
      <alignment/>
      <protection/>
    </xf>
    <xf numFmtId="0" fontId="4" fillId="0" borderId="17" xfId="0" applyFont="1" applyFill="1" applyBorder="1" applyAlignment="1" applyProtection="1">
      <alignment/>
      <protection/>
    </xf>
    <xf numFmtId="0" fontId="1" fillId="0" borderId="0" xfId="0" applyNumberFormat="1" applyFont="1" applyAlignment="1" applyProtection="1">
      <alignment/>
      <protection/>
    </xf>
    <xf numFmtId="0" fontId="4" fillId="0" borderId="0" xfId="0" applyFont="1" applyFill="1" applyAlignment="1" applyProtection="1">
      <alignment vertical="center"/>
      <protection/>
    </xf>
    <xf numFmtId="37" fontId="4" fillId="0" borderId="0" xfId="0" applyNumberFormat="1" applyFont="1" applyAlignment="1" applyProtection="1">
      <alignment horizontal="left"/>
      <protection/>
    </xf>
    <xf numFmtId="2" fontId="4" fillId="0" borderId="0" xfId="0" applyNumberFormat="1" applyFont="1" applyAlignment="1" applyProtection="1">
      <alignment/>
      <protection/>
    </xf>
    <xf numFmtId="37" fontId="4" fillId="0" borderId="0" xfId="0" applyNumberFormat="1" applyFont="1" applyAlignment="1" applyProtection="1">
      <alignment/>
      <protection/>
    </xf>
    <xf numFmtId="0" fontId="4" fillId="0" borderId="0" xfId="0" applyFont="1" applyFill="1" applyBorder="1" applyAlignment="1" applyProtection="1">
      <alignment/>
      <protection/>
    </xf>
    <xf numFmtId="0" fontId="5" fillId="0" borderId="0" xfId="0" applyFont="1" applyBorder="1" applyAlignment="1" applyProtection="1">
      <alignment/>
      <protection/>
    </xf>
    <xf numFmtId="37" fontId="5" fillId="3" borderId="3" xfId="0" applyNumberFormat="1" applyFont="1" applyFill="1" applyBorder="1" applyAlignment="1" applyProtection="1">
      <alignment horizontal="right"/>
      <protection/>
    </xf>
    <xf numFmtId="0" fontId="4" fillId="0" borderId="0" xfId="0" applyFont="1" applyBorder="1" applyAlignment="1" applyProtection="1">
      <alignment horizontal="left"/>
      <protection/>
    </xf>
    <xf numFmtId="37" fontId="4" fillId="0" borderId="0" xfId="0" applyNumberFormat="1" applyFont="1" applyBorder="1" applyAlignment="1" applyProtection="1">
      <alignment/>
      <protection/>
    </xf>
    <xf numFmtId="0" fontId="5" fillId="0" borderId="0" xfId="0" applyNumberFormat="1" applyFont="1" applyBorder="1" applyAlignment="1" applyProtection="1">
      <alignment/>
      <protection/>
    </xf>
    <xf numFmtId="49" fontId="4" fillId="0" borderId="23" xfId="0" applyNumberFormat="1" applyFont="1" applyFill="1" applyBorder="1" applyAlignment="1" applyProtection="1">
      <alignment horizontal="left"/>
      <protection locked="0"/>
    </xf>
    <xf numFmtId="178" fontId="4" fillId="0" borderId="23" xfId="34" applyFont="1" applyBorder="1" applyProtection="1">
      <alignment/>
      <protection/>
    </xf>
    <xf numFmtId="0" fontId="2" fillId="0" borderId="0" xfId="0" applyNumberFormat="1" applyFont="1" applyBorder="1" applyAlignment="1" applyProtection="1">
      <alignment/>
      <protection/>
    </xf>
    <xf numFmtId="0" fontId="5" fillId="0" borderId="0" xfId="0" applyFont="1" applyFill="1" applyBorder="1" applyAlignment="1" applyProtection="1">
      <alignment/>
      <protection/>
    </xf>
    <xf numFmtId="49" fontId="4" fillId="0" borderId="0" xfId="0" applyNumberFormat="1" applyFont="1" applyBorder="1" applyAlignment="1" applyProtection="1">
      <alignment horizontal="center"/>
      <protection/>
    </xf>
    <xf numFmtId="0" fontId="4" fillId="0" borderId="0" xfId="0" applyFont="1" applyFill="1" applyAlignment="1" applyProtection="1">
      <alignment/>
      <protection/>
    </xf>
    <xf numFmtId="0" fontId="0" fillId="0" borderId="0" xfId="0" applyFont="1" applyAlignment="1" applyProtection="1">
      <alignment/>
      <protection/>
    </xf>
    <xf numFmtId="0" fontId="2" fillId="0" borderId="0" xfId="0" applyFont="1" applyAlignment="1" applyProtection="1">
      <alignment/>
      <protection/>
    </xf>
    <xf numFmtId="37" fontId="4" fillId="0" borderId="0" xfId="0" applyNumberFormat="1" applyFont="1" applyAlignment="1" applyProtection="1">
      <alignment/>
      <protection/>
    </xf>
    <xf numFmtId="178" fontId="4" fillId="0" borderId="17" xfId="34" applyFont="1" applyFill="1" applyBorder="1" applyProtection="1">
      <alignment/>
      <protection locked="0"/>
    </xf>
    <xf numFmtId="183" fontId="4" fillId="0" borderId="23" xfId="36" applyFont="1" applyFill="1" applyBorder="1" applyProtection="1">
      <alignment/>
      <protection locked="0"/>
    </xf>
    <xf numFmtId="178" fontId="4" fillId="0" borderId="25" xfId="34" applyFont="1" applyBorder="1" applyAlignment="1" applyProtection="1">
      <alignment/>
      <protection/>
    </xf>
    <xf numFmtId="183" fontId="4" fillId="0" borderId="25" xfId="36" applyFont="1" applyFill="1" applyBorder="1" applyProtection="1">
      <alignment/>
      <protection locked="0"/>
    </xf>
    <xf numFmtId="37" fontId="5" fillId="0" borderId="0" xfId="0" applyNumberFormat="1" applyFont="1" applyBorder="1" applyAlignment="1" applyProtection="1">
      <alignment horizontal="right"/>
      <protection/>
    </xf>
    <xf numFmtId="178" fontId="4" fillId="0" borderId="25" xfId="34" applyFont="1" applyBorder="1" applyProtection="1">
      <alignment/>
      <protection/>
    </xf>
    <xf numFmtId="183" fontId="4" fillId="0" borderId="23" xfId="36" applyFont="1" applyFill="1" applyBorder="1" applyProtection="1">
      <alignment/>
      <protection/>
    </xf>
    <xf numFmtId="0" fontId="2" fillId="0" borderId="0" xfId="0" applyFont="1" applyBorder="1" applyAlignment="1" applyProtection="1">
      <alignment vertical="center"/>
      <protection/>
    </xf>
    <xf numFmtId="37" fontId="5" fillId="0" borderId="0" xfId="0" applyNumberFormat="1" applyFont="1" applyBorder="1" applyAlignment="1" applyProtection="1">
      <alignment horizontal="right" vertical="top"/>
      <protection/>
    </xf>
    <xf numFmtId="37" fontId="4" fillId="0" borderId="0" xfId="0" applyNumberFormat="1" applyFont="1" applyBorder="1" applyAlignment="1" applyProtection="1">
      <alignment/>
      <protection/>
    </xf>
    <xf numFmtId="167" fontId="4" fillId="0" borderId="23" xfId="0" applyNumberFormat="1" applyFont="1" applyFill="1" applyBorder="1" applyAlignment="1" applyProtection="1">
      <alignment horizontal="center"/>
      <protection/>
    </xf>
    <xf numFmtId="0" fontId="4" fillId="0" borderId="13" xfId="0" applyFont="1" applyFill="1" applyBorder="1" applyAlignment="1" applyProtection="1">
      <alignment/>
      <protection/>
    </xf>
    <xf numFmtId="0" fontId="2"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0" fontId="4" fillId="0" borderId="23" xfId="0" applyNumberFormat="1" applyFont="1" applyFill="1" applyBorder="1" applyAlignment="1" applyProtection="1">
      <alignment horizontal="center"/>
      <protection locked="0"/>
    </xf>
    <xf numFmtId="3" fontId="4" fillId="0" borderId="0" xfId="0" applyNumberFormat="1" applyFont="1" applyBorder="1" applyAlignment="1" applyProtection="1">
      <alignment horizontal="center"/>
      <protection/>
    </xf>
    <xf numFmtId="0" fontId="2" fillId="0" borderId="0" xfId="0" applyFont="1" applyBorder="1" applyAlignment="1" applyProtection="1">
      <alignment/>
      <protection/>
    </xf>
    <xf numFmtId="178" fontId="2" fillId="0" borderId="13" xfId="34" applyFont="1" applyFill="1" applyBorder="1" applyAlignment="1" applyProtection="1">
      <alignment horizontal="right"/>
      <protection/>
    </xf>
    <xf numFmtId="178" fontId="2" fillId="0" borderId="17" xfId="34" applyFont="1" applyFill="1" applyBorder="1" applyAlignment="1" applyProtection="1">
      <alignment horizontal="right"/>
      <protection/>
    </xf>
    <xf numFmtId="178" fontId="2" fillId="0" borderId="0" xfId="0" applyNumberFormat="1" applyFont="1" applyBorder="1" applyAlignment="1" applyProtection="1">
      <alignment/>
      <protection/>
    </xf>
    <xf numFmtId="37" fontId="4" fillId="0" borderId="0" xfId="0" applyNumberFormat="1" applyFont="1" applyFill="1" applyAlignment="1" applyProtection="1">
      <alignment vertical="center"/>
      <protection/>
    </xf>
    <xf numFmtId="168" fontId="4" fillId="0" borderId="23" xfId="0" applyNumberFormat="1" applyFont="1" applyFill="1" applyBorder="1" applyAlignment="1" applyProtection="1">
      <alignment/>
      <protection locked="0"/>
    </xf>
    <xf numFmtId="0" fontId="4" fillId="0" borderId="0" xfId="0" applyFont="1" applyAlignment="1" applyProtection="1">
      <alignment horizontal="justify"/>
      <protection/>
    </xf>
    <xf numFmtId="0" fontId="3" fillId="0" borderId="0" xfId="0" applyFont="1" applyAlignment="1" applyProtection="1">
      <alignment/>
      <protection/>
    </xf>
    <xf numFmtId="0" fontId="17" fillId="0" borderId="0" xfId="0" applyFont="1" applyAlignment="1" applyProtection="1">
      <alignment/>
      <protection/>
    </xf>
    <xf numFmtId="0" fontId="0" fillId="0" borderId="0" xfId="0" applyAlignment="1" applyProtection="1">
      <alignment horizontal="justify" wrapText="1"/>
      <protection/>
    </xf>
    <xf numFmtId="0" fontId="0" fillId="0" borderId="53" xfId="0" applyBorder="1" applyAlignment="1" applyProtection="1">
      <alignment/>
      <protection/>
    </xf>
    <xf numFmtId="0" fontId="1" fillId="0" borderId="54" xfId="0" applyFont="1" applyBorder="1" applyAlignment="1" applyProtection="1">
      <alignment/>
      <protection/>
    </xf>
    <xf numFmtId="0" fontId="0" fillId="0" borderId="54" xfId="0" applyBorder="1" applyAlignment="1" applyProtection="1">
      <alignment/>
      <protection/>
    </xf>
    <xf numFmtId="0" fontId="0" fillId="0" borderId="54" xfId="0" applyBorder="1" applyAlignment="1" applyProtection="1">
      <alignment/>
      <protection/>
    </xf>
    <xf numFmtId="0" fontId="0" fillId="0" borderId="55" xfId="0" applyBorder="1" applyAlignment="1" applyProtection="1">
      <alignment/>
      <protection/>
    </xf>
    <xf numFmtId="0" fontId="0" fillId="0" borderId="56" xfId="0" applyBorder="1" applyAlignment="1" applyProtection="1">
      <alignment/>
      <protection/>
    </xf>
    <xf numFmtId="0" fontId="0" fillId="0" borderId="57" xfId="0" applyBorder="1" applyAlignment="1" applyProtection="1">
      <alignment/>
      <protection/>
    </xf>
    <xf numFmtId="0" fontId="1" fillId="0" borderId="16" xfId="0" applyFont="1" applyBorder="1" applyAlignment="1" applyProtection="1">
      <alignment vertical="top"/>
      <protection/>
    </xf>
    <xf numFmtId="0" fontId="0" fillId="0" borderId="7" xfId="0" applyBorder="1" applyAlignment="1" applyProtection="1">
      <alignment vertical="top" wrapText="1"/>
      <protection/>
    </xf>
    <xf numFmtId="0" fontId="0" fillId="0" borderId="0" xfId="0" applyBorder="1" applyAlignment="1" applyProtection="1">
      <alignment vertical="top" wrapText="1"/>
      <protection/>
    </xf>
    <xf numFmtId="0" fontId="0" fillId="0" borderId="57" xfId="0" applyBorder="1" applyAlignment="1" applyProtection="1">
      <alignment/>
      <protection/>
    </xf>
    <xf numFmtId="0" fontId="0" fillId="0" borderId="58" xfId="0" applyFill="1" applyBorder="1" applyAlignment="1" applyProtection="1">
      <alignment/>
      <protection/>
    </xf>
    <xf numFmtId="0" fontId="0" fillId="0" borderId="59" xfId="0" applyFill="1" applyBorder="1" applyAlignment="1" applyProtection="1">
      <alignment/>
      <protection/>
    </xf>
    <xf numFmtId="0" fontId="0" fillId="0" borderId="59" xfId="0" applyFill="1" applyBorder="1" applyAlignment="1" applyProtection="1">
      <alignment vertical="top" wrapText="1"/>
      <protection/>
    </xf>
    <xf numFmtId="0" fontId="0" fillId="0" borderId="59" xfId="0" applyFill="1" applyBorder="1" applyAlignment="1" applyProtection="1">
      <alignment vertical="top"/>
      <protection/>
    </xf>
    <xf numFmtId="0" fontId="0" fillId="0" borderId="60" xfId="0" applyFill="1" applyBorder="1" applyAlignment="1" applyProtection="1">
      <alignment/>
      <protection/>
    </xf>
    <xf numFmtId="0" fontId="4" fillId="0" borderId="0" xfId="0" applyFont="1" applyBorder="1" applyAlignment="1" applyProtection="1">
      <alignment horizontal="center" wrapText="1"/>
      <protection/>
    </xf>
    <xf numFmtId="0" fontId="4" fillId="0" borderId="0" xfId="0" applyFont="1" applyAlignment="1" applyProtection="1">
      <alignment horizontal="justify" wrapText="1"/>
      <protection/>
    </xf>
    <xf numFmtId="0" fontId="4" fillId="0" borderId="5" xfId="0" applyFont="1" applyBorder="1" applyAlignment="1" applyProtection="1">
      <alignment vertical="center"/>
      <protection/>
    </xf>
    <xf numFmtId="0" fontId="0" fillId="0" borderId="0" xfId="0" applyBorder="1" applyAlignment="1" applyProtection="1">
      <alignment vertical="center"/>
      <protection/>
    </xf>
    <xf numFmtId="0" fontId="5" fillId="0" borderId="0" xfId="0" applyFont="1" applyBorder="1" applyAlignment="1" applyProtection="1">
      <alignment vertical="center" wrapText="1"/>
      <protection/>
    </xf>
    <xf numFmtId="0" fontId="4" fillId="0" borderId="6" xfId="0" applyFont="1" applyBorder="1" applyAlignment="1" applyProtection="1">
      <alignment vertical="center"/>
      <protection/>
    </xf>
    <xf numFmtId="0" fontId="5" fillId="0" borderId="0" xfId="0" applyFont="1" applyBorder="1" applyAlignment="1" applyProtection="1">
      <alignment vertical="center"/>
      <protection/>
    </xf>
    <xf numFmtId="37" fontId="4" fillId="0" borderId="0" xfId="0" applyNumberFormat="1" applyFont="1" applyBorder="1" applyAlignment="1" applyProtection="1">
      <alignment vertical="center"/>
      <protection/>
    </xf>
    <xf numFmtId="0" fontId="0" fillId="0" borderId="0" xfId="0" applyFont="1" applyAlignment="1" applyProtection="1">
      <alignment horizontal="left"/>
      <protection/>
    </xf>
    <xf numFmtId="0" fontId="1" fillId="0" borderId="0" xfId="0" applyNumberFormat="1" applyFont="1" applyAlignment="1" applyProtection="1">
      <alignment horizontal="justify"/>
      <protection/>
    </xf>
    <xf numFmtId="0" fontId="0" fillId="0" borderId="0" xfId="0" applyFont="1" applyAlignment="1" applyProtection="1">
      <alignment horizontal="justify"/>
      <protection/>
    </xf>
    <xf numFmtId="0" fontId="1" fillId="0" borderId="0" xfId="0" applyFont="1" applyBorder="1" applyAlignment="1" applyProtection="1">
      <alignment horizontal="justify"/>
      <protection/>
    </xf>
    <xf numFmtId="170" fontId="4" fillId="0" borderId="0" xfId="0" applyNumberFormat="1" applyFont="1" applyAlignment="1" applyProtection="1">
      <alignment/>
      <protection/>
    </xf>
    <xf numFmtId="37" fontId="5" fillId="0" borderId="0" xfId="0" applyNumberFormat="1" applyFont="1" applyAlignment="1" applyProtection="1">
      <alignment/>
      <protection/>
    </xf>
    <xf numFmtId="0" fontId="4" fillId="0" borderId="0" xfId="0" applyNumberFormat="1" applyFont="1" applyAlignment="1" applyProtection="1">
      <alignment/>
      <protection/>
    </xf>
    <xf numFmtId="0" fontId="4" fillId="0" borderId="0" xfId="0" applyFont="1" applyAlignment="1" applyProtection="1">
      <alignment wrapText="1"/>
      <protection/>
    </xf>
    <xf numFmtId="0" fontId="4" fillId="0" borderId="0" xfId="0" applyFont="1" applyBorder="1" applyAlignment="1" applyProtection="1">
      <alignment horizontal="justify"/>
      <protection/>
    </xf>
    <xf numFmtId="37" fontId="4" fillId="0" borderId="0" xfId="0" applyNumberFormat="1" applyFont="1" applyAlignment="1" applyProtection="1">
      <alignment horizontal="justify"/>
      <protection/>
    </xf>
    <xf numFmtId="170" fontId="0" fillId="0" borderId="0" xfId="0" applyNumberFormat="1" applyFont="1" applyAlignment="1" applyProtection="1">
      <alignment/>
      <protection/>
    </xf>
    <xf numFmtId="170" fontId="0" fillId="0" borderId="0" xfId="0" applyNumberFormat="1" applyFont="1" applyAlignment="1" applyProtection="1">
      <alignment horizontal="justify"/>
      <protection/>
    </xf>
    <xf numFmtId="0" fontId="5" fillId="0" borderId="0" xfId="0" applyNumberFormat="1" applyFont="1" applyAlignment="1" applyProtection="1">
      <alignment horizontal="justify"/>
      <protection/>
    </xf>
    <xf numFmtId="176" fontId="4" fillId="0" borderId="61" xfId="0" applyNumberFormat="1" applyFont="1" applyFill="1" applyBorder="1" applyAlignment="1" applyProtection="1">
      <alignment horizontal="left"/>
      <protection locked="0"/>
    </xf>
    <xf numFmtId="176" fontId="4" fillId="0" borderId="36" xfId="0" applyNumberFormat="1" applyFont="1" applyFill="1" applyBorder="1" applyAlignment="1" applyProtection="1">
      <alignment horizontal="left"/>
      <protection locked="0"/>
    </xf>
    <xf numFmtId="180" fontId="4" fillId="0" borderId="23" xfId="36" applyNumberFormat="1" applyFill="1" applyBorder="1" applyProtection="1">
      <alignment/>
      <protection locked="0"/>
    </xf>
    <xf numFmtId="168" fontId="4" fillId="0" borderId="23" xfId="34" applyNumberFormat="1" applyFont="1" applyFill="1" applyBorder="1" applyProtection="1">
      <alignment/>
      <protection locked="0"/>
    </xf>
    <xf numFmtId="14" fontId="4" fillId="0" borderId="23" xfId="0" applyNumberFormat="1" applyFont="1" applyFill="1" applyBorder="1" applyAlignment="1" applyProtection="1">
      <alignment horizontal="left"/>
      <protection locked="0"/>
    </xf>
    <xf numFmtId="0" fontId="4" fillId="0" borderId="13" xfId="0" applyFont="1" applyFill="1" applyBorder="1" applyAlignment="1" applyProtection="1">
      <alignment/>
      <protection hidden="1"/>
    </xf>
    <xf numFmtId="0" fontId="4" fillId="3" borderId="5" xfId="0" applyFont="1" applyFill="1" applyBorder="1" applyAlignment="1" applyProtection="1">
      <alignment/>
      <protection hidden="1"/>
    </xf>
    <xf numFmtId="37" fontId="4" fillId="0" borderId="3" xfId="0" applyNumberFormat="1" applyFont="1" applyFill="1" applyBorder="1" applyAlignment="1" applyProtection="1">
      <alignment vertical="center"/>
      <protection locked="0"/>
    </xf>
    <xf numFmtId="0" fontId="5" fillId="0" borderId="0" xfId="32" applyFont="1" applyBorder="1" applyAlignment="1" applyProtection="1">
      <alignment horizontal="left"/>
      <protection/>
    </xf>
    <xf numFmtId="186" fontId="15" fillId="0" borderId="6" xfId="0" applyNumberFormat="1" applyFont="1" applyBorder="1" applyAlignment="1" applyProtection="1">
      <alignment horizontal="right" vertical="center"/>
      <protection/>
    </xf>
    <xf numFmtId="0" fontId="5" fillId="0" borderId="0" xfId="0" applyNumberFormat="1" applyFont="1" applyBorder="1" applyAlignment="1" applyProtection="1">
      <alignment vertical="center"/>
      <protection/>
    </xf>
    <xf numFmtId="0" fontId="4" fillId="0" borderId="0" xfId="0" applyFont="1" applyAlignment="1">
      <alignment/>
    </xf>
    <xf numFmtId="0" fontId="16" fillId="0" borderId="5" xfId="0" applyNumberFormat="1" applyFont="1" applyBorder="1" applyAlignment="1" applyProtection="1">
      <alignment vertical="center"/>
      <protection/>
    </xf>
    <xf numFmtId="0" fontId="4" fillId="0" borderId="0" xfId="0" applyFont="1" applyFill="1" applyAlignment="1" applyProtection="1">
      <alignment/>
      <protection/>
    </xf>
    <xf numFmtId="0" fontId="5" fillId="3" borderId="3" xfId="0" applyFont="1" applyFill="1" applyBorder="1" applyAlignment="1" applyProtection="1">
      <alignment vertical="center"/>
      <protection/>
    </xf>
    <xf numFmtId="177" fontId="4" fillId="0" borderId="39" xfId="34" applyNumberFormat="1" applyFont="1" applyFill="1" applyBorder="1" applyProtection="1">
      <alignment/>
      <protection locked="0"/>
    </xf>
    <xf numFmtId="177" fontId="4" fillId="0" borderId="17" xfId="34" applyNumberFormat="1" applyFont="1" applyFill="1" applyBorder="1" applyProtection="1">
      <alignment/>
      <protection locked="0"/>
    </xf>
    <xf numFmtId="0" fontId="4" fillId="0" borderId="0" xfId="0" applyNumberFormat="1" applyFont="1" applyBorder="1" applyAlignment="1" applyProtection="1">
      <alignment vertical="center"/>
      <protection/>
    </xf>
    <xf numFmtId="0" fontId="4" fillId="0" borderId="0" xfId="0" applyFont="1" applyAlignment="1" applyProtection="1">
      <alignment/>
      <protection hidden="1"/>
    </xf>
    <xf numFmtId="3" fontId="4" fillId="0" borderId="23" xfId="34" applyNumberFormat="1" applyFont="1" applyFill="1" applyBorder="1" applyProtection="1">
      <alignment/>
      <protection locked="0"/>
    </xf>
    <xf numFmtId="0" fontId="4" fillId="0" borderId="0" xfId="0" applyFont="1" applyAlignment="1" applyProtection="1">
      <alignment horizontal="left" vertical="top" wrapText="1"/>
      <protection hidden="1"/>
    </xf>
    <xf numFmtId="171" fontId="4" fillId="0" borderId="23" xfId="34" applyNumberFormat="1" applyFont="1" applyFill="1" applyBorder="1" applyProtection="1">
      <alignment/>
      <protection locked="0"/>
    </xf>
    <xf numFmtId="171" fontId="4" fillId="0" borderId="23" xfId="34" applyNumberFormat="1" applyFont="1" applyFill="1" applyBorder="1" applyProtection="1">
      <alignment/>
      <protection/>
    </xf>
    <xf numFmtId="171" fontId="4" fillId="0" borderId="0" xfId="0" applyNumberFormat="1" applyFont="1" applyAlignment="1" applyProtection="1">
      <alignment/>
      <protection/>
    </xf>
    <xf numFmtId="171" fontId="4" fillId="0" borderId="0" xfId="0" applyNumberFormat="1" applyFont="1" applyBorder="1" applyAlignment="1" applyProtection="1">
      <alignment/>
      <protection/>
    </xf>
    <xf numFmtId="171" fontId="4" fillId="0" borderId="23" xfId="36" applyNumberFormat="1" applyFont="1" applyFill="1" applyBorder="1" applyProtection="1">
      <alignment/>
      <protection locked="0"/>
    </xf>
    <xf numFmtId="171" fontId="5" fillId="0" borderId="0" xfId="0" applyNumberFormat="1" applyFont="1" applyAlignment="1" applyProtection="1">
      <alignment/>
      <protection/>
    </xf>
    <xf numFmtId="171" fontId="2" fillId="0" borderId="17" xfId="34" applyNumberFormat="1" applyFont="1" applyFill="1" applyBorder="1" applyAlignment="1" applyProtection="1">
      <alignment horizontal="right"/>
      <protection/>
    </xf>
    <xf numFmtId="0" fontId="2" fillId="0" borderId="0" xfId="0" applyFont="1" applyAlignment="1" applyProtection="1">
      <alignment horizontal="right" vertical="center"/>
      <protection/>
    </xf>
    <xf numFmtId="0" fontId="16" fillId="0" borderId="6" xfId="0" applyNumberFormat="1" applyFont="1" applyBorder="1" applyAlignment="1" applyProtection="1">
      <alignment vertical="center"/>
      <protection/>
    </xf>
    <xf numFmtId="0" fontId="16" fillId="0" borderId="0" xfId="0" applyNumberFormat="1" applyFont="1" applyBorder="1" applyAlignment="1" applyProtection="1">
      <alignment vertical="center"/>
      <protection/>
    </xf>
    <xf numFmtId="186" fontId="4" fillId="0" borderId="0" xfId="0" applyNumberFormat="1" applyFont="1" applyBorder="1" applyAlignment="1" applyProtection="1">
      <alignment horizontal="right" vertical="center"/>
      <protection/>
    </xf>
    <xf numFmtId="0" fontId="4" fillId="0" borderId="5" xfId="0" applyNumberFormat="1" applyFont="1" applyBorder="1" applyAlignment="1" applyProtection="1">
      <alignment vertical="center"/>
      <protection hidden="1"/>
    </xf>
    <xf numFmtId="0" fontId="5" fillId="0" borderId="0" xfId="0" applyFont="1" applyAlignment="1" applyProtection="1">
      <alignment horizontal="left" vertical="center"/>
      <protection hidden="1"/>
    </xf>
    <xf numFmtId="0" fontId="4" fillId="0" borderId="0" xfId="0" applyFont="1" applyAlignment="1" applyProtection="1">
      <alignment horizontal="left" vertical="center" wrapText="1"/>
      <protection hidden="1"/>
    </xf>
    <xf numFmtId="0" fontId="5" fillId="0" borderId="0" xfId="0" applyFont="1" applyAlignment="1" applyProtection="1">
      <alignment horizontal="left" vertical="center" wrapText="1"/>
      <protection hidden="1"/>
    </xf>
    <xf numFmtId="37" fontId="4" fillId="0" borderId="0" xfId="0" applyNumberFormat="1" applyFont="1" applyAlignment="1" applyProtection="1">
      <alignment horizontal="center"/>
      <protection hidden="1"/>
    </xf>
    <xf numFmtId="37" fontId="15" fillId="0" borderId="0" xfId="0" applyNumberFormat="1" applyFont="1" applyAlignment="1" applyProtection="1">
      <alignment/>
      <protection hidden="1"/>
    </xf>
    <xf numFmtId="0" fontId="15" fillId="0" borderId="0" xfId="0" applyFont="1" applyAlignment="1" applyProtection="1">
      <alignment/>
      <protection hidden="1"/>
    </xf>
    <xf numFmtId="0" fontId="4" fillId="0" borderId="0" xfId="0" applyFont="1" applyAlignment="1" applyProtection="1">
      <alignment horizontal="justify" wrapText="1"/>
      <protection hidden="1"/>
    </xf>
    <xf numFmtId="0" fontId="4" fillId="0" borderId="0" xfId="0" applyFont="1" applyAlignment="1" applyProtection="1">
      <alignment horizontal="justify"/>
      <protection hidden="1"/>
    </xf>
    <xf numFmtId="0" fontId="5" fillId="0" borderId="0" xfId="0" applyNumberFormat="1" applyFont="1" applyBorder="1" applyAlignment="1" applyProtection="1">
      <alignment vertical="center"/>
      <protection hidden="1"/>
    </xf>
    <xf numFmtId="0" fontId="16" fillId="0" borderId="0" xfId="0" applyNumberFormat="1" applyFont="1" applyBorder="1" applyAlignment="1" applyProtection="1">
      <alignment vertical="center"/>
      <protection hidden="1"/>
    </xf>
    <xf numFmtId="186" fontId="4" fillId="0" borderId="0" xfId="0" applyNumberFormat="1" applyFont="1" applyBorder="1" applyAlignment="1" applyProtection="1">
      <alignment horizontal="right" vertical="center"/>
      <protection hidden="1"/>
    </xf>
    <xf numFmtId="0" fontId="4" fillId="0" borderId="0" xfId="0" applyNumberFormat="1" applyFont="1" applyBorder="1" applyAlignment="1" applyProtection="1">
      <alignment vertical="center"/>
      <protection hidden="1"/>
    </xf>
    <xf numFmtId="0" fontId="4" fillId="0" borderId="0" xfId="0" applyFont="1" applyAlignment="1" applyProtection="1">
      <alignment wrapText="1"/>
      <protection hidden="1"/>
    </xf>
    <xf numFmtId="186" fontId="4" fillId="0" borderId="6" xfId="0" applyNumberFormat="1" applyFont="1" applyBorder="1" applyAlignment="1" applyProtection="1">
      <alignment horizontal="right" vertical="center"/>
      <protection hidden="1"/>
    </xf>
    <xf numFmtId="0" fontId="4" fillId="0" borderId="5" xfId="0" applyFont="1" applyBorder="1" applyAlignment="1" applyProtection="1">
      <alignment vertical="center"/>
      <protection hidden="1"/>
    </xf>
    <xf numFmtId="0" fontId="4" fillId="0" borderId="5" xfId="0" applyFont="1" applyBorder="1" applyAlignment="1" applyProtection="1">
      <alignment horizontal="left" vertical="center"/>
      <protection hidden="1"/>
    </xf>
    <xf numFmtId="0" fontId="5" fillId="0" borderId="5" xfId="0" applyNumberFormat="1" applyFont="1" applyBorder="1" applyAlignment="1" applyProtection="1">
      <alignment vertical="center"/>
      <protection hidden="1"/>
    </xf>
    <xf numFmtId="0" fontId="16" fillId="0" borderId="5" xfId="0" applyNumberFormat="1" applyFont="1" applyBorder="1" applyAlignment="1" applyProtection="1">
      <alignment vertical="center"/>
      <protection hidden="1"/>
    </xf>
    <xf numFmtId="0" fontId="15" fillId="0" borderId="5" xfId="0" applyFont="1" applyBorder="1" applyAlignment="1" applyProtection="1">
      <alignment vertical="center"/>
      <protection hidden="1"/>
    </xf>
    <xf numFmtId="2" fontId="4" fillId="0" borderId="0" xfId="0" applyNumberFormat="1" applyFont="1" applyAlignment="1" applyProtection="1">
      <alignment horizontal="left"/>
      <protection hidden="1"/>
    </xf>
    <xf numFmtId="0" fontId="14" fillId="0" borderId="0" xfId="32" applyFont="1" applyBorder="1" applyAlignment="1" applyProtection="1">
      <alignment horizontal="left"/>
      <protection hidden="1"/>
    </xf>
    <xf numFmtId="37" fontId="5" fillId="0" borderId="0" xfId="0" applyNumberFormat="1" applyFont="1" applyBorder="1" applyAlignment="1" applyProtection="1">
      <alignment horizontal="center"/>
      <protection hidden="1"/>
    </xf>
    <xf numFmtId="0" fontId="5" fillId="0" borderId="0" xfId="32" applyFont="1" applyBorder="1" applyAlignment="1" applyProtection="1">
      <alignment horizontal="left"/>
      <protection hidden="1"/>
    </xf>
    <xf numFmtId="37" fontId="5" fillId="3" borderId="16" xfId="0" applyNumberFormat="1" applyFont="1" applyFill="1" applyBorder="1" applyAlignment="1" applyProtection="1">
      <alignment vertical="center"/>
      <protection hidden="1"/>
    </xf>
    <xf numFmtId="37" fontId="5" fillId="3" borderId="3" xfId="0" applyNumberFormat="1" applyFont="1" applyFill="1" applyBorder="1" applyAlignment="1" applyProtection="1">
      <alignment horizontal="left" vertical="center"/>
      <protection hidden="1"/>
    </xf>
    <xf numFmtId="37" fontId="5" fillId="3" borderId="7" xfId="0" applyNumberFormat="1" applyFont="1" applyFill="1" applyBorder="1" applyAlignment="1" applyProtection="1">
      <alignment horizontal="right" vertical="center"/>
      <protection hidden="1"/>
    </xf>
    <xf numFmtId="37" fontId="5" fillId="0" borderId="0" xfId="0" applyNumberFormat="1" applyFont="1" applyBorder="1" applyAlignment="1" applyProtection="1">
      <alignment vertical="center"/>
      <protection hidden="1"/>
    </xf>
    <xf numFmtId="0" fontId="4" fillId="0" borderId="0" xfId="0" applyNumberFormat="1" applyFont="1" applyAlignment="1" applyProtection="1">
      <alignment horizontal="right"/>
      <protection hidden="1"/>
    </xf>
    <xf numFmtId="0" fontId="4" fillId="0" borderId="0" xfId="0" applyNumberFormat="1" applyFont="1" applyAlignment="1" applyProtection="1">
      <alignment/>
      <protection hidden="1"/>
    </xf>
    <xf numFmtId="37" fontId="5" fillId="3" borderId="21" xfId="0" applyNumberFormat="1" applyFont="1" applyFill="1" applyBorder="1" applyAlignment="1" applyProtection="1">
      <alignment horizontal="right" vertical="center"/>
      <protection hidden="1"/>
    </xf>
    <xf numFmtId="37" fontId="5" fillId="3" borderId="14" xfId="0" applyNumberFormat="1" applyFont="1" applyFill="1" applyBorder="1" applyAlignment="1" applyProtection="1">
      <alignment horizontal="right" vertical="center"/>
      <protection hidden="1"/>
    </xf>
    <xf numFmtId="0" fontId="4" fillId="0" borderId="0" xfId="0" applyFont="1" applyBorder="1" applyAlignment="1" applyProtection="1">
      <alignment/>
      <protection hidden="1"/>
    </xf>
    <xf numFmtId="0" fontId="4" fillId="0" borderId="13" xfId="0" applyFont="1" applyBorder="1" applyAlignment="1" applyProtection="1">
      <alignment/>
      <protection hidden="1"/>
    </xf>
    <xf numFmtId="178" fontId="4" fillId="0" borderId="32" xfId="34" applyFont="1" applyFill="1" applyBorder="1" applyProtection="1">
      <alignment/>
      <protection hidden="1"/>
    </xf>
    <xf numFmtId="37" fontId="5" fillId="3" borderId="7" xfId="0" applyNumberFormat="1" applyFont="1" applyFill="1" applyBorder="1" applyAlignment="1" applyProtection="1">
      <alignment horizontal="center" vertical="center" wrapText="1"/>
      <protection hidden="1"/>
    </xf>
    <xf numFmtId="0" fontId="5" fillId="3" borderId="3" xfId="0" applyFont="1" applyFill="1" applyBorder="1" applyAlignment="1" applyProtection="1">
      <alignment horizontal="right" vertical="center"/>
      <protection hidden="1"/>
    </xf>
    <xf numFmtId="0" fontId="5" fillId="3" borderId="14" xfId="0" applyFont="1" applyFill="1" applyBorder="1" applyAlignment="1" applyProtection="1">
      <alignment horizontal="right" vertical="center"/>
      <protection hidden="1"/>
    </xf>
    <xf numFmtId="0" fontId="5" fillId="0" borderId="0" xfId="0" applyNumberFormat="1" applyFont="1" applyAlignment="1" applyProtection="1">
      <alignment/>
      <protection hidden="1"/>
    </xf>
    <xf numFmtId="37" fontId="4" fillId="0" borderId="17" xfId="0" applyNumberFormat="1" applyFont="1" applyFill="1" applyBorder="1" applyAlignment="1" applyProtection="1">
      <alignment/>
      <protection hidden="1"/>
    </xf>
    <xf numFmtId="0" fontId="4" fillId="0" borderId="17" xfId="0" applyFont="1" applyFill="1" applyBorder="1" applyAlignment="1" applyProtection="1">
      <alignment/>
      <protection hidden="1"/>
    </xf>
    <xf numFmtId="37" fontId="5" fillId="0" borderId="0" xfId="0" applyNumberFormat="1" applyFont="1" applyAlignment="1" applyProtection="1">
      <alignment/>
      <protection hidden="1"/>
    </xf>
    <xf numFmtId="37" fontId="4" fillId="0" borderId="0" xfId="0" applyNumberFormat="1" applyFont="1" applyAlignment="1" applyProtection="1">
      <alignment horizontal="left"/>
      <protection hidden="1"/>
    </xf>
    <xf numFmtId="0" fontId="5" fillId="3" borderId="3" xfId="0" applyFont="1" applyFill="1" applyBorder="1" applyAlignment="1" applyProtection="1">
      <alignment vertical="center"/>
      <protection hidden="1"/>
    </xf>
    <xf numFmtId="0" fontId="5" fillId="3" borderId="16" xfId="0" applyFont="1" applyFill="1" applyBorder="1" applyAlignment="1" applyProtection="1">
      <alignment horizontal="left" vertical="center"/>
      <protection hidden="1"/>
    </xf>
    <xf numFmtId="37" fontId="5" fillId="3" borderId="2" xfId="0" applyNumberFormat="1" applyFont="1" applyFill="1" applyBorder="1" applyAlignment="1" applyProtection="1">
      <alignment horizontal="right" vertical="center"/>
      <protection hidden="1"/>
    </xf>
    <xf numFmtId="0" fontId="5" fillId="3" borderId="21" xfId="0" applyFont="1" applyFill="1" applyBorder="1" applyAlignment="1" applyProtection="1">
      <alignment horizontal="right" vertical="center"/>
      <protection hidden="1"/>
    </xf>
    <xf numFmtId="0" fontId="5" fillId="0" borderId="0" xfId="0" applyFont="1" applyAlignment="1" applyProtection="1">
      <alignment vertical="center"/>
      <protection hidden="1"/>
    </xf>
    <xf numFmtId="0" fontId="4" fillId="0" borderId="34" xfId="0" applyFont="1" applyBorder="1" applyAlignment="1" applyProtection="1">
      <alignment vertical="center"/>
      <protection hidden="1"/>
    </xf>
    <xf numFmtId="0" fontId="3" fillId="0" borderId="5" xfId="0" applyNumberFormat="1" applyFont="1" applyBorder="1" applyAlignment="1" applyProtection="1">
      <alignment vertical="center"/>
      <protection hidden="1"/>
    </xf>
    <xf numFmtId="0" fontId="4" fillId="0" borderId="0" xfId="0" applyFont="1" applyBorder="1" applyAlignment="1" applyProtection="1">
      <alignment horizontal="left"/>
      <protection hidden="1"/>
    </xf>
    <xf numFmtId="37" fontId="4" fillId="0" borderId="0" xfId="0" applyNumberFormat="1" applyFont="1" applyAlignment="1" applyProtection="1">
      <alignment/>
      <protection hidden="1"/>
    </xf>
    <xf numFmtId="178" fontId="5" fillId="0" borderId="17" xfId="34" applyFont="1" applyFill="1" applyBorder="1" applyAlignment="1" applyProtection="1">
      <alignment horizontal="right"/>
      <protection hidden="1"/>
    </xf>
    <xf numFmtId="37" fontId="4" fillId="0" borderId="0" xfId="0" applyNumberFormat="1" applyFont="1" applyBorder="1" applyAlignment="1" applyProtection="1">
      <alignment/>
      <protection hidden="1"/>
    </xf>
    <xf numFmtId="0" fontId="0" fillId="0" borderId="0" xfId="0" applyAlignment="1" applyProtection="1">
      <alignment/>
      <protection hidden="1"/>
    </xf>
    <xf numFmtId="0" fontId="5" fillId="0" borderId="6" xfId="0" applyNumberFormat="1" applyFont="1" applyBorder="1" applyAlignment="1" applyProtection="1">
      <alignment vertical="center"/>
      <protection hidden="1"/>
    </xf>
    <xf numFmtId="178" fontId="4" fillId="0" borderId="0" xfId="0" applyNumberFormat="1" applyFont="1" applyBorder="1" applyAlignment="1" applyProtection="1">
      <alignment/>
      <protection hidden="1"/>
    </xf>
    <xf numFmtId="0" fontId="4" fillId="0" borderId="0" xfId="0" applyFont="1" applyFill="1" applyBorder="1" applyAlignment="1" applyProtection="1">
      <alignment/>
      <protection hidden="1"/>
    </xf>
    <xf numFmtId="0" fontId="5" fillId="0" borderId="0" xfId="0" applyFont="1" applyFill="1" applyBorder="1" applyAlignment="1" applyProtection="1">
      <alignment vertical="center"/>
      <protection hidden="1"/>
    </xf>
    <xf numFmtId="0" fontId="5" fillId="0" borderId="0" xfId="0" applyNumberFormat="1" applyFont="1" applyBorder="1" applyAlignment="1" applyProtection="1">
      <alignment/>
      <protection hidden="1"/>
    </xf>
    <xf numFmtId="37" fontId="5" fillId="0" borderId="34" xfId="0" applyNumberFormat="1" applyFont="1" applyBorder="1" applyAlignment="1" applyProtection="1">
      <alignment vertical="center"/>
      <protection hidden="1"/>
    </xf>
    <xf numFmtId="37" fontId="5" fillId="3" borderId="16" xfId="0" applyNumberFormat="1" applyFont="1" applyFill="1" applyBorder="1" applyAlignment="1" applyProtection="1">
      <alignment horizontal="center" vertical="center"/>
      <protection hidden="1"/>
    </xf>
    <xf numFmtId="37" fontId="5" fillId="0" borderId="0" xfId="0" applyNumberFormat="1" applyFont="1" applyBorder="1" applyAlignment="1" applyProtection="1">
      <alignment/>
      <protection hidden="1"/>
    </xf>
    <xf numFmtId="37" fontId="5" fillId="0" borderId="0" xfId="0" applyNumberFormat="1" applyFont="1" applyBorder="1" applyAlignment="1" applyProtection="1">
      <alignment horizontal="center" vertical="top"/>
      <protection hidden="1"/>
    </xf>
    <xf numFmtId="2" fontId="4" fillId="0" borderId="0" xfId="0" applyNumberFormat="1" applyFont="1" applyAlignment="1" applyProtection="1">
      <alignment/>
      <protection hidden="1"/>
    </xf>
    <xf numFmtId="37" fontId="4" fillId="0" borderId="12" xfId="0" applyNumberFormat="1" applyFont="1" applyFill="1" applyBorder="1" applyAlignment="1" applyProtection="1">
      <alignment/>
      <protection hidden="1"/>
    </xf>
    <xf numFmtId="0" fontId="5" fillId="3" borderId="51" xfId="0" applyFont="1" applyFill="1" applyBorder="1" applyAlignment="1" applyProtection="1">
      <alignment horizontal="right" vertical="center"/>
      <protection hidden="1"/>
    </xf>
    <xf numFmtId="37" fontId="5" fillId="3" borderId="5" xfId="0" applyNumberFormat="1" applyFont="1" applyFill="1" applyBorder="1" applyAlignment="1" applyProtection="1">
      <alignment horizontal="center" vertical="center"/>
      <protection hidden="1"/>
    </xf>
    <xf numFmtId="175" fontId="4" fillId="0" borderId="23" xfId="34" applyNumberFormat="1" applyFont="1" applyFill="1" applyBorder="1" applyAlignment="1" applyProtection="1">
      <alignment horizontal="center"/>
      <protection hidden="1"/>
    </xf>
    <xf numFmtId="0" fontId="4" fillId="0" borderId="32" xfId="0" applyFont="1" applyFill="1" applyBorder="1" applyAlignment="1" applyProtection="1">
      <alignment wrapText="1"/>
      <protection hidden="1"/>
    </xf>
    <xf numFmtId="0" fontId="4" fillId="0" borderId="32" xfId="0" applyFont="1" applyBorder="1" applyAlignment="1" applyProtection="1">
      <alignment/>
      <protection hidden="1"/>
    </xf>
    <xf numFmtId="0" fontId="4" fillId="0" borderId="12" xfId="0" applyFont="1" applyBorder="1" applyAlignment="1" applyProtection="1">
      <alignment/>
      <protection hidden="1"/>
    </xf>
    <xf numFmtId="0" fontId="5" fillId="0" borderId="0" xfId="0" applyNumberFormat="1" applyFont="1" applyBorder="1" applyAlignment="1" applyProtection="1">
      <alignment horizontal="left" vertical="center"/>
      <protection hidden="1"/>
    </xf>
    <xf numFmtId="37" fontId="5" fillId="3" borderId="21" xfId="0" applyNumberFormat="1" applyFont="1" applyFill="1" applyBorder="1" applyAlignment="1" applyProtection="1">
      <alignment horizontal="center" vertical="center"/>
      <protection hidden="1"/>
    </xf>
    <xf numFmtId="37" fontId="5" fillId="3" borderId="14" xfId="0" applyNumberFormat="1" applyFont="1" applyFill="1" applyBorder="1" applyAlignment="1" applyProtection="1">
      <alignment horizontal="center" vertical="center"/>
      <protection hidden="1"/>
    </xf>
    <xf numFmtId="0" fontId="5" fillId="0" borderId="0" xfId="0" applyFont="1" applyBorder="1" applyAlignment="1" applyProtection="1">
      <alignment horizontal="left" vertical="top" wrapText="1"/>
      <protection hidden="1"/>
    </xf>
    <xf numFmtId="0" fontId="1" fillId="0" borderId="0" xfId="0" applyNumberFormat="1" applyFont="1" applyAlignment="1" applyProtection="1">
      <alignment/>
      <protection hidden="1"/>
    </xf>
    <xf numFmtId="3" fontId="4" fillId="0" borderId="0" xfId="0" applyNumberFormat="1" applyFont="1" applyAlignment="1" applyProtection="1">
      <alignment/>
      <protection hidden="1"/>
    </xf>
    <xf numFmtId="3" fontId="3" fillId="3" borderId="50" xfId="0" applyNumberFormat="1" applyFont="1" applyFill="1" applyBorder="1" applyAlignment="1" applyProtection="1">
      <alignment horizontal="left" vertical="center"/>
      <protection hidden="1"/>
    </xf>
    <xf numFmtId="3" fontId="3" fillId="3" borderId="50" xfId="0" applyNumberFormat="1" applyFont="1" applyFill="1" applyBorder="1" applyAlignment="1" applyProtection="1">
      <alignment horizontal="right" vertical="center"/>
      <protection hidden="1"/>
    </xf>
    <xf numFmtId="3" fontId="3" fillId="3" borderId="51" xfId="0" applyNumberFormat="1" applyFont="1" applyFill="1" applyBorder="1" applyAlignment="1" applyProtection="1">
      <alignment horizontal="center" vertical="center"/>
      <protection hidden="1"/>
    </xf>
    <xf numFmtId="3" fontId="3" fillId="3" borderId="51" xfId="0" applyNumberFormat="1" applyFont="1" applyFill="1" applyBorder="1" applyAlignment="1" applyProtection="1">
      <alignment horizontal="right" vertical="center"/>
      <protection hidden="1"/>
    </xf>
    <xf numFmtId="3" fontId="5" fillId="0" borderId="0" xfId="0" applyNumberFormat="1" applyFont="1" applyAlignment="1" applyProtection="1">
      <alignment/>
      <protection hidden="1"/>
    </xf>
    <xf numFmtId="0" fontId="5" fillId="3" borderId="5" xfId="0" applyFont="1" applyFill="1" applyBorder="1" applyAlignment="1" applyProtection="1">
      <alignment horizontal="left" vertical="center"/>
      <protection hidden="1"/>
    </xf>
    <xf numFmtId="0" fontId="4" fillId="3" borderId="5" xfId="0" applyFont="1" applyFill="1" applyBorder="1" applyAlignment="1" applyProtection="1">
      <alignment horizontal="left"/>
      <protection hidden="1"/>
    </xf>
    <xf numFmtId="178" fontId="4" fillId="3" borderId="5" xfId="0" applyNumberFormat="1" applyFont="1" applyFill="1" applyBorder="1" applyAlignment="1" applyProtection="1">
      <alignment/>
      <protection hidden="1"/>
    </xf>
    <xf numFmtId="3" fontId="4" fillId="3" borderId="5" xfId="0" applyNumberFormat="1" applyFont="1" applyFill="1" applyBorder="1" applyAlignment="1" applyProtection="1">
      <alignment horizontal="center"/>
      <protection hidden="1"/>
    </xf>
    <xf numFmtId="3" fontId="4" fillId="3" borderId="7" xfId="0" applyNumberFormat="1" applyFont="1" applyFill="1" applyBorder="1" applyAlignment="1" applyProtection="1">
      <alignment horizontal="center"/>
      <protection hidden="1"/>
    </xf>
    <xf numFmtId="3" fontId="4" fillId="0" borderId="0" xfId="0" applyNumberFormat="1" applyFont="1" applyBorder="1" applyAlignment="1" applyProtection="1">
      <alignment horizontal="center"/>
      <protection hidden="1"/>
    </xf>
    <xf numFmtId="0" fontId="5" fillId="0" borderId="0" xfId="0" applyFont="1" applyFill="1" applyBorder="1" applyAlignment="1" applyProtection="1">
      <alignment horizontal="right" vertical="center"/>
      <protection hidden="1"/>
    </xf>
    <xf numFmtId="0" fontId="3" fillId="0" borderId="0" xfId="0" applyFont="1" applyBorder="1" applyAlignment="1" applyProtection="1">
      <alignment/>
      <protection hidden="1"/>
    </xf>
    <xf numFmtId="3" fontId="3" fillId="0" borderId="0" xfId="0" applyNumberFormat="1" applyFont="1" applyBorder="1" applyAlignment="1" applyProtection="1">
      <alignment/>
      <protection hidden="1"/>
    </xf>
    <xf numFmtId="0" fontId="2" fillId="0" borderId="0" xfId="0" applyFont="1" applyBorder="1" applyAlignment="1" applyProtection="1">
      <alignment/>
      <protection hidden="1"/>
    </xf>
    <xf numFmtId="0" fontId="2" fillId="0" borderId="0" xfId="0" applyFont="1" applyBorder="1" applyAlignment="1" applyProtection="1">
      <alignment horizontal="center"/>
      <protection hidden="1"/>
    </xf>
    <xf numFmtId="0" fontId="2" fillId="0" borderId="0" xfId="0" applyFont="1" applyBorder="1" applyAlignment="1" applyProtection="1">
      <alignment/>
      <protection hidden="1"/>
    </xf>
    <xf numFmtId="0" fontId="0" fillId="0" borderId="0" xfId="0" applyBorder="1" applyAlignment="1" applyProtection="1">
      <alignment/>
      <protection locked="0"/>
    </xf>
    <xf numFmtId="0" fontId="1" fillId="0" borderId="0" xfId="0" applyNumberFormat="1" applyFont="1" applyBorder="1" applyAlignment="1" applyProtection="1">
      <alignment/>
      <protection locked="0"/>
    </xf>
    <xf numFmtId="0" fontId="0" fillId="0" borderId="0" xfId="0" applyBorder="1" applyAlignment="1" applyProtection="1">
      <alignment/>
      <protection locked="0"/>
    </xf>
    <xf numFmtId="0" fontId="1" fillId="0" borderId="0" xfId="0" applyNumberFormat="1"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left"/>
      <protection locked="0"/>
    </xf>
    <xf numFmtId="0" fontId="0" fillId="0" borderId="0" xfId="0" applyAlignment="1" applyProtection="1">
      <alignment/>
      <protection locked="0"/>
    </xf>
    <xf numFmtId="3" fontId="4" fillId="0" borderId="17" xfId="34" applyNumberFormat="1" applyFont="1" applyFill="1" applyBorder="1" applyProtection="1">
      <alignment/>
      <protection locked="0"/>
    </xf>
    <xf numFmtId="0" fontId="3" fillId="0" borderId="5" xfId="0" applyFont="1" applyBorder="1" applyAlignment="1" applyProtection="1">
      <alignment vertical="center"/>
      <protection hidden="1"/>
    </xf>
    <xf numFmtId="0" fontId="3" fillId="0" borderId="5" xfId="0" applyFont="1" applyBorder="1" applyAlignment="1" applyProtection="1">
      <alignment/>
      <protection hidden="1"/>
    </xf>
    <xf numFmtId="0" fontId="3" fillId="0" borderId="0" xfId="0" applyFont="1" applyBorder="1" applyAlignment="1" applyProtection="1">
      <alignment/>
      <protection hidden="1"/>
    </xf>
    <xf numFmtId="0" fontId="3" fillId="0" borderId="0" xfId="0" applyFont="1" applyAlignment="1" applyProtection="1">
      <alignment/>
      <protection hidden="1"/>
    </xf>
    <xf numFmtId="0" fontId="3" fillId="0" borderId="0" xfId="0" applyFont="1" applyAlignment="1" applyProtection="1">
      <alignment/>
      <protection hidden="1"/>
    </xf>
    <xf numFmtId="0" fontId="17" fillId="0" borderId="0" xfId="0" applyFont="1" applyAlignment="1" applyProtection="1">
      <alignment/>
      <protection hidden="1"/>
    </xf>
    <xf numFmtId="0" fontId="17" fillId="0" borderId="0" xfId="0" applyFont="1" applyAlignment="1" applyProtection="1">
      <alignment/>
      <protection hidden="1"/>
    </xf>
    <xf numFmtId="0" fontId="18" fillId="0" borderId="5" xfId="0" applyFont="1" applyBorder="1" applyAlignment="1" applyProtection="1">
      <alignment/>
      <protection hidden="1"/>
    </xf>
    <xf numFmtId="0" fontId="18" fillId="0" borderId="5" xfId="0" applyFont="1" applyBorder="1" applyAlignment="1" applyProtection="1">
      <alignment horizontal="left"/>
      <protection hidden="1"/>
    </xf>
    <xf numFmtId="0" fontId="0" fillId="0" borderId="5" xfId="0" applyBorder="1" applyAlignment="1" applyProtection="1">
      <alignment vertical="center"/>
      <protection hidden="1"/>
    </xf>
    <xf numFmtId="37" fontId="0" fillId="0" borderId="5" xfId="0" applyNumberFormat="1" applyBorder="1" applyAlignment="1" applyProtection="1">
      <alignment/>
      <protection hidden="1"/>
    </xf>
    <xf numFmtId="0" fontId="0" fillId="0" borderId="5" xfId="0" applyBorder="1" applyAlignment="1" applyProtection="1">
      <alignment/>
      <protection hidden="1"/>
    </xf>
    <xf numFmtId="0" fontId="0" fillId="0" borderId="5" xfId="0" applyBorder="1" applyAlignment="1" applyProtection="1">
      <alignment/>
      <protection hidden="1"/>
    </xf>
    <xf numFmtId="0" fontId="11" fillId="0" borderId="5" xfId="0" applyFont="1" applyBorder="1" applyAlignment="1" applyProtection="1">
      <alignment/>
      <protection hidden="1"/>
    </xf>
    <xf numFmtId="0" fontId="0" fillId="0" borderId="6" xfId="0" applyBorder="1" applyAlignment="1" applyProtection="1">
      <alignment/>
      <protection hidden="1"/>
    </xf>
    <xf numFmtId="0" fontId="0" fillId="0" borderId="0" xfId="0" applyBorder="1" applyAlignment="1" applyProtection="1">
      <alignment/>
      <protection hidden="1"/>
    </xf>
    <xf numFmtId="0" fontId="5" fillId="0" borderId="62" xfId="0" applyFont="1" applyBorder="1" applyAlignment="1" applyProtection="1">
      <alignment/>
      <protection hidden="1"/>
    </xf>
    <xf numFmtId="0" fontId="4" fillId="0" borderId="35" xfId="0" applyFont="1" applyBorder="1" applyAlignment="1" applyProtection="1">
      <alignment/>
      <protection hidden="1"/>
    </xf>
    <xf numFmtId="0" fontId="5" fillId="0" borderId="16" xfId="0" applyFont="1" applyBorder="1" applyAlignment="1" applyProtection="1">
      <alignment/>
      <protection hidden="1"/>
    </xf>
    <xf numFmtId="0" fontId="4" fillId="0" borderId="0" xfId="0" applyFont="1" applyBorder="1" applyAlignment="1" applyProtection="1">
      <alignment horizontal="right"/>
      <protection hidden="1"/>
    </xf>
    <xf numFmtId="0" fontId="5" fillId="0" borderId="0" xfId="0" applyFont="1" applyBorder="1" applyAlignment="1" applyProtection="1">
      <alignment horizontal="center" wrapText="1"/>
      <protection hidden="1"/>
    </xf>
    <xf numFmtId="0" fontId="5" fillId="0" borderId="16" xfId="0" applyFont="1" applyBorder="1" applyAlignment="1" applyProtection="1">
      <alignment vertical="center"/>
      <protection hidden="1"/>
    </xf>
    <xf numFmtId="37" fontId="4" fillId="0" borderId="16" xfId="0" applyNumberFormat="1" applyFont="1" applyFill="1" applyBorder="1" applyAlignment="1" applyProtection="1">
      <alignment vertical="center"/>
      <protection hidden="1"/>
    </xf>
    <xf numFmtId="37" fontId="4" fillId="0" borderId="7" xfId="0" applyNumberFormat="1" applyFont="1" applyFill="1" applyBorder="1" applyAlignment="1" applyProtection="1">
      <alignment vertical="center"/>
      <protection hidden="1"/>
    </xf>
    <xf numFmtId="0" fontId="5" fillId="0" borderId="50" xfId="0" applyFont="1" applyBorder="1" applyAlignment="1" applyProtection="1">
      <alignment vertical="center"/>
      <protection hidden="1"/>
    </xf>
    <xf numFmtId="0" fontId="5" fillId="0" borderId="33" xfId="0" applyFont="1" applyBorder="1" applyAlignment="1" applyProtection="1">
      <alignment vertical="center"/>
      <protection hidden="1"/>
    </xf>
    <xf numFmtId="0" fontId="4" fillId="0" borderId="33" xfId="0" applyFont="1" applyBorder="1" applyAlignment="1" applyProtection="1">
      <alignment vertical="center"/>
      <protection hidden="1"/>
    </xf>
    <xf numFmtId="0" fontId="4" fillId="0" borderId="30" xfId="0" applyFont="1" applyBorder="1" applyAlignment="1" applyProtection="1">
      <alignment vertical="center"/>
      <protection hidden="1"/>
    </xf>
    <xf numFmtId="0" fontId="4" fillId="0" borderId="18" xfId="0" applyFont="1" applyBorder="1" applyAlignment="1" applyProtection="1">
      <alignment vertical="center"/>
      <protection hidden="1"/>
    </xf>
    <xf numFmtId="0" fontId="4" fillId="0" borderId="29"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5" fillId="0" borderId="62" xfId="0" applyFont="1" applyBorder="1" applyAlignment="1" applyProtection="1">
      <alignment vertical="center"/>
      <protection hidden="1"/>
    </xf>
    <xf numFmtId="0" fontId="4" fillId="0" borderId="48" xfId="0" applyFont="1" applyBorder="1" applyAlignment="1" applyProtection="1">
      <alignment vertical="center"/>
      <protection hidden="1"/>
    </xf>
    <xf numFmtId="0" fontId="4" fillId="0" borderId="63" xfId="0" applyFont="1" applyBorder="1" applyAlignment="1" applyProtection="1">
      <alignment vertical="center"/>
      <protection hidden="1"/>
    </xf>
    <xf numFmtId="37" fontId="4" fillId="0" borderId="64" xfId="0" applyNumberFormat="1" applyFont="1" applyFill="1" applyBorder="1" applyAlignment="1" applyProtection="1">
      <alignment vertical="center"/>
      <protection hidden="1"/>
    </xf>
    <xf numFmtId="37" fontId="4" fillId="0" borderId="0" xfId="0" applyNumberFormat="1" applyFont="1" applyFill="1" applyBorder="1" applyAlignment="1" applyProtection="1">
      <alignment vertical="center"/>
      <protection hidden="1"/>
    </xf>
    <xf numFmtId="37" fontId="4" fillId="0" borderId="34" xfId="0" applyNumberFormat="1" applyFont="1" applyFill="1" applyBorder="1" applyAlignment="1" applyProtection="1">
      <alignment vertical="center"/>
      <protection hidden="1"/>
    </xf>
    <xf numFmtId="37" fontId="4" fillId="0" borderId="34" xfId="0" applyNumberFormat="1" applyFont="1" applyFill="1" applyBorder="1" applyAlignment="1" applyProtection="1">
      <alignment horizontal="right" vertical="center"/>
      <protection hidden="1"/>
    </xf>
    <xf numFmtId="37" fontId="4" fillId="0" borderId="19" xfId="0" applyNumberFormat="1" applyFont="1" applyFill="1" applyBorder="1" applyAlignment="1" applyProtection="1">
      <alignment vertical="center"/>
      <protection hidden="1"/>
    </xf>
    <xf numFmtId="37" fontId="4" fillId="0" borderId="65" xfId="0" applyNumberFormat="1"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49" fontId="4" fillId="0" borderId="0" xfId="0" applyNumberFormat="1" applyFont="1" applyAlignment="1" applyProtection="1">
      <alignment horizontal="right"/>
      <protection/>
    </xf>
    <xf numFmtId="49" fontId="5" fillId="0" borderId="0" xfId="0" applyNumberFormat="1" applyFont="1" applyAlignment="1" applyProtection="1">
      <alignment horizontal="right"/>
      <protection/>
    </xf>
    <xf numFmtId="49" fontId="4" fillId="0" borderId="0" xfId="0" applyNumberFormat="1" applyFont="1" applyAlignment="1" applyProtection="1">
      <alignment horizontal="right"/>
      <protection locked="0"/>
    </xf>
    <xf numFmtId="49" fontId="4" fillId="0" borderId="0" xfId="0" applyNumberFormat="1" applyFont="1" applyAlignment="1" applyProtection="1">
      <alignment horizontal="justify"/>
      <protection locked="0"/>
    </xf>
    <xf numFmtId="49" fontId="0" fillId="0" borderId="0" xfId="0" applyNumberFormat="1" applyFont="1" applyAlignment="1" applyProtection="1">
      <alignment horizontal="justify"/>
      <protection locked="0"/>
    </xf>
    <xf numFmtId="49" fontId="4" fillId="0" borderId="0" xfId="0" applyNumberFormat="1" applyFont="1" applyAlignment="1" applyProtection="1">
      <alignment/>
      <protection locked="0"/>
    </xf>
    <xf numFmtId="49" fontId="4" fillId="0" borderId="0" xfId="0" applyNumberFormat="1" applyFont="1" applyAlignment="1" applyProtection="1">
      <alignment horizontal="justify" wrapText="1"/>
      <protection locked="0"/>
    </xf>
    <xf numFmtId="49" fontId="4" fillId="0" borderId="0" xfId="0" applyNumberFormat="1" applyFont="1" applyAlignment="1" applyProtection="1">
      <alignment wrapText="1"/>
      <protection locked="0"/>
    </xf>
    <xf numFmtId="0" fontId="11" fillId="0" borderId="59" xfId="0" applyFont="1" applyBorder="1" applyAlignment="1" applyProtection="1">
      <alignment vertical="top" wrapText="1"/>
      <protection hidden="1" locked="0"/>
    </xf>
    <xf numFmtId="0" fontId="5" fillId="3" borderId="23" xfId="0" applyNumberFormat="1" applyFont="1" applyFill="1" applyBorder="1" applyAlignment="1" applyProtection="1">
      <alignment horizontal="left"/>
      <protection hidden="1"/>
    </xf>
    <xf numFmtId="178" fontId="4" fillId="0" borderId="24" xfId="34" applyFont="1" applyFill="1" applyBorder="1" applyProtection="1">
      <alignment/>
      <protection locked="0"/>
    </xf>
    <xf numFmtId="178" fontId="5" fillId="3" borderId="23" xfId="37" applyFont="1" applyFill="1" applyBorder="1" applyProtection="1">
      <alignment/>
      <protection/>
    </xf>
    <xf numFmtId="0" fontId="5" fillId="3" borderId="23" xfId="0" applyNumberFormat="1" applyFont="1" applyFill="1" applyBorder="1" applyAlignment="1" applyProtection="1">
      <alignment horizontal="left"/>
      <protection/>
    </xf>
    <xf numFmtId="0" fontId="5" fillId="3" borderId="23" xfId="0" applyFont="1" applyFill="1" applyBorder="1" applyAlignment="1" applyProtection="1">
      <alignment horizontal="left"/>
      <protection hidden="1"/>
    </xf>
    <xf numFmtId="0" fontId="5" fillId="3" borderId="25" xfId="0" applyFont="1" applyFill="1" applyBorder="1" applyAlignment="1" applyProtection="1">
      <alignment/>
      <protection hidden="1"/>
    </xf>
    <xf numFmtId="0" fontId="4" fillId="0" borderId="32" xfId="0" applyFont="1" applyFill="1" applyBorder="1" applyAlignment="1" applyProtection="1">
      <alignment/>
      <protection hidden="1"/>
    </xf>
    <xf numFmtId="178" fontId="4" fillId="0" borderId="12" xfId="34" applyFont="1" applyFill="1" applyBorder="1" applyProtection="1">
      <alignment/>
      <protection locked="0"/>
    </xf>
    <xf numFmtId="0" fontId="4" fillId="3" borderId="13" xfId="0" applyFont="1" applyFill="1" applyBorder="1" applyAlignment="1" applyProtection="1">
      <alignment/>
      <protection hidden="1"/>
    </xf>
    <xf numFmtId="178" fontId="5" fillId="3" borderId="23" xfId="37" applyFont="1" applyBorder="1" applyProtection="1">
      <alignment/>
      <protection/>
    </xf>
    <xf numFmtId="0" fontId="5" fillId="3" borderId="13" xfId="0" applyFont="1" applyFill="1" applyBorder="1" applyAlignment="1" applyProtection="1">
      <alignment/>
      <protection hidden="1"/>
    </xf>
    <xf numFmtId="183" fontId="4" fillId="0" borderId="24" xfId="36" applyFont="1" applyFill="1" applyBorder="1" applyProtection="1">
      <alignment/>
      <protection locked="0"/>
    </xf>
    <xf numFmtId="183" fontId="5" fillId="3" borderId="23" xfId="38" applyFont="1" applyBorder="1" applyProtection="1">
      <alignment/>
      <protection/>
    </xf>
    <xf numFmtId="0" fontId="5" fillId="3" borderId="61" xfId="0" applyNumberFormat="1" applyFont="1" applyFill="1" applyBorder="1" applyAlignment="1" applyProtection="1">
      <alignment horizontal="left"/>
      <protection hidden="1"/>
    </xf>
    <xf numFmtId="37" fontId="5" fillId="3" borderId="23" xfId="0" applyNumberFormat="1" applyFont="1" applyFill="1" applyBorder="1" applyAlignment="1" applyProtection="1">
      <alignment/>
      <protection hidden="1"/>
    </xf>
    <xf numFmtId="177" fontId="5" fillId="3" borderId="23" xfId="37" applyNumberFormat="1" applyFont="1" applyBorder="1" applyProtection="1">
      <alignment/>
      <protection/>
    </xf>
    <xf numFmtId="171" fontId="5" fillId="3" borderId="23" xfId="0" applyNumberFormat="1" applyFont="1" applyFill="1" applyBorder="1" applyAlignment="1" applyProtection="1">
      <alignment/>
      <protection/>
    </xf>
    <xf numFmtId="182" fontId="4" fillId="0" borderId="17" xfId="0" applyNumberFormat="1" applyFont="1" applyFill="1" applyBorder="1" applyAlignment="1" applyProtection="1">
      <alignment horizontal="left"/>
      <protection locked="0"/>
    </xf>
    <xf numFmtId="182" fontId="4" fillId="0" borderId="12" xfId="0" applyNumberFormat="1" applyFont="1" applyFill="1" applyBorder="1" applyAlignment="1" applyProtection="1">
      <alignment horizontal="left"/>
      <protection locked="0"/>
    </xf>
    <xf numFmtId="49" fontId="4" fillId="0" borderId="24" xfId="0" applyNumberFormat="1" applyFont="1" applyFill="1" applyBorder="1" applyAlignment="1" applyProtection="1">
      <alignment horizontal="left"/>
      <protection locked="0"/>
    </xf>
    <xf numFmtId="3" fontId="4" fillId="0" borderId="12" xfId="34" applyNumberFormat="1" applyFont="1" applyFill="1" applyBorder="1" applyProtection="1">
      <alignment/>
      <protection locked="0"/>
    </xf>
    <xf numFmtId="178" fontId="4" fillId="0" borderId="24" xfId="34" applyFont="1" applyBorder="1" applyProtection="1">
      <alignment/>
      <protection/>
    </xf>
    <xf numFmtId="178" fontId="5" fillId="3" borderId="23" xfId="37" applyFont="1" applyFill="1" applyBorder="1" applyProtection="1">
      <alignment/>
      <protection hidden="1"/>
    </xf>
    <xf numFmtId="178" fontId="5" fillId="3" borderId="23" xfId="34" applyFont="1" applyFill="1" applyBorder="1" applyProtection="1">
      <alignment/>
      <protection/>
    </xf>
    <xf numFmtId="171" fontId="5" fillId="3" borderId="23" xfId="37" applyNumberFormat="1" applyFont="1" applyBorder="1" applyProtection="1">
      <alignment/>
      <protection/>
    </xf>
    <xf numFmtId="0" fontId="4" fillId="0" borderId="12" xfId="0" applyFont="1" applyFill="1" applyBorder="1" applyAlignment="1" applyProtection="1">
      <alignment/>
      <protection hidden="1"/>
    </xf>
    <xf numFmtId="0" fontId="5" fillId="3" borderId="25" xfId="32" applyFont="1" applyFill="1" applyBorder="1" applyProtection="1">
      <alignment/>
      <protection hidden="1"/>
    </xf>
    <xf numFmtId="37" fontId="5" fillId="3" borderId="17" xfId="0" applyNumberFormat="1" applyFont="1" applyFill="1" applyBorder="1" applyAlignment="1" applyProtection="1">
      <alignment/>
      <protection hidden="1"/>
    </xf>
    <xf numFmtId="178" fontId="4" fillId="0" borderId="24" xfId="34" applyFill="1" applyBorder="1" applyProtection="1">
      <alignment/>
      <protection/>
    </xf>
    <xf numFmtId="178" fontId="5" fillId="3" borderId="23" xfId="37" applyBorder="1" applyProtection="1">
      <alignment/>
      <protection/>
    </xf>
    <xf numFmtId="0" fontId="5" fillId="3" borderId="23" xfId="32" applyFont="1" applyFill="1" applyBorder="1" applyProtection="1">
      <alignment/>
      <protection hidden="1"/>
    </xf>
    <xf numFmtId="178" fontId="5" fillId="3" borderId="23" xfId="37" applyFill="1" applyBorder="1" applyProtection="1">
      <alignment/>
      <protection/>
    </xf>
    <xf numFmtId="178" fontId="4" fillId="0" borderId="12" xfId="34" applyFont="1" applyFill="1" applyBorder="1" applyProtection="1">
      <alignment/>
      <protection hidden="1"/>
    </xf>
    <xf numFmtId="37" fontId="5" fillId="0" borderId="0" xfId="0" applyNumberFormat="1" applyFont="1" applyFill="1" applyBorder="1" applyAlignment="1" applyProtection="1">
      <alignment/>
      <protection hidden="1"/>
    </xf>
    <xf numFmtId="0" fontId="4" fillId="0" borderId="25" xfId="0" applyFont="1" applyBorder="1" applyAlignment="1" applyProtection="1">
      <alignment/>
      <protection hidden="1"/>
    </xf>
    <xf numFmtId="0" fontId="4" fillId="0" borderId="17" xfId="0" applyFont="1" applyBorder="1" applyAlignment="1" applyProtection="1">
      <alignment/>
      <protection hidden="1"/>
    </xf>
    <xf numFmtId="179" fontId="4" fillId="0" borderId="23" xfId="34" applyNumberFormat="1" applyFont="1" applyFill="1" applyBorder="1" applyProtection="1">
      <alignment/>
      <protection/>
    </xf>
    <xf numFmtId="37" fontId="5" fillId="3" borderId="13" xfId="0" applyNumberFormat="1" applyFont="1" applyFill="1" applyBorder="1" applyAlignment="1" applyProtection="1">
      <alignment/>
      <protection hidden="1"/>
    </xf>
    <xf numFmtId="178" fontId="5" fillId="3" borderId="23" xfId="37" applyFont="1" applyFill="1" applyBorder="1" applyAlignment="1" applyProtection="1">
      <alignment/>
      <protection/>
    </xf>
    <xf numFmtId="166" fontId="5" fillId="3" borderId="23" xfId="0" applyNumberFormat="1" applyFont="1" applyFill="1" applyBorder="1" applyAlignment="1" applyProtection="1">
      <alignment horizontal="center"/>
      <protection/>
    </xf>
    <xf numFmtId="37" fontId="5" fillId="3" borderId="25" xfId="0" applyNumberFormat="1" applyFont="1" applyFill="1" applyBorder="1" applyAlignment="1" applyProtection="1">
      <alignment/>
      <protection hidden="1"/>
    </xf>
    <xf numFmtId="0" fontId="5" fillId="3" borderId="23" xfId="0" applyNumberFormat="1" applyFont="1" applyFill="1" applyBorder="1" applyAlignment="1" applyProtection="1">
      <alignment horizontal="left" wrapText="1"/>
      <protection hidden="1"/>
    </xf>
    <xf numFmtId="167" fontId="4" fillId="0" borderId="24" xfId="0" applyNumberFormat="1" applyFont="1" applyFill="1" applyBorder="1" applyAlignment="1" applyProtection="1">
      <alignment horizontal="center"/>
      <protection/>
    </xf>
    <xf numFmtId="37" fontId="4" fillId="0" borderId="23" xfId="0" applyNumberFormat="1" applyFont="1" applyFill="1" applyBorder="1" applyAlignment="1" applyProtection="1">
      <alignment/>
      <protection hidden="1"/>
    </xf>
    <xf numFmtId="49" fontId="4" fillId="0" borderId="17" xfId="0" applyNumberFormat="1" applyFont="1" applyFill="1" applyBorder="1" applyAlignment="1" applyProtection="1">
      <alignment horizontal="left"/>
      <protection locked="0"/>
    </xf>
    <xf numFmtId="49" fontId="4" fillId="0" borderId="12" xfId="0" applyNumberFormat="1" applyFont="1" applyFill="1" applyBorder="1" applyAlignment="1" applyProtection="1">
      <alignment horizontal="left"/>
      <protection locked="0"/>
    </xf>
    <xf numFmtId="14" fontId="4" fillId="0" borderId="24" xfId="0" applyNumberFormat="1" applyFont="1" applyFill="1" applyBorder="1" applyAlignment="1" applyProtection="1">
      <alignment horizontal="left"/>
      <protection locked="0"/>
    </xf>
    <xf numFmtId="168" fontId="4" fillId="0" borderId="24" xfId="0" applyNumberFormat="1" applyFont="1" applyFill="1" applyBorder="1" applyAlignment="1" applyProtection="1">
      <alignment/>
      <protection locked="0"/>
    </xf>
    <xf numFmtId="168" fontId="4" fillId="0" borderId="24" xfId="34" applyNumberFormat="1" applyFont="1" applyFill="1" applyBorder="1" applyProtection="1">
      <alignment/>
      <protection locked="0"/>
    </xf>
    <xf numFmtId="171" fontId="5" fillId="3" borderId="23" xfId="37" applyNumberFormat="1" applyBorder="1" applyProtection="1">
      <alignment/>
      <protection/>
    </xf>
    <xf numFmtId="171" fontId="4" fillId="3" borderId="23" xfId="0" applyNumberFormat="1" applyFont="1" applyFill="1" applyBorder="1" applyAlignment="1" applyProtection="1">
      <alignment horizontal="left"/>
      <protection/>
    </xf>
    <xf numFmtId="171" fontId="4" fillId="3" borderId="23" xfId="0" applyNumberFormat="1" applyFont="1" applyFill="1" applyBorder="1" applyAlignment="1" applyProtection="1">
      <alignment/>
      <protection/>
    </xf>
    <xf numFmtId="171" fontId="5" fillId="3" borderId="23" xfId="0" applyNumberFormat="1" applyFont="1" applyFill="1" applyBorder="1" applyAlignment="1" applyProtection="1">
      <alignment horizontal="left"/>
      <protection/>
    </xf>
    <xf numFmtId="0" fontId="3" fillId="3" borderId="23" xfId="0" applyNumberFormat="1" applyFont="1" applyFill="1" applyBorder="1" applyAlignment="1" applyProtection="1">
      <alignment horizontal="left"/>
      <protection hidden="1"/>
    </xf>
    <xf numFmtId="178" fontId="2" fillId="0" borderId="32" xfId="34" applyFont="1" applyFill="1" applyBorder="1" applyAlignment="1" applyProtection="1">
      <alignment horizontal="right"/>
      <protection/>
    </xf>
    <xf numFmtId="178" fontId="2" fillId="0" borderId="12" xfId="34" applyFont="1" applyFill="1" applyBorder="1" applyAlignment="1" applyProtection="1">
      <alignment horizontal="right"/>
      <protection/>
    </xf>
    <xf numFmtId="178" fontId="2" fillId="3" borderId="25" xfId="34" applyFont="1" applyFill="1" applyBorder="1" applyAlignment="1" applyProtection="1">
      <alignment horizontal="right"/>
      <protection/>
    </xf>
    <xf numFmtId="178" fontId="2" fillId="3" borderId="13" xfId="34" applyFont="1" applyFill="1" applyBorder="1" applyAlignment="1" applyProtection="1">
      <alignment horizontal="right"/>
      <protection/>
    </xf>
    <xf numFmtId="178" fontId="2" fillId="3" borderId="17" xfId="34" applyFont="1" applyFill="1" applyBorder="1" applyAlignment="1" applyProtection="1">
      <alignment horizontal="right"/>
      <protection/>
    </xf>
    <xf numFmtId="171" fontId="2" fillId="0" borderId="12" xfId="34" applyNumberFormat="1" applyFont="1" applyFill="1" applyBorder="1" applyAlignment="1" applyProtection="1">
      <alignment horizontal="right"/>
      <protection/>
    </xf>
    <xf numFmtId="0" fontId="4" fillId="0" borderId="17" xfId="0" applyFont="1" applyFill="1" applyBorder="1" applyAlignment="1" applyProtection="1">
      <alignment horizontal="left"/>
      <protection hidden="1"/>
    </xf>
    <xf numFmtId="183" fontId="4" fillId="0" borderId="24" xfId="36" applyNumberFormat="1" applyFont="1" applyFill="1" applyBorder="1" applyProtection="1">
      <alignment/>
      <protection locked="0"/>
    </xf>
    <xf numFmtId="183" fontId="4" fillId="0" borderId="24" xfId="36" applyNumberFormat="1" applyFont="1" applyFill="1" applyBorder="1" applyProtection="1">
      <alignment/>
      <protection/>
    </xf>
    <xf numFmtId="3" fontId="4" fillId="0" borderId="13" xfId="0" applyNumberFormat="1"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3" fontId="4" fillId="0" borderId="32" xfId="0" applyNumberFormat="1" applyFont="1" applyFill="1" applyBorder="1" applyAlignment="1" applyProtection="1">
      <alignment horizontal="left"/>
      <protection hidden="1"/>
    </xf>
    <xf numFmtId="0" fontId="4" fillId="0" borderId="32" xfId="0" applyFont="1" applyFill="1" applyBorder="1" applyAlignment="1" applyProtection="1">
      <alignment/>
      <protection/>
    </xf>
    <xf numFmtId="0" fontId="4" fillId="0" borderId="12" xfId="0" applyFont="1" applyFill="1" applyBorder="1" applyAlignment="1" applyProtection="1">
      <alignment/>
      <protection/>
    </xf>
    <xf numFmtId="0" fontId="5" fillId="3" borderId="13" xfId="0" applyFont="1" applyFill="1" applyBorder="1" applyAlignment="1" applyProtection="1">
      <alignment/>
      <protection/>
    </xf>
    <xf numFmtId="0" fontId="5" fillId="3" borderId="17" xfId="0" applyFont="1" applyFill="1" applyBorder="1" applyAlignment="1" applyProtection="1">
      <alignment/>
      <protection/>
    </xf>
    <xf numFmtId="0" fontId="3" fillId="0" borderId="6" xfId="0" applyNumberFormat="1" applyFont="1" applyBorder="1" applyAlignment="1" applyProtection="1">
      <alignment vertical="center"/>
      <protection hidden="1"/>
    </xf>
    <xf numFmtId="0" fontId="16" fillId="0" borderId="6" xfId="0" applyNumberFormat="1" applyFont="1" applyBorder="1" applyAlignment="1" applyProtection="1">
      <alignment vertical="center"/>
      <protection hidden="1"/>
    </xf>
    <xf numFmtId="0" fontId="4" fillId="0" borderId="6" xfId="0" applyFont="1" applyBorder="1" applyAlignment="1" applyProtection="1">
      <alignment vertical="center"/>
      <protection hidden="1"/>
    </xf>
    <xf numFmtId="0" fontId="4" fillId="0" borderId="6" xfId="0" applyNumberFormat="1" applyFont="1" applyBorder="1" applyAlignment="1" applyProtection="1">
      <alignment vertical="center"/>
      <protection hidden="1"/>
    </xf>
    <xf numFmtId="181" fontId="5" fillId="0" borderId="49" xfId="34" applyNumberFormat="1" applyFont="1" applyFill="1" applyBorder="1" applyProtection="1">
      <alignment/>
      <protection/>
    </xf>
    <xf numFmtId="181" fontId="5" fillId="0" borderId="32" xfId="34" applyNumberFormat="1" applyFont="1" applyFill="1" applyBorder="1" applyProtection="1">
      <alignment/>
      <protection/>
    </xf>
    <xf numFmtId="181" fontId="5" fillId="0" borderId="12" xfId="34" applyNumberFormat="1" applyFont="1" applyFill="1" applyBorder="1" applyProtection="1">
      <alignment/>
      <protection/>
    </xf>
    <xf numFmtId="37" fontId="5" fillId="3" borderId="24" xfId="0" applyNumberFormat="1" applyFont="1" applyFill="1" applyBorder="1" applyAlignment="1" applyProtection="1">
      <alignment/>
      <protection hidden="1"/>
    </xf>
    <xf numFmtId="179" fontId="5" fillId="3" borderId="24" xfId="37" applyNumberFormat="1" applyBorder="1" applyProtection="1">
      <alignment/>
      <protection/>
    </xf>
    <xf numFmtId="179" fontId="5" fillId="3" borderId="24" xfId="34" applyNumberFormat="1" applyFont="1" applyFill="1" applyBorder="1" applyProtection="1">
      <alignment/>
      <protection/>
    </xf>
    <xf numFmtId="0" fontId="4" fillId="3" borderId="25"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3" xfId="0" applyFont="1" applyFill="1" applyBorder="1" applyAlignment="1" applyProtection="1">
      <alignment horizontal="left"/>
      <protection/>
    </xf>
    <xf numFmtId="0" fontId="4" fillId="3" borderId="17" xfId="0" applyFont="1" applyFill="1" applyBorder="1" applyAlignment="1" applyProtection="1">
      <alignment horizontal="left"/>
      <protection/>
    </xf>
    <xf numFmtId="0" fontId="4" fillId="3" borderId="25" xfId="0" applyFont="1" applyFill="1" applyBorder="1" applyAlignment="1" applyProtection="1">
      <alignment/>
      <protection hidden="1"/>
    </xf>
    <xf numFmtId="0" fontId="4" fillId="3" borderId="13" xfId="0" applyFont="1" applyFill="1" applyBorder="1" applyAlignment="1" applyProtection="1">
      <alignment/>
      <protection/>
    </xf>
    <xf numFmtId="0" fontId="4" fillId="3" borderId="17" xfId="0" applyFont="1" applyFill="1" applyBorder="1" applyAlignment="1" applyProtection="1">
      <alignment/>
      <protection/>
    </xf>
    <xf numFmtId="0" fontId="5" fillId="3" borderId="13" xfId="0" applyFont="1" applyFill="1" applyBorder="1" applyAlignment="1" applyProtection="1">
      <alignment horizontal="left"/>
      <protection hidden="1"/>
    </xf>
    <xf numFmtId="0" fontId="5" fillId="3" borderId="13" xfId="0" applyFont="1" applyFill="1" applyBorder="1" applyAlignment="1" applyProtection="1">
      <alignment horizontal="left"/>
      <protection/>
    </xf>
    <xf numFmtId="0" fontId="5" fillId="3" borderId="17" xfId="0" applyFont="1" applyFill="1" applyBorder="1" applyAlignment="1" applyProtection="1">
      <alignment horizontal="left"/>
      <protection/>
    </xf>
    <xf numFmtId="178" fontId="5" fillId="3" borderId="13" xfId="37" applyBorder="1" applyProtection="1">
      <alignment/>
      <protection hidden="1"/>
    </xf>
    <xf numFmtId="178" fontId="5" fillId="3" borderId="17" xfId="37" applyBorder="1" applyProtection="1">
      <alignment/>
      <protection hidden="1"/>
    </xf>
    <xf numFmtId="0" fontId="5" fillId="3" borderId="49" xfId="0" applyFont="1" applyFill="1" applyBorder="1" applyAlignment="1" applyProtection="1">
      <alignment/>
      <protection hidden="1"/>
    </xf>
    <xf numFmtId="0" fontId="4" fillId="0" borderId="0" xfId="0" applyNumberFormat="1" applyFont="1" applyAlignment="1" applyProtection="1">
      <alignment horizontal="right"/>
      <protection locked="0"/>
    </xf>
    <xf numFmtId="0" fontId="0" fillId="0" borderId="0" xfId="0" applyNumberFormat="1" applyFont="1" applyAlignment="1" applyProtection="1">
      <alignment horizontal="right"/>
      <protection locked="0"/>
    </xf>
    <xf numFmtId="183" fontId="5" fillId="3" borderId="23" xfId="37" applyNumberFormat="1" applyFont="1" applyFill="1" applyBorder="1" applyAlignment="1" applyProtection="1">
      <alignment/>
      <protection/>
    </xf>
    <xf numFmtId="0" fontId="4" fillId="0" borderId="0" xfId="0" applyNumberFormat="1" applyFont="1" applyAlignment="1" applyProtection="1">
      <alignment/>
      <protection/>
    </xf>
    <xf numFmtId="0" fontId="4" fillId="0" borderId="25" xfId="0" applyFont="1" applyBorder="1" applyAlignment="1">
      <alignment/>
    </xf>
    <xf numFmtId="3" fontId="4" fillId="0" borderId="23" xfId="35" applyNumberFormat="1" applyFont="1" applyFill="1" applyBorder="1" applyProtection="1">
      <alignment/>
      <protection locked="0"/>
    </xf>
    <xf numFmtId="178" fontId="4" fillId="0" borderId="23" xfId="35" applyNumberFormat="1" applyFont="1" applyFill="1" applyBorder="1" applyProtection="1">
      <alignment/>
      <protection/>
    </xf>
    <xf numFmtId="174" fontId="4" fillId="0" borderId="0" xfId="0" applyNumberFormat="1" applyFont="1" applyAlignment="1" applyProtection="1">
      <alignment/>
      <protection/>
    </xf>
    <xf numFmtId="0" fontId="1" fillId="0" borderId="0" xfId="0" applyFont="1" applyAlignment="1" applyProtection="1">
      <alignment/>
      <protection hidden="1"/>
    </xf>
    <xf numFmtId="178" fontId="1" fillId="0" borderId="66" xfId="37" applyFont="1" applyFill="1" applyBorder="1" applyAlignment="1" applyProtection="1">
      <alignment vertical="center"/>
      <protection/>
    </xf>
    <xf numFmtId="178" fontId="5" fillId="0" borderId="67" xfId="37" applyFill="1" applyBorder="1" applyAlignment="1" applyProtection="1">
      <alignment vertical="center"/>
      <protection/>
    </xf>
    <xf numFmtId="178" fontId="5" fillId="0" borderId="68" xfId="37" applyFill="1" applyBorder="1" applyAlignment="1" applyProtection="1">
      <alignment horizontal="right" vertical="center"/>
      <protection/>
    </xf>
    <xf numFmtId="178" fontId="5" fillId="0" borderId="13" xfId="34" applyFont="1" applyFill="1" applyBorder="1" applyAlignment="1" applyProtection="1">
      <alignment horizontal="right"/>
      <protection hidden="1"/>
    </xf>
    <xf numFmtId="170" fontId="4" fillId="0" borderId="25" xfId="34" applyNumberFormat="1" applyFont="1" applyBorder="1" applyAlignment="1" applyProtection="1">
      <alignment horizontal="center"/>
      <protection hidden="1"/>
    </xf>
    <xf numFmtId="4" fontId="4" fillId="0" borderId="25" xfId="34" applyNumberFormat="1" applyFont="1" applyFill="1" applyBorder="1" applyAlignment="1" applyProtection="1">
      <alignment horizontal="center"/>
      <protection hidden="1"/>
    </xf>
    <xf numFmtId="171" fontId="5" fillId="0" borderId="0" xfId="37" applyNumberFormat="1" applyFill="1" applyBorder="1" applyProtection="1">
      <alignment/>
      <protection/>
    </xf>
    <xf numFmtId="175" fontId="4" fillId="0" borderId="25" xfId="34" applyNumberFormat="1" applyFont="1" applyBorder="1" applyAlignment="1" applyProtection="1">
      <alignment horizontal="center"/>
      <protection hidden="1"/>
    </xf>
    <xf numFmtId="183" fontId="4" fillId="0" borderId="49" xfId="36" applyFont="1" applyFill="1" applyBorder="1" applyProtection="1">
      <alignment/>
      <protection locked="0"/>
    </xf>
    <xf numFmtId="178" fontId="4" fillId="0" borderId="49" xfId="34" applyFont="1" applyBorder="1" applyAlignment="1" applyProtection="1">
      <alignment/>
      <protection/>
    </xf>
    <xf numFmtId="175" fontId="4" fillId="0" borderId="49" xfId="34" applyNumberFormat="1" applyFont="1" applyBorder="1" applyAlignment="1" applyProtection="1">
      <alignment horizontal="center"/>
      <protection hidden="1"/>
    </xf>
    <xf numFmtId="175" fontId="4" fillId="0" borderId="25" xfId="34" applyNumberFormat="1" applyFont="1" applyFill="1" applyBorder="1" applyAlignment="1" applyProtection="1">
      <alignment horizontal="center"/>
      <protection hidden="1"/>
    </xf>
    <xf numFmtId="166" fontId="4" fillId="0" borderId="23" xfId="0" applyNumberFormat="1" applyFont="1" applyBorder="1" applyAlignment="1" applyProtection="1">
      <alignment horizontal="center"/>
      <protection/>
    </xf>
    <xf numFmtId="37" fontId="4" fillId="0" borderId="69" xfId="0" applyNumberFormat="1" applyFont="1" applyFill="1" applyBorder="1" applyAlignment="1" applyProtection="1">
      <alignment vertical="center"/>
      <protection locked="0"/>
    </xf>
    <xf numFmtId="0" fontId="4" fillId="0" borderId="0" xfId="0" applyFont="1" applyAlignment="1" applyProtection="1">
      <alignment horizontal="justify" vertical="top" wrapText="1"/>
      <protection hidden="1"/>
    </xf>
    <xf numFmtId="0" fontId="4" fillId="0" borderId="16" xfId="0" applyFont="1" applyBorder="1" applyAlignment="1" applyProtection="1">
      <alignment/>
      <protection hidden="1"/>
    </xf>
    <xf numFmtId="178" fontId="4" fillId="0" borderId="17" xfId="34" applyFont="1" applyBorder="1" applyProtection="1">
      <alignment/>
      <protection/>
    </xf>
    <xf numFmtId="3" fontId="4" fillId="0" borderId="13" xfId="0" applyNumberFormat="1" applyFont="1" applyFill="1" applyBorder="1" applyAlignment="1" applyProtection="1" quotePrefix="1">
      <alignment horizontal="left"/>
      <protection hidden="1"/>
    </xf>
    <xf numFmtId="0" fontId="1" fillId="0" borderId="0" xfId="33" applyNumberFormat="1" applyFont="1" applyAlignment="1" applyProtection="1">
      <alignment/>
      <protection hidden="1"/>
    </xf>
    <xf numFmtId="0" fontId="0" fillId="0" borderId="0" xfId="33" applyAlignment="1" applyProtection="1">
      <alignment horizontal="left"/>
      <protection hidden="1"/>
    </xf>
    <xf numFmtId="0" fontId="0" fillId="0" borderId="0" xfId="33" applyAlignment="1" applyProtection="1">
      <alignment/>
      <protection hidden="1"/>
    </xf>
    <xf numFmtId="0" fontId="1" fillId="0" borderId="0" xfId="33" applyFont="1" applyBorder="1" applyAlignment="1" applyProtection="1">
      <alignment/>
      <protection hidden="1"/>
    </xf>
    <xf numFmtId="0" fontId="2" fillId="0" borderId="5" xfId="33" applyNumberFormat="1" applyFont="1" applyBorder="1" applyAlignment="1" applyProtection="1" quotePrefix="1">
      <alignment vertical="center"/>
      <protection hidden="1"/>
    </xf>
    <xf numFmtId="0" fontId="2" fillId="0" borderId="5" xfId="33" applyFont="1" applyBorder="1" applyAlignment="1" applyProtection="1">
      <alignment horizontal="left" vertical="center"/>
      <protection hidden="1"/>
    </xf>
    <xf numFmtId="0" fontId="2" fillId="0" borderId="6" xfId="33" applyFont="1" applyBorder="1" applyAlignment="1" applyProtection="1">
      <alignment horizontal="left" vertical="center"/>
      <protection hidden="1"/>
    </xf>
    <xf numFmtId="0" fontId="3" fillId="0" borderId="6" xfId="33" applyNumberFormat="1" applyFont="1" applyBorder="1" applyAlignment="1" applyProtection="1">
      <alignment vertical="center"/>
      <protection hidden="1"/>
    </xf>
    <xf numFmtId="0" fontId="13" fillId="0" borderId="6" xfId="33" applyNumberFormat="1" applyFont="1" applyBorder="1" applyAlignment="1" applyProtection="1">
      <alignment vertical="center"/>
      <protection hidden="1"/>
    </xf>
    <xf numFmtId="186" fontId="2" fillId="0" borderId="6" xfId="33" applyNumberFormat="1" applyFont="1" applyBorder="1" applyAlignment="1" applyProtection="1">
      <alignment horizontal="right" vertical="center"/>
      <protection hidden="1"/>
    </xf>
    <xf numFmtId="0" fontId="1" fillId="0" borderId="0" xfId="33" applyFont="1">
      <alignment/>
      <protection/>
    </xf>
    <xf numFmtId="0" fontId="2" fillId="0" borderId="0" xfId="33" applyFont="1" applyAlignment="1" applyProtection="1">
      <alignment vertical="center"/>
      <protection/>
    </xf>
    <xf numFmtId="0" fontId="0" fillId="0" borderId="0" xfId="33">
      <alignment/>
      <protection/>
    </xf>
    <xf numFmtId="0" fontId="0" fillId="0" borderId="0" xfId="33" applyFont="1">
      <alignment/>
      <protection/>
    </xf>
    <xf numFmtId="0" fontId="4" fillId="0" borderId="0" xfId="33" applyFont="1" applyBorder="1" applyProtection="1">
      <alignment/>
      <protection/>
    </xf>
    <xf numFmtId="0" fontId="4" fillId="0" borderId="0" xfId="33" applyFont="1" applyProtection="1">
      <alignment/>
      <protection/>
    </xf>
    <xf numFmtId="0" fontId="0" fillId="3" borderId="3" xfId="33" applyFill="1" applyBorder="1" applyAlignment="1">
      <alignment horizontal="center"/>
      <protection/>
    </xf>
    <xf numFmtId="0" fontId="0" fillId="0" borderId="0" xfId="33" applyAlignment="1">
      <alignment vertical="top" wrapText="1"/>
      <protection/>
    </xf>
    <xf numFmtId="0" fontId="4" fillId="0" borderId="0" xfId="33" applyFont="1" applyAlignment="1" applyProtection="1">
      <alignment/>
      <protection/>
    </xf>
    <xf numFmtId="0" fontId="4" fillId="0" borderId="23" xfId="0" applyFont="1" applyBorder="1" applyAlignment="1">
      <alignment/>
    </xf>
    <xf numFmtId="0" fontId="4" fillId="0" borderId="23" xfId="0" applyFont="1" applyBorder="1" applyAlignment="1">
      <alignment horizontal="center"/>
    </xf>
    <xf numFmtId="0" fontId="6" fillId="0" borderId="6" xfId="33" applyFont="1" applyBorder="1" applyAlignment="1" applyProtection="1">
      <alignment horizontal="left" vertical="center"/>
      <protection hidden="1"/>
    </xf>
    <xf numFmtId="0" fontId="4" fillId="0" borderId="23" xfId="0" applyFont="1" applyFill="1" applyBorder="1" applyAlignment="1">
      <alignment/>
    </xf>
    <xf numFmtId="170" fontId="5" fillId="0" borderId="0" xfId="0" applyNumberFormat="1" applyFont="1" applyAlignment="1" applyProtection="1">
      <alignment/>
      <protection hidden="1"/>
    </xf>
    <xf numFmtId="0" fontId="4" fillId="0" borderId="0" xfId="0" applyNumberFormat="1" applyFont="1" applyAlignment="1" applyProtection="1">
      <alignment horizontal="right" wrapText="1"/>
      <protection hidden="1"/>
    </xf>
    <xf numFmtId="0" fontId="5" fillId="0" borderId="0" xfId="0" applyNumberFormat="1" applyFont="1" applyAlignment="1" applyProtection="1">
      <alignment horizontal="right"/>
      <protection hidden="1"/>
    </xf>
    <xf numFmtId="0" fontId="4" fillId="0" borderId="0" xfId="0" applyNumberFormat="1" applyFont="1" applyAlignment="1" applyProtection="1">
      <alignment horizontal="justify"/>
      <protection hidden="1"/>
    </xf>
    <xf numFmtId="49" fontId="4" fillId="0" borderId="0" xfId="0" applyNumberFormat="1" applyFont="1" applyAlignment="1" applyProtection="1">
      <alignment horizontal="justify"/>
      <protection hidden="1"/>
    </xf>
    <xf numFmtId="0" fontId="5" fillId="0" borderId="0" xfId="0" applyFont="1" applyAlignment="1" applyProtection="1">
      <alignment vertical="top"/>
      <protection hidden="1"/>
    </xf>
    <xf numFmtId="0" fontId="5" fillId="0" borderId="0" xfId="0" applyFont="1" applyAlignment="1" applyProtection="1">
      <alignment horizontal="left" vertical="top"/>
      <protection hidden="1"/>
    </xf>
    <xf numFmtId="170" fontId="4" fillId="0" borderId="0" xfId="0" applyNumberFormat="1" applyFont="1" applyAlignment="1" applyProtection="1">
      <alignment/>
      <protection hidden="1"/>
    </xf>
    <xf numFmtId="0" fontId="5" fillId="0" borderId="0" xfId="0" applyFont="1" applyAlignment="1" applyProtection="1">
      <alignment vertical="top"/>
      <protection locked="0"/>
    </xf>
    <xf numFmtId="0" fontId="4" fillId="0" borderId="0" xfId="0" applyFont="1" applyAlignment="1" applyProtection="1">
      <alignment horizontal="justify"/>
      <protection locked="0"/>
    </xf>
    <xf numFmtId="0" fontId="4" fillId="0" borderId="0" xfId="0" applyFont="1" applyBorder="1" applyAlignment="1">
      <alignment/>
    </xf>
    <xf numFmtId="182" fontId="4" fillId="0" borderId="13" xfId="0" applyNumberFormat="1" applyFont="1" applyFill="1" applyBorder="1" applyAlignment="1" applyProtection="1">
      <alignment horizontal="left"/>
      <protection locked="0"/>
    </xf>
    <xf numFmtId="49" fontId="4" fillId="0" borderId="38" xfId="0" applyNumberFormat="1" applyFont="1" applyFill="1" applyBorder="1" applyAlignment="1" applyProtection="1">
      <alignment horizontal="left"/>
      <protection locked="0"/>
    </xf>
    <xf numFmtId="0" fontId="4" fillId="3" borderId="23" xfId="0" applyFont="1" applyFill="1" applyBorder="1" applyAlignment="1" applyProtection="1">
      <alignment horizontal="left" vertical="center"/>
      <protection locked="0"/>
    </xf>
    <xf numFmtId="49" fontId="4" fillId="0" borderId="23" xfId="34" applyNumberFormat="1" applyFont="1" applyFill="1" applyBorder="1" applyAlignment="1" applyProtection="1">
      <alignment horizontal="center"/>
      <protection locked="0"/>
    </xf>
    <xf numFmtId="49" fontId="4" fillId="0" borderId="24" xfId="34" applyNumberFormat="1" applyFont="1" applyFill="1" applyBorder="1" applyAlignment="1" applyProtection="1">
      <alignment horizontal="center"/>
      <protection locked="0"/>
    </xf>
    <xf numFmtId="169" fontId="4" fillId="0" borderId="0" xfId="0" applyNumberFormat="1" applyFont="1" applyAlignment="1">
      <alignment/>
    </xf>
    <xf numFmtId="0" fontId="4" fillId="0" borderId="0" xfId="0" applyNumberFormat="1" applyFont="1" applyAlignment="1">
      <alignment/>
    </xf>
    <xf numFmtId="0" fontId="5" fillId="0" borderId="0" xfId="0" applyFont="1" applyAlignment="1">
      <alignment/>
    </xf>
    <xf numFmtId="0" fontId="4" fillId="0" borderId="0" xfId="0" applyFont="1" applyBorder="1" applyAlignment="1" applyProtection="1" quotePrefix="1">
      <alignment horizontal="center" wrapText="1"/>
      <protection hidden="1"/>
    </xf>
    <xf numFmtId="0" fontId="4" fillId="0" borderId="0" xfId="0" applyFont="1" applyBorder="1" applyAlignment="1" applyProtection="1">
      <alignment horizontal="center" wrapText="1"/>
      <protection hidden="1"/>
    </xf>
    <xf numFmtId="0" fontId="24" fillId="0" borderId="0" xfId="0" applyFont="1" applyBorder="1" applyAlignment="1" applyProtection="1">
      <alignment vertical="center"/>
      <protection hidden="1"/>
    </xf>
    <xf numFmtId="0" fontId="24" fillId="0" borderId="0" xfId="0" applyFont="1" applyBorder="1" applyAlignment="1" applyProtection="1">
      <alignment/>
      <protection/>
    </xf>
    <xf numFmtId="0" fontId="25"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vertical="center"/>
      <protection/>
    </xf>
    <xf numFmtId="0" fontId="4" fillId="0" borderId="0" xfId="0" applyFont="1" applyAlignment="1">
      <alignment horizontal="center"/>
    </xf>
    <xf numFmtId="169" fontId="4" fillId="0" borderId="0" xfId="0" applyNumberFormat="1" applyFont="1" applyAlignment="1" applyProtection="1">
      <alignment/>
      <protection/>
    </xf>
    <xf numFmtId="0" fontId="4" fillId="0" borderId="3" xfId="0" applyFont="1" applyBorder="1" applyAlignment="1">
      <alignment/>
    </xf>
    <xf numFmtId="0" fontId="4" fillId="0" borderId="0" xfId="0" applyFont="1" applyBorder="1" applyAlignment="1">
      <alignment horizontal="center"/>
    </xf>
    <xf numFmtId="169" fontId="5" fillId="0" borderId="0" xfId="0" applyNumberFormat="1" applyFont="1" applyBorder="1" applyAlignment="1">
      <alignment/>
    </xf>
    <xf numFmtId="169" fontId="5" fillId="0" borderId="0" xfId="0" applyNumberFormat="1" applyFont="1" applyBorder="1" applyAlignment="1" applyProtection="1">
      <alignment/>
      <protection/>
    </xf>
    <xf numFmtId="0" fontId="4" fillId="0" borderId="0" xfId="0" applyFont="1" applyFill="1" applyAlignment="1">
      <alignment/>
    </xf>
    <xf numFmtId="0" fontId="4" fillId="0" borderId="0" xfId="0" applyFont="1" applyAlignment="1">
      <alignment horizontal="left"/>
    </xf>
    <xf numFmtId="169" fontId="4" fillId="7" borderId="0" xfId="0" applyNumberFormat="1" applyFont="1" applyFill="1" applyAlignment="1" applyProtection="1">
      <alignment/>
      <protection/>
    </xf>
    <xf numFmtId="169" fontId="4" fillId="7" borderId="0" xfId="0" applyNumberFormat="1" applyFont="1" applyFill="1" applyAlignment="1">
      <alignment/>
    </xf>
    <xf numFmtId="0" fontId="5" fillId="3" borderId="21" xfId="0" applyFont="1" applyFill="1" applyBorder="1" applyAlignment="1">
      <alignment horizontal="center"/>
    </xf>
    <xf numFmtId="169" fontId="5" fillId="3" borderId="21" xfId="0" applyNumberFormat="1" applyFont="1" applyFill="1" applyBorder="1" applyAlignment="1">
      <alignment horizontal="center"/>
    </xf>
    <xf numFmtId="0" fontId="5" fillId="3" borderId="14" xfId="0" applyNumberFormat="1" applyFont="1" applyFill="1" applyBorder="1" applyAlignment="1">
      <alignment horizontal="center"/>
    </xf>
    <xf numFmtId="0" fontId="5" fillId="3" borderId="22" xfId="0" applyNumberFormat="1" applyFont="1" applyFill="1" applyBorder="1" applyAlignment="1">
      <alignment horizontal="center"/>
    </xf>
    <xf numFmtId="169" fontId="5" fillId="3" borderId="3" xfId="0" applyNumberFormat="1" applyFont="1" applyFill="1" applyBorder="1" applyAlignment="1" applyProtection="1">
      <alignment horizontal="center"/>
      <protection/>
    </xf>
    <xf numFmtId="0" fontId="5" fillId="3" borderId="3" xfId="0" applyNumberFormat="1" applyFont="1" applyFill="1" applyBorder="1" applyAlignment="1">
      <alignment horizontal="center"/>
    </xf>
    <xf numFmtId="169" fontId="4" fillId="0" borderId="23" xfId="0" applyNumberFormat="1" applyFont="1" applyBorder="1" applyAlignment="1">
      <alignment/>
    </xf>
    <xf numFmtId="169" fontId="4" fillId="7" borderId="23" xfId="0" applyNumberFormat="1" applyFont="1" applyFill="1" applyBorder="1" applyAlignment="1">
      <alignment/>
    </xf>
    <xf numFmtId="169" fontId="4" fillId="0" borderId="23" xfId="0" applyNumberFormat="1" applyFont="1" applyBorder="1" applyAlignment="1" quotePrefix="1">
      <alignment/>
    </xf>
    <xf numFmtId="169" fontId="4" fillId="0" borderId="0" xfId="0" applyNumberFormat="1" applyFont="1" applyFill="1" applyAlignment="1" applyProtection="1">
      <alignment/>
      <protection/>
    </xf>
    <xf numFmtId="169" fontId="4" fillId="0" borderId="0" xfId="0" applyNumberFormat="1" applyFont="1" applyFill="1" applyAlignment="1">
      <alignment/>
    </xf>
    <xf numFmtId="0" fontId="4" fillId="0" borderId="6" xfId="0" applyFont="1" applyBorder="1" applyAlignment="1" applyProtection="1">
      <alignment/>
      <protection/>
    </xf>
    <xf numFmtId="0" fontId="5" fillId="0" borderId="0" xfId="0" applyNumberFormat="1" applyFont="1" applyAlignment="1" applyProtection="1">
      <alignment horizontal="left"/>
      <protection/>
    </xf>
    <xf numFmtId="0" fontId="5" fillId="0" borderId="0" xfId="0" applyFont="1" applyAlignment="1">
      <alignment horizontal="left"/>
    </xf>
    <xf numFmtId="169" fontId="5" fillId="3" borderId="33" xfId="0" applyNumberFormat="1" applyFont="1" applyFill="1" applyBorder="1" applyAlignment="1">
      <alignment horizontal="center"/>
    </xf>
    <xf numFmtId="169" fontId="5" fillId="3" borderId="14" xfId="0" applyNumberFormat="1" applyFont="1" applyFill="1" applyBorder="1" applyAlignment="1">
      <alignment horizontal="right"/>
    </xf>
    <xf numFmtId="169" fontId="4" fillId="0" borderId="6" xfId="0" applyNumberFormat="1" applyFont="1" applyBorder="1" applyAlignment="1">
      <alignment/>
    </xf>
    <xf numFmtId="0" fontId="5" fillId="3" borderId="14" xfId="0" applyFont="1" applyFill="1" applyBorder="1" applyAlignment="1">
      <alignment horizontal="center"/>
    </xf>
    <xf numFmtId="169" fontId="4" fillId="7" borderId="17" xfId="0" applyNumberFormat="1" applyFont="1" applyFill="1" applyBorder="1" applyAlignment="1">
      <alignment/>
    </xf>
    <xf numFmtId="0" fontId="5" fillId="3" borderId="23" xfId="0" applyFont="1" applyFill="1" applyBorder="1" applyAlignment="1">
      <alignment horizontal="left"/>
    </xf>
    <xf numFmtId="0" fontId="4" fillId="7" borderId="0" xfId="0" applyFont="1" applyFill="1" applyAlignment="1">
      <alignment/>
    </xf>
    <xf numFmtId="0" fontId="4" fillId="0" borderId="25" xfId="0" applyFont="1" applyBorder="1" applyAlignment="1">
      <alignment horizontal="left"/>
    </xf>
    <xf numFmtId="0" fontId="4" fillId="0" borderId="5" xfId="0" applyFont="1" applyBorder="1" applyAlignment="1">
      <alignment/>
    </xf>
    <xf numFmtId="0" fontId="5" fillId="0" borderId="6" xfId="0" applyNumberFormat="1" applyFont="1" applyBorder="1" applyAlignment="1" applyProtection="1">
      <alignment horizontal="left"/>
      <protection/>
    </xf>
    <xf numFmtId="178" fontId="4" fillId="0" borderId="25" xfId="34" applyFont="1" applyFill="1" applyBorder="1" applyProtection="1">
      <alignment/>
      <protection locked="0"/>
    </xf>
    <xf numFmtId="0" fontId="5" fillId="3" borderId="3" xfId="0" applyFont="1" applyFill="1" applyBorder="1" applyAlignment="1">
      <alignment horizontal="center"/>
    </xf>
    <xf numFmtId="10" fontId="4" fillId="0" borderId="0" xfId="0" applyNumberFormat="1" applyFont="1" applyAlignment="1">
      <alignment/>
    </xf>
    <xf numFmtId="0" fontId="5" fillId="3" borderId="33" xfId="0" applyFont="1" applyFill="1" applyBorder="1" applyAlignment="1">
      <alignment horizontal="center"/>
    </xf>
    <xf numFmtId="0" fontId="5" fillId="3" borderId="0" xfId="0" applyFont="1" applyFill="1" applyBorder="1" applyAlignment="1">
      <alignment horizontal="center"/>
    </xf>
    <xf numFmtId="0" fontId="5" fillId="3" borderId="2" xfId="0" applyFont="1" applyFill="1" applyBorder="1" applyAlignment="1">
      <alignment horizontal="center"/>
    </xf>
    <xf numFmtId="0" fontId="5" fillId="3" borderId="6" xfId="0" applyFont="1" applyFill="1" applyBorder="1" applyAlignment="1">
      <alignment horizontal="center"/>
    </xf>
    <xf numFmtId="0" fontId="4" fillId="0" borderId="0" xfId="0" applyNumberFormat="1" applyFont="1" applyBorder="1" applyAlignment="1" applyProtection="1">
      <alignment horizontal="left" vertical="center"/>
      <protection hidden="1"/>
    </xf>
    <xf numFmtId="0" fontId="15" fillId="0" borderId="0" xfId="0" applyFont="1" applyBorder="1" applyAlignment="1" applyProtection="1">
      <alignment vertical="center"/>
      <protection hidden="1"/>
    </xf>
    <xf numFmtId="0" fontId="4" fillId="0" borderId="13" xfId="0" applyFont="1" applyBorder="1" applyAlignment="1">
      <alignment/>
    </xf>
    <xf numFmtId="169" fontId="4" fillId="0" borderId="13" xfId="0" applyNumberFormat="1" applyFont="1" applyBorder="1" applyAlignment="1">
      <alignment/>
    </xf>
    <xf numFmtId="0" fontId="4" fillId="0" borderId="23" xfId="0" applyFont="1" applyBorder="1" applyAlignment="1">
      <alignment horizontal="left"/>
    </xf>
    <xf numFmtId="184" fontId="4" fillId="0" borderId="0" xfId="36" applyNumberFormat="1" applyFont="1" applyFill="1" applyBorder="1" applyAlignment="1" applyProtection="1">
      <alignment/>
      <protection/>
    </xf>
    <xf numFmtId="0" fontId="4" fillId="0" borderId="23" xfId="0" applyFont="1" applyBorder="1" applyAlignment="1" applyProtection="1">
      <alignment/>
      <protection hidden="1"/>
    </xf>
    <xf numFmtId="37" fontId="5" fillId="0" borderId="0" xfId="0" applyNumberFormat="1" applyFont="1" applyFill="1" applyBorder="1" applyAlignment="1" applyProtection="1">
      <alignment horizontal="left"/>
      <protection hidden="1"/>
    </xf>
    <xf numFmtId="178" fontId="5" fillId="0" borderId="0" xfId="37" applyFont="1" applyFill="1" applyBorder="1" applyProtection="1">
      <alignment/>
      <protection/>
    </xf>
    <xf numFmtId="0" fontId="5" fillId="0" borderId="0" xfId="0" applyFont="1" applyFill="1" applyBorder="1" applyAlignment="1">
      <alignment horizontal="left"/>
    </xf>
    <xf numFmtId="178" fontId="4" fillId="0" borderId="0" xfId="34" applyFont="1" applyFill="1" applyBorder="1" applyProtection="1">
      <alignment/>
      <protection/>
    </xf>
    <xf numFmtId="178" fontId="5" fillId="0" borderId="0" xfId="35" applyNumberFormat="1" applyFont="1" applyFill="1" applyBorder="1" applyAlignment="1" applyProtection="1">
      <alignment horizontal="left"/>
      <protection/>
    </xf>
    <xf numFmtId="178" fontId="5" fillId="3" borderId="23" xfId="35" applyNumberFormat="1" applyFont="1" applyFill="1" applyBorder="1" applyAlignment="1" applyProtection="1">
      <alignment horizontal="left"/>
      <protection/>
    </xf>
    <xf numFmtId="37" fontId="4" fillId="0" borderId="17" xfId="0" applyNumberFormat="1" applyFont="1" applyFill="1" applyBorder="1" applyAlignment="1" applyProtection="1">
      <alignment horizontal="left"/>
      <protection hidden="1"/>
    </xf>
    <xf numFmtId="2" fontId="4" fillId="0" borderId="0" xfId="0" applyNumberFormat="1" applyFont="1" applyAlignment="1">
      <alignment/>
    </xf>
    <xf numFmtId="3" fontId="4" fillId="0" borderId="0" xfId="0" applyNumberFormat="1" applyFont="1" applyAlignment="1">
      <alignment/>
    </xf>
    <xf numFmtId="0" fontId="5" fillId="0" borderId="0" xfId="0" applyFont="1" applyBorder="1" applyAlignment="1">
      <alignment/>
    </xf>
    <xf numFmtId="9" fontId="4" fillId="0" borderId="23" xfId="0" applyNumberFormat="1" applyFont="1" applyFill="1" applyBorder="1" applyAlignment="1">
      <alignment/>
    </xf>
    <xf numFmtId="9" fontId="4" fillId="0" borderId="23" xfId="30" applyFont="1" applyFill="1" applyBorder="1" applyAlignment="1">
      <alignment/>
    </xf>
    <xf numFmtId="0" fontId="5" fillId="3" borderId="23" xfId="0" applyFont="1" applyFill="1" applyBorder="1" applyAlignment="1">
      <alignment/>
    </xf>
    <xf numFmtId="3" fontId="5" fillId="3" borderId="23" xfId="0" applyNumberFormat="1" applyFont="1" applyFill="1" applyBorder="1" applyAlignment="1">
      <alignment/>
    </xf>
    <xf numFmtId="177" fontId="5" fillId="0" borderId="0" xfId="34" applyNumberFormat="1" applyFont="1" applyFill="1" applyBorder="1" applyProtection="1">
      <alignment/>
      <protection/>
    </xf>
    <xf numFmtId="177" fontId="5" fillId="0" borderId="0" xfId="37" applyNumberFormat="1" applyFont="1" applyFill="1" applyBorder="1" applyProtection="1">
      <alignment/>
      <protection/>
    </xf>
    <xf numFmtId="0" fontId="5" fillId="0" borderId="0" xfId="0" applyNumberFormat="1" applyFont="1" applyFill="1" applyBorder="1" applyAlignment="1" applyProtection="1">
      <alignment horizontal="center" vertical="center"/>
      <protection hidden="1"/>
    </xf>
    <xf numFmtId="0" fontId="4" fillId="0" borderId="70" xfId="0" applyFont="1" applyFill="1" applyBorder="1" applyAlignment="1" applyProtection="1">
      <alignment horizontal="center" vertical="center"/>
      <protection hidden="1"/>
    </xf>
    <xf numFmtId="0" fontId="4" fillId="0" borderId="0" xfId="0" applyFont="1" applyAlignment="1" applyProtection="1">
      <alignment horizontal="center"/>
      <protection/>
    </xf>
    <xf numFmtId="0" fontId="5" fillId="0" borderId="71" xfId="0" applyFont="1" applyFill="1" applyBorder="1" applyAlignment="1" applyProtection="1">
      <alignment horizontal="center" vertical="center"/>
      <protection hidden="1"/>
    </xf>
    <xf numFmtId="189" fontId="5" fillId="3" borderId="14" xfId="0" applyNumberFormat="1" applyFont="1" applyFill="1" applyBorder="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4" fillId="0" borderId="0" xfId="0" applyFont="1" applyFill="1" applyAlignment="1" applyProtection="1">
      <alignment horizontal="center" vertical="center"/>
      <protection/>
    </xf>
    <xf numFmtId="0" fontId="4" fillId="0" borderId="0" xfId="0" applyFont="1" applyFill="1" applyBorder="1" applyAlignment="1">
      <alignment/>
    </xf>
    <xf numFmtId="189" fontId="5" fillId="3" borderId="14" xfId="0" applyNumberFormat="1" applyFont="1" applyFill="1" applyBorder="1" applyAlignment="1" applyProtection="1">
      <alignment vertical="center"/>
      <protection hidden="1"/>
    </xf>
    <xf numFmtId="0" fontId="5" fillId="3" borderId="14" xfId="0" applyFont="1" applyFill="1" applyBorder="1" applyAlignment="1" applyProtection="1">
      <alignment horizontal="center" vertical="center"/>
      <protection hidden="1"/>
    </xf>
    <xf numFmtId="189" fontId="5" fillId="3" borderId="3" xfId="0" applyNumberFormat="1" applyFont="1" applyFill="1" applyBorder="1" applyAlignment="1" applyProtection="1">
      <alignment horizontal="center" vertical="center"/>
      <protection hidden="1"/>
    </xf>
    <xf numFmtId="0" fontId="5" fillId="3" borderId="21" xfId="0" applyFont="1" applyFill="1" applyBorder="1" applyAlignment="1" applyProtection="1">
      <alignment vertical="center"/>
      <protection hidden="1"/>
    </xf>
    <xf numFmtId="0" fontId="4" fillId="0" borderId="17" xfId="0" applyFont="1" applyBorder="1" applyAlignment="1" applyProtection="1">
      <alignment/>
      <protection/>
    </xf>
    <xf numFmtId="0" fontId="26" fillId="0" borderId="17" xfId="0" applyFont="1" applyBorder="1" applyAlignment="1" applyProtection="1">
      <alignment/>
      <protection/>
    </xf>
    <xf numFmtId="0" fontId="4" fillId="0" borderId="0" xfId="0" applyFont="1" applyBorder="1" applyAlignment="1">
      <alignment horizontal="left"/>
    </xf>
    <xf numFmtId="49" fontId="4" fillId="0" borderId="0" xfId="0" applyNumberFormat="1" applyFont="1" applyBorder="1" applyAlignment="1">
      <alignment/>
    </xf>
    <xf numFmtId="0" fontId="5" fillId="0" borderId="6" xfId="0" applyNumberFormat="1" applyFont="1" applyBorder="1" applyAlignment="1" applyProtection="1">
      <alignment/>
      <protection hidden="1"/>
    </xf>
    <xf numFmtId="0" fontId="4" fillId="0" borderId="6" xfId="0" applyFont="1" applyBorder="1" applyAlignment="1" applyProtection="1">
      <alignment/>
      <protection hidden="1"/>
    </xf>
    <xf numFmtId="178" fontId="4" fillId="3" borderId="23" xfId="0" applyNumberFormat="1" applyFont="1" applyFill="1" applyBorder="1" applyAlignment="1">
      <alignment/>
    </xf>
    <xf numFmtId="0" fontId="5" fillId="3" borderId="24" xfId="0" applyNumberFormat="1" applyFont="1" applyFill="1" applyBorder="1" applyAlignment="1" applyProtection="1">
      <alignment horizontal="left"/>
      <protection hidden="1"/>
    </xf>
    <xf numFmtId="0" fontId="5" fillId="7" borderId="0" xfId="0" applyNumberFormat="1" applyFont="1" applyFill="1" applyBorder="1" applyAlignment="1" applyProtection="1">
      <alignment horizontal="left"/>
      <protection hidden="1"/>
    </xf>
    <xf numFmtId="0" fontId="5" fillId="7" borderId="0" xfId="0" applyFont="1" applyFill="1" applyBorder="1" applyAlignment="1">
      <alignment horizontal="left"/>
    </xf>
    <xf numFmtId="0" fontId="4" fillId="3" borderId="23" xfId="0" applyFont="1" applyFill="1" applyBorder="1" applyAlignment="1">
      <alignment/>
    </xf>
    <xf numFmtId="3" fontId="4" fillId="0" borderId="23" xfId="0" applyNumberFormat="1" applyFont="1" applyBorder="1" applyAlignment="1">
      <alignment/>
    </xf>
    <xf numFmtId="3" fontId="4" fillId="0" borderId="0" xfId="0" applyNumberFormat="1" applyFont="1" applyFill="1" applyBorder="1" applyAlignment="1" applyProtection="1">
      <alignment/>
      <protection locked="0"/>
    </xf>
    <xf numFmtId="169" fontId="4" fillId="7" borderId="24" xfId="0" applyNumberFormat="1" applyFont="1" applyFill="1" applyBorder="1" applyAlignment="1">
      <alignment/>
    </xf>
    <xf numFmtId="169" fontId="4" fillId="7" borderId="32" xfId="0" applyNumberFormat="1" applyFont="1" applyFill="1" applyBorder="1" applyAlignment="1">
      <alignment/>
    </xf>
    <xf numFmtId="0" fontId="5" fillId="3" borderId="50" xfId="0" applyFont="1" applyFill="1" applyBorder="1" applyAlignment="1">
      <alignment/>
    </xf>
    <xf numFmtId="0" fontId="5" fillId="3" borderId="37" xfId="0" applyNumberFormat="1" applyFont="1" applyFill="1" applyBorder="1" applyAlignment="1">
      <alignment/>
    </xf>
    <xf numFmtId="0" fontId="5" fillId="3" borderId="51" xfId="0" applyFont="1" applyFill="1" applyBorder="1" applyAlignment="1">
      <alignment/>
    </xf>
    <xf numFmtId="0" fontId="5" fillId="3" borderId="22" xfId="0" applyNumberFormat="1" applyFont="1" applyFill="1" applyBorder="1" applyAlignment="1">
      <alignment/>
    </xf>
    <xf numFmtId="0" fontId="5" fillId="0" borderId="0" xfId="0" applyFont="1" applyFill="1" applyBorder="1" applyAlignment="1">
      <alignment/>
    </xf>
    <xf numFmtId="0" fontId="5" fillId="0" borderId="0" xfId="0" applyNumberFormat="1" applyFont="1" applyFill="1" applyBorder="1" applyAlignment="1">
      <alignment/>
    </xf>
    <xf numFmtId="1" fontId="5" fillId="0" borderId="0" xfId="0" applyNumberFormat="1" applyFont="1" applyFill="1" applyBorder="1" applyAlignment="1">
      <alignment/>
    </xf>
    <xf numFmtId="0" fontId="5" fillId="3" borderId="23" xfId="0" applyFont="1" applyFill="1" applyBorder="1" applyAlignment="1">
      <alignment horizontal="center"/>
    </xf>
    <xf numFmtId="0" fontId="5" fillId="3" borderId="25" xfId="0" applyFont="1" applyFill="1" applyBorder="1" applyAlignment="1" applyProtection="1">
      <alignment/>
      <protection hidden="1"/>
    </xf>
    <xf numFmtId="0" fontId="4" fillId="3" borderId="13" xfId="0" applyFont="1" applyFill="1" applyBorder="1" applyAlignment="1">
      <alignment/>
    </xf>
    <xf numFmtId="0" fontId="4" fillId="7" borderId="13" xfId="0" applyFont="1" applyFill="1" applyBorder="1" applyAlignment="1">
      <alignment/>
    </xf>
    <xf numFmtId="0" fontId="4" fillId="0" borderId="24" xfId="34" applyNumberFormat="1" applyFont="1" applyBorder="1" applyProtection="1">
      <alignment/>
      <protection/>
    </xf>
    <xf numFmtId="186" fontId="5" fillId="3" borderId="23" xfId="0" applyNumberFormat="1" applyFont="1" applyFill="1" applyBorder="1" applyAlignment="1" applyProtection="1">
      <alignment horizontal="left"/>
      <protection hidden="1"/>
    </xf>
    <xf numFmtId="0" fontId="5" fillId="0" borderId="0" xfId="0" applyFont="1" applyBorder="1" applyAlignment="1" applyProtection="1">
      <alignment vertical="center"/>
      <protection hidden="1"/>
    </xf>
    <xf numFmtId="0" fontId="5" fillId="3" borderId="13" xfId="0" applyFont="1" applyFill="1" applyBorder="1" applyAlignment="1" applyProtection="1">
      <alignment wrapText="1"/>
      <protection hidden="1"/>
    </xf>
    <xf numFmtId="0" fontId="4" fillId="3" borderId="17" xfId="0" applyFont="1" applyFill="1" applyBorder="1" applyAlignment="1" applyProtection="1">
      <alignment/>
      <protection hidden="1"/>
    </xf>
    <xf numFmtId="37" fontId="5" fillId="0" borderId="0" xfId="0" applyNumberFormat="1" applyFont="1" applyBorder="1" applyAlignment="1">
      <alignment/>
    </xf>
    <xf numFmtId="37" fontId="4" fillId="0" borderId="0" xfId="0" applyNumberFormat="1" applyFont="1" applyBorder="1" applyAlignment="1">
      <alignment/>
    </xf>
    <xf numFmtId="37" fontId="4" fillId="0" borderId="0" xfId="0" applyNumberFormat="1" applyFont="1" applyBorder="1" applyAlignment="1">
      <alignment horizontal="center"/>
    </xf>
    <xf numFmtId="166" fontId="4" fillId="0" borderId="0" xfId="0" applyNumberFormat="1" applyFont="1" applyBorder="1" applyAlignment="1">
      <alignment/>
    </xf>
    <xf numFmtId="3" fontId="4" fillId="0" borderId="0" xfId="0" applyNumberFormat="1" applyFont="1" applyBorder="1" applyAlignment="1">
      <alignment horizontal="center"/>
    </xf>
    <xf numFmtId="178" fontId="4" fillId="3" borderId="23" xfId="0" applyNumberFormat="1" applyFont="1" applyFill="1" applyBorder="1" applyAlignment="1" applyProtection="1">
      <alignment/>
      <protection/>
    </xf>
    <xf numFmtId="166" fontId="4" fillId="0" borderId="23" xfId="0" applyNumberFormat="1" applyFont="1" applyBorder="1" applyAlignment="1">
      <alignment/>
    </xf>
    <xf numFmtId="3" fontId="4" fillId="0" borderId="17" xfId="0" applyNumberFormat="1" applyFont="1" applyBorder="1" applyAlignment="1" applyProtection="1">
      <alignment/>
      <protection/>
    </xf>
    <xf numFmtId="37" fontId="4" fillId="0" borderId="23" xfId="0" applyNumberFormat="1" applyFont="1" applyBorder="1" applyAlignment="1">
      <alignment/>
    </xf>
    <xf numFmtId="37" fontId="4" fillId="0" borderId="23" xfId="0" applyNumberFormat="1" applyFont="1" applyBorder="1" applyAlignment="1">
      <alignment horizontal="left" vertical="top" wrapText="1"/>
    </xf>
    <xf numFmtId="37" fontId="4" fillId="0" borderId="23" xfId="0" applyNumberFormat="1" applyFont="1" applyBorder="1" applyAlignment="1">
      <alignment horizontal="right"/>
    </xf>
    <xf numFmtId="3" fontId="4" fillId="0" borderId="38" xfId="0" applyNumberFormat="1" applyFont="1" applyBorder="1" applyAlignment="1">
      <alignment/>
    </xf>
    <xf numFmtId="37" fontId="5" fillId="3" borderId="72" xfId="0" applyNumberFormat="1" applyFont="1" applyFill="1" applyBorder="1" applyAlignment="1">
      <alignment horizontal="center" vertical="top"/>
    </xf>
    <xf numFmtId="37" fontId="5" fillId="3" borderId="44" xfId="0" applyNumberFormat="1" applyFont="1" applyFill="1" applyBorder="1" applyAlignment="1">
      <alignment horizontal="center"/>
    </xf>
    <xf numFmtId="37" fontId="5" fillId="3" borderId="73" xfId="0" applyNumberFormat="1" applyFont="1" applyFill="1" applyBorder="1" applyAlignment="1">
      <alignment horizontal="center"/>
    </xf>
    <xf numFmtId="49" fontId="5" fillId="3" borderId="16" xfId="0" applyNumberFormat="1" applyFont="1" applyFill="1" applyBorder="1" applyAlignment="1">
      <alignment horizontal="center"/>
    </xf>
    <xf numFmtId="49" fontId="5" fillId="3" borderId="3" xfId="0" applyNumberFormat="1" applyFont="1" applyFill="1" applyBorder="1" applyAlignment="1">
      <alignment horizontal="center"/>
    </xf>
    <xf numFmtId="49" fontId="5" fillId="3" borderId="5" xfId="0" applyNumberFormat="1" applyFont="1" applyFill="1" applyBorder="1" applyAlignment="1">
      <alignment horizontal="center"/>
    </xf>
    <xf numFmtId="1" fontId="4" fillId="0" borderId="0" xfId="0" applyNumberFormat="1" applyFont="1" applyBorder="1" applyAlignment="1" applyProtection="1">
      <alignment/>
      <protection locked="0"/>
    </xf>
    <xf numFmtId="0" fontId="5" fillId="3" borderId="21" xfId="0" applyFont="1" applyFill="1" applyBorder="1" applyAlignment="1">
      <alignment/>
    </xf>
    <xf numFmtId="0" fontId="5" fillId="3" borderId="14" xfId="0" applyFont="1" applyFill="1" applyBorder="1" applyAlignment="1">
      <alignment/>
    </xf>
    <xf numFmtId="0" fontId="4" fillId="0" borderId="52" xfId="0" applyFont="1" applyFill="1" applyBorder="1" applyAlignment="1" applyProtection="1">
      <alignment/>
      <protection hidden="1"/>
    </xf>
    <xf numFmtId="169" fontId="5" fillId="3" borderId="23" xfId="0" applyNumberFormat="1" applyFont="1" applyFill="1" applyBorder="1" applyAlignment="1">
      <alignment/>
    </xf>
    <xf numFmtId="169" fontId="4" fillId="7" borderId="0" xfId="0" applyNumberFormat="1" applyFont="1" applyFill="1" applyBorder="1" applyAlignment="1">
      <alignment/>
    </xf>
    <xf numFmtId="3" fontId="4" fillId="7" borderId="23" xfId="0" applyNumberFormat="1" applyFont="1" applyFill="1" applyBorder="1" applyAlignment="1">
      <alignment horizontal="right"/>
    </xf>
    <xf numFmtId="3" fontId="5" fillId="3" borderId="23" xfId="0" applyNumberFormat="1" applyFont="1" applyFill="1" applyBorder="1" applyAlignment="1">
      <alignment horizontal="right"/>
    </xf>
    <xf numFmtId="3" fontId="4" fillId="0" borderId="23" xfId="0" applyNumberFormat="1" applyFont="1" applyBorder="1" applyAlignment="1">
      <alignment horizontal="right"/>
    </xf>
    <xf numFmtId="3" fontId="4" fillId="0" borderId="17" xfId="0" applyNumberFormat="1" applyFont="1" applyBorder="1" applyAlignment="1">
      <alignment/>
    </xf>
    <xf numFmtId="37" fontId="5" fillId="3" borderId="2" xfId="0" applyNumberFormat="1" applyFont="1" applyFill="1" applyBorder="1" applyAlignment="1" applyProtection="1">
      <alignment horizontal="center" vertical="center"/>
      <protection hidden="1"/>
    </xf>
    <xf numFmtId="178" fontId="4" fillId="0" borderId="24" xfId="34" applyFont="1" applyFill="1" applyBorder="1" applyAlignment="1" applyProtection="1">
      <alignment/>
      <protection/>
    </xf>
    <xf numFmtId="171" fontId="21" fillId="0" borderId="74" xfId="37" applyNumberFormat="1" applyFont="1" applyFill="1" applyBorder="1" applyAlignment="1" applyProtection="1">
      <alignment/>
      <protection/>
    </xf>
    <xf numFmtId="37" fontId="5" fillId="3" borderId="23" xfId="0" applyNumberFormat="1" applyFont="1" applyFill="1" applyBorder="1" applyAlignment="1">
      <alignment/>
    </xf>
    <xf numFmtId="3" fontId="5" fillId="3" borderId="17" xfId="0" applyNumberFormat="1" applyFont="1" applyFill="1" applyBorder="1" applyAlignment="1" applyProtection="1">
      <alignment/>
      <protection/>
    </xf>
    <xf numFmtId="166" fontId="5" fillId="3" borderId="23" xfId="0" applyNumberFormat="1" applyFont="1" applyFill="1" applyBorder="1" applyAlignment="1">
      <alignment/>
    </xf>
    <xf numFmtId="184" fontId="5" fillId="3" borderId="17" xfId="36" applyNumberFormat="1" applyFont="1" applyFill="1" applyBorder="1" applyAlignment="1" applyProtection="1">
      <alignment/>
      <protection/>
    </xf>
    <xf numFmtId="3" fontId="4" fillId="0" borderId="23" xfId="0" applyNumberFormat="1" applyFont="1" applyBorder="1" applyAlignment="1" applyProtection="1">
      <alignment/>
      <protection/>
    </xf>
    <xf numFmtId="3" fontId="4" fillId="7" borderId="38" xfId="0" applyNumberFormat="1" applyFont="1" applyFill="1" applyBorder="1" applyAlignment="1">
      <alignment horizontal="right"/>
    </xf>
    <xf numFmtId="3" fontId="4" fillId="0" borderId="24" xfId="34" applyNumberFormat="1" applyFont="1" applyFill="1" applyBorder="1" applyProtection="1">
      <alignment/>
      <protection locked="0"/>
    </xf>
    <xf numFmtId="3" fontId="5" fillId="3" borderId="23" xfId="37" applyNumberFormat="1" applyFont="1" applyBorder="1" applyAlignment="1" applyProtection="1">
      <alignment/>
      <protection/>
    </xf>
    <xf numFmtId="3" fontId="4" fillId="0" borderId="74" xfId="0" applyNumberFormat="1" applyFont="1" applyBorder="1" applyAlignment="1">
      <alignment/>
    </xf>
    <xf numFmtId="3" fontId="4" fillId="7" borderId="0" xfId="0" applyNumberFormat="1" applyFont="1" applyFill="1" applyBorder="1" applyAlignment="1">
      <alignment/>
    </xf>
    <xf numFmtId="3" fontId="4" fillId="0" borderId="0" xfId="0" applyNumberFormat="1" applyFont="1" applyBorder="1" applyAlignment="1">
      <alignment/>
    </xf>
    <xf numFmtId="3" fontId="4" fillId="7" borderId="25" xfId="0" applyNumberFormat="1" applyFont="1" applyFill="1" applyBorder="1" applyAlignment="1">
      <alignment/>
    </xf>
    <xf numFmtId="3" fontId="5" fillId="3" borderId="13" xfId="0" applyNumberFormat="1" applyFont="1" applyFill="1" applyBorder="1" applyAlignment="1">
      <alignment/>
    </xf>
    <xf numFmtId="178" fontId="5" fillId="3" borderId="23" xfId="0" applyNumberFormat="1" applyFont="1" applyFill="1" applyBorder="1" applyAlignment="1">
      <alignment/>
    </xf>
    <xf numFmtId="0" fontId="5" fillId="3" borderId="23" xfId="0" applyFont="1" applyFill="1" applyBorder="1" applyAlignment="1" applyProtection="1">
      <alignment/>
      <protection hidden="1"/>
    </xf>
    <xf numFmtId="0" fontId="5" fillId="0" borderId="23" xfId="0" applyFont="1" applyFill="1" applyBorder="1" applyAlignment="1" applyProtection="1">
      <alignment/>
      <protection hidden="1"/>
    </xf>
    <xf numFmtId="0" fontId="4" fillId="0" borderId="5" xfId="0" applyNumberFormat="1" applyFont="1" applyBorder="1" applyAlignment="1" applyProtection="1">
      <alignment vertical="center"/>
      <protection/>
    </xf>
    <xf numFmtId="3" fontId="5" fillId="3" borderId="25" xfId="0" applyNumberFormat="1" applyFont="1" applyFill="1" applyBorder="1" applyAlignment="1">
      <alignment/>
    </xf>
    <xf numFmtId="3" fontId="5" fillId="3" borderId="3" xfId="0" applyNumberFormat="1" applyFont="1" applyFill="1" applyBorder="1" applyAlignment="1">
      <alignment/>
    </xf>
    <xf numFmtId="0" fontId="4" fillId="0" borderId="0" xfId="0" applyFont="1" applyFill="1" applyBorder="1" applyAlignment="1">
      <alignment wrapText="1"/>
    </xf>
    <xf numFmtId="0" fontId="5" fillId="3" borderId="21" xfId="0" applyFont="1" applyFill="1" applyBorder="1" applyAlignment="1">
      <alignment horizontal="center" wrapText="1" shrinkToFit="1"/>
    </xf>
    <xf numFmtId="0" fontId="5" fillId="3" borderId="2" xfId="0" applyFont="1" applyFill="1" applyBorder="1" applyAlignment="1">
      <alignment horizontal="center" wrapText="1" shrinkToFit="1"/>
    </xf>
    <xf numFmtId="0" fontId="5" fillId="3" borderId="14" xfId="0" applyFont="1" applyFill="1" applyBorder="1" applyAlignment="1">
      <alignment horizontal="center" wrapText="1" shrinkToFit="1"/>
    </xf>
    <xf numFmtId="0" fontId="5" fillId="3" borderId="2" xfId="0" applyFont="1" applyFill="1" applyBorder="1" applyAlignment="1">
      <alignment/>
    </xf>
    <xf numFmtId="9" fontId="4" fillId="3" borderId="23" xfId="30" applyNumberFormat="1" applyFont="1" applyFill="1" applyBorder="1" applyAlignment="1">
      <alignment/>
    </xf>
    <xf numFmtId="37" fontId="4" fillId="7" borderId="0" xfId="0" applyNumberFormat="1" applyFont="1" applyFill="1" applyBorder="1" applyAlignment="1" applyProtection="1">
      <alignment/>
      <protection hidden="1"/>
    </xf>
    <xf numFmtId="178" fontId="4" fillId="7" borderId="0" xfId="34" applyFont="1" applyFill="1" applyBorder="1" applyAlignment="1" applyProtection="1">
      <alignment/>
      <protection/>
    </xf>
    <xf numFmtId="0" fontId="0" fillId="7" borderId="0" xfId="0" applyFill="1" applyBorder="1" applyAlignment="1">
      <alignment/>
    </xf>
    <xf numFmtId="37" fontId="5" fillId="7" borderId="0" xfId="0" applyNumberFormat="1" applyFont="1" applyFill="1" applyBorder="1" applyAlignment="1" applyProtection="1">
      <alignment/>
      <protection hidden="1"/>
    </xf>
    <xf numFmtId="171" fontId="21" fillId="7" borderId="0" xfId="37" applyNumberFormat="1" applyFont="1" applyFill="1" applyBorder="1" applyAlignment="1" applyProtection="1">
      <alignment/>
      <protection/>
    </xf>
    <xf numFmtId="0" fontId="0" fillId="0" borderId="0" xfId="33" applyBorder="1" applyAlignment="1">
      <alignment horizontal="left" vertical="center" wrapText="1"/>
      <protection/>
    </xf>
    <xf numFmtId="4" fontId="4" fillId="7" borderId="23" xfId="0" applyNumberFormat="1" applyFont="1" applyFill="1" applyBorder="1" applyAlignment="1" applyProtection="1">
      <alignment/>
      <protection/>
    </xf>
    <xf numFmtId="178" fontId="5" fillId="0" borderId="0" xfId="34" applyFont="1" applyFill="1" applyBorder="1" applyAlignment="1" applyProtection="1">
      <alignment horizontal="left"/>
      <protection hidden="1"/>
    </xf>
    <xf numFmtId="0" fontId="4" fillId="0" borderId="25" xfId="0" applyFont="1" applyFill="1" applyBorder="1" applyAlignment="1" applyProtection="1">
      <alignment/>
      <protection hidden="1"/>
    </xf>
    <xf numFmtId="0" fontId="4" fillId="0" borderId="17" xfId="0" applyFont="1" applyBorder="1" applyAlignment="1" applyProtection="1">
      <alignment/>
      <protection/>
    </xf>
    <xf numFmtId="0" fontId="5" fillId="0" borderId="0" xfId="0" applyFont="1" applyAlignment="1" applyProtection="1">
      <alignment/>
      <protection hidden="1"/>
    </xf>
    <xf numFmtId="9" fontId="4" fillId="0" borderId="24" xfId="30" applyFont="1" applyFill="1" applyBorder="1" applyAlignment="1" applyProtection="1">
      <alignment/>
      <protection locked="0"/>
    </xf>
    <xf numFmtId="9" fontId="4" fillId="3" borderId="23" xfId="30" applyFont="1" applyFill="1" applyBorder="1" applyAlignment="1">
      <alignment/>
    </xf>
    <xf numFmtId="3" fontId="4" fillId="3" borderId="23" xfId="0" applyNumberFormat="1" applyFont="1" applyFill="1" applyBorder="1" applyAlignment="1">
      <alignment/>
    </xf>
    <xf numFmtId="37" fontId="5" fillId="3" borderId="38" xfId="0" applyNumberFormat="1" applyFont="1" applyFill="1" applyBorder="1" applyAlignment="1" applyProtection="1">
      <alignment/>
      <protection hidden="1"/>
    </xf>
    <xf numFmtId="178" fontId="5" fillId="3" borderId="38" xfId="37" applyFont="1" applyBorder="1" applyProtection="1">
      <alignment/>
      <protection/>
    </xf>
    <xf numFmtId="178" fontId="5" fillId="7" borderId="38" xfId="37" applyFont="1" applyFill="1" applyBorder="1" applyProtection="1">
      <alignment/>
      <protection/>
    </xf>
    <xf numFmtId="0" fontId="4" fillId="0" borderId="25" xfId="0" applyFont="1" applyBorder="1" applyAlignment="1" applyProtection="1">
      <alignment/>
      <protection/>
    </xf>
    <xf numFmtId="1" fontId="4" fillId="0" borderId="23" xfId="0" applyNumberFormat="1" applyFont="1" applyBorder="1" applyAlignment="1" applyProtection="1">
      <alignment horizontal="center"/>
      <protection hidden="1"/>
    </xf>
    <xf numFmtId="1" fontId="4" fillId="0" borderId="24" xfId="0" applyNumberFormat="1" applyFont="1" applyBorder="1" applyAlignment="1" applyProtection="1">
      <alignment horizontal="center"/>
      <protection hidden="1"/>
    </xf>
    <xf numFmtId="167" fontId="4" fillId="0" borderId="0" xfId="0" applyNumberFormat="1" applyFont="1" applyFill="1" applyBorder="1" applyAlignment="1" applyProtection="1">
      <alignment horizontal="center"/>
      <protection/>
    </xf>
    <xf numFmtId="167" fontId="4" fillId="3" borderId="23" xfId="0" applyNumberFormat="1" applyFont="1" applyFill="1" applyBorder="1" applyAlignment="1" applyProtection="1">
      <alignment horizontal="center"/>
      <protection/>
    </xf>
    <xf numFmtId="0" fontId="4" fillId="0" borderId="25" xfId="0" applyFont="1" applyFill="1" applyBorder="1" applyAlignment="1" applyProtection="1">
      <alignment/>
      <protection hidden="1"/>
    </xf>
    <xf numFmtId="0" fontId="4" fillId="0" borderId="13" xfId="0" applyFont="1" applyFill="1" applyBorder="1" applyAlignment="1" applyProtection="1">
      <alignment wrapText="1"/>
      <protection hidden="1"/>
    </xf>
    <xf numFmtId="0" fontId="4" fillId="0" borderId="17" xfId="0" applyFont="1" applyBorder="1" applyAlignment="1" applyProtection="1">
      <alignment/>
      <protection hidden="1"/>
    </xf>
    <xf numFmtId="178" fontId="4" fillId="3" borderId="23" xfId="37" applyFont="1" applyBorder="1" applyProtection="1">
      <alignment/>
      <protection/>
    </xf>
    <xf numFmtId="178" fontId="4" fillId="7" borderId="23" xfId="37" applyFont="1" applyFill="1" applyBorder="1" applyProtection="1">
      <alignment/>
      <protection/>
    </xf>
    <xf numFmtId="0" fontId="5" fillId="3" borderId="3" xfId="0" applyFont="1" applyFill="1" applyBorder="1" applyAlignment="1" applyProtection="1">
      <alignment horizontal="center" vertical="center"/>
      <protection hidden="1"/>
    </xf>
    <xf numFmtId="0" fontId="5" fillId="3" borderId="21" xfId="0" applyFont="1" applyFill="1" applyBorder="1" applyAlignment="1" applyProtection="1">
      <alignment horizontal="center" vertical="center"/>
      <protection hidden="1"/>
    </xf>
    <xf numFmtId="0" fontId="5" fillId="0" borderId="23" xfId="0" applyNumberFormat="1" applyFont="1" applyBorder="1" applyAlignment="1" applyProtection="1">
      <alignment vertical="center"/>
      <protection hidden="1"/>
    </xf>
    <xf numFmtId="0" fontId="2" fillId="0" borderId="0" xfId="0" applyNumberFormat="1" applyFont="1" applyAlignment="1" applyProtection="1">
      <alignment/>
      <protection/>
    </xf>
    <xf numFmtId="173" fontId="4" fillId="0" borderId="23" xfId="0" applyNumberFormat="1" applyFont="1" applyFill="1" applyBorder="1" applyAlignment="1">
      <alignment/>
    </xf>
    <xf numFmtId="3" fontId="3" fillId="3" borderId="14" xfId="0" applyNumberFormat="1" applyFont="1" applyFill="1" applyBorder="1" applyAlignment="1" applyProtection="1">
      <alignment horizontal="left" vertical="center"/>
      <protection hidden="1"/>
    </xf>
    <xf numFmtId="0" fontId="4" fillId="3" borderId="14" xfId="0" applyFont="1" applyFill="1" applyBorder="1" applyAlignment="1">
      <alignment/>
    </xf>
    <xf numFmtId="178" fontId="5" fillId="0" borderId="23" xfId="0" applyNumberFormat="1" applyFont="1" applyBorder="1" applyAlignment="1">
      <alignment/>
    </xf>
    <xf numFmtId="167" fontId="4" fillId="0" borderId="23" xfId="0" applyNumberFormat="1" applyFont="1" applyFill="1" applyBorder="1" applyAlignment="1" applyProtection="1">
      <alignment horizontal="center"/>
      <protection hidden="1"/>
    </xf>
    <xf numFmtId="167" fontId="4" fillId="0" borderId="24" xfId="0" applyNumberFormat="1" applyFont="1" applyFill="1" applyBorder="1" applyAlignment="1" applyProtection="1">
      <alignment horizontal="center"/>
      <protection hidden="1"/>
    </xf>
    <xf numFmtId="3" fontId="4" fillId="0" borderId="23" xfId="0" applyNumberFormat="1" applyFont="1" applyBorder="1" applyAlignment="1" applyProtection="1">
      <alignment/>
      <protection hidden="1"/>
    </xf>
    <xf numFmtId="3" fontId="4" fillId="0" borderId="24" xfId="36" applyNumberFormat="1" applyFont="1" applyFill="1" applyBorder="1" applyProtection="1">
      <alignment/>
      <protection locked="0"/>
    </xf>
    <xf numFmtId="178" fontId="4" fillId="3" borderId="23" xfId="0" applyNumberFormat="1" applyFont="1" applyFill="1" applyBorder="1" applyAlignment="1" applyProtection="1">
      <alignment/>
      <protection/>
    </xf>
    <xf numFmtId="3" fontId="5" fillId="3" borderId="23" xfId="0" applyNumberFormat="1" applyFont="1" applyFill="1" applyBorder="1" applyAlignment="1" applyProtection="1">
      <alignment/>
      <protection/>
    </xf>
    <xf numFmtId="0" fontId="4" fillId="0" borderId="0" xfId="0" applyFont="1" applyAlignment="1">
      <alignment horizontal="justify" vertical="top"/>
    </xf>
    <xf numFmtId="186" fontId="5" fillId="3" borderId="23" xfId="0" applyNumberFormat="1" applyFont="1" applyFill="1" applyBorder="1" applyAlignment="1">
      <alignment horizontal="left"/>
    </xf>
    <xf numFmtId="0" fontId="1" fillId="0" borderId="0" xfId="0" applyFont="1" applyAlignment="1">
      <alignment/>
    </xf>
    <xf numFmtId="0" fontId="2" fillId="0" borderId="0" xfId="0" applyFont="1" applyAlignment="1">
      <alignment/>
    </xf>
    <xf numFmtId="0" fontId="5" fillId="0" borderId="26" xfId="0" applyFont="1" applyFill="1" applyBorder="1" applyAlignment="1">
      <alignment/>
    </xf>
    <xf numFmtId="0" fontId="5" fillId="0" borderId="26" xfId="0" applyFont="1" applyFill="1" applyBorder="1" applyAlignment="1">
      <alignment horizontal="center"/>
    </xf>
    <xf numFmtId="1" fontId="5" fillId="3" borderId="14" xfId="0" applyNumberFormat="1" applyFont="1" applyFill="1" applyBorder="1" applyAlignment="1">
      <alignment horizontal="center"/>
    </xf>
    <xf numFmtId="178" fontId="4" fillId="0" borderId="23" xfId="0" applyNumberFormat="1" applyFont="1" applyBorder="1" applyAlignment="1">
      <alignment/>
    </xf>
    <xf numFmtId="3" fontId="4" fillId="0" borderId="0" xfId="0" applyNumberFormat="1" applyFont="1" applyFill="1" applyBorder="1" applyAlignment="1">
      <alignment horizontal="right"/>
    </xf>
    <xf numFmtId="3" fontId="4" fillId="0" borderId="0" xfId="0" applyNumberFormat="1" applyFont="1" applyFill="1" applyBorder="1" applyAlignment="1">
      <alignment/>
    </xf>
    <xf numFmtId="37" fontId="5" fillId="0" borderId="17" xfId="0" applyNumberFormat="1" applyFont="1" applyFill="1" applyBorder="1" applyAlignment="1" applyProtection="1">
      <alignment/>
      <protection hidden="1"/>
    </xf>
    <xf numFmtId="37" fontId="5" fillId="0" borderId="13" xfId="0" applyNumberFormat="1" applyFont="1" applyFill="1" applyBorder="1" applyAlignment="1" applyProtection="1">
      <alignment/>
      <protection hidden="1"/>
    </xf>
    <xf numFmtId="0" fontId="0" fillId="0" borderId="0" xfId="0" applyFont="1" applyAlignment="1">
      <alignment/>
    </xf>
    <xf numFmtId="0" fontId="0" fillId="0" borderId="50" xfId="0" applyFont="1" applyBorder="1" applyAlignment="1">
      <alignment/>
    </xf>
    <xf numFmtId="0" fontId="0" fillId="0" borderId="37" xfId="0" applyFont="1" applyBorder="1" applyAlignment="1">
      <alignment/>
    </xf>
    <xf numFmtId="0" fontId="27" fillId="0" borderId="0" xfId="0" applyFont="1" applyAlignment="1">
      <alignment/>
    </xf>
    <xf numFmtId="0" fontId="0" fillId="0" borderId="3" xfId="0" applyFont="1" applyBorder="1" applyAlignment="1">
      <alignment horizontal="center"/>
    </xf>
    <xf numFmtId="0" fontId="0" fillId="0" borderId="0" xfId="0" applyFont="1" applyBorder="1" applyAlignment="1">
      <alignment/>
    </xf>
    <xf numFmtId="0" fontId="5" fillId="3" borderId="51" xfId="0" applyFont="1" applyFill="1" applyBorder="1" applyAlignment="1">
      <alignment horizontal="center"/>
    </xf>
    <xf numFmtId="0" fontId="5" fillId="3" borderId="50" xfId="0" applyFont="1" applyFill="1" applyBorder="1" applyAlignment="1">
      <alignment horizontal="center"/>
    </xf>
    <xf numFmtId="0" fontId="5" fillId="0" borderId="0" xfId="0" applyFont="1" applyAlignment="1">
      <alignment horizontal="center"/>
    </xf>
    <xf numFmtId="169" fontId="4" fillId="0" borderId="0" xfId="0" applyNumberFormat="1" applyFont="1" applyBorder="1" applyAlignment="1">
      <alignment/>
    </xf>
    <xf numFmtId="10" fontId="5" fillId="3" borderId="21" xfId="0" applyNumberFormat="1" applyFont="1" applyFill="1" applyBorder="1" applyAlignment="1">
      <alignment horizontal="center"/>
    </xf>
    <xf numFmtId="0" fontId="5" fillId="3" borderId="64" xfId="0" applyFont="1" applyFill="1" applyBorder="1" applyAlignment="1">
      <alignment horizontal="center"/>
    </xf>
    <xf numFmtId="10" fontId="5" fillId="3" borderId="2" xfId="0" applyNumberFormat="1" applyFont="1" applyFill="1" applyBorder="1" applyAlignment="1">
      <alignment horizontal="center"/>
    </xf>
    <xf numFmtId="10" fontId="5" fillId="3" borderId="14" xfId="0" applyNumberFormat="1" applyFont="1" applyFill="1" applyBorder="1" applyAlignment="1">
      <alignment horizontal="center"/>
    </xf>
    <xf numFmtId="9" fontId="4" fillId="0" borderId="23" xfId="0" applyNumberFormat="1" applyFont="1" applyFill="1" applyBorder="1" applyAlignment="1" applyProtection="1">
      <alignment/>
      <protection/>
    </xf>
    <xf numFmtId="169" fontId="4" fillId="7" borderId="23" xfId="0" applyNumberFormat="1" applyFont="1" applyFill="1" applyBorder="1" applyAlignment="1" applyProtection="1">
      <alignment/>
      <protection/>
    </xf>
    <xf numFmtId="10" fontId="4" fillId="0" borderId="0" xfId="0" applyNumberFormat="1" applyFont="1" applyBorder="1" applyAlignment="1">
      <alignment/>
    </xf>
    <xf numFmtId="169" fontId="4" fillId="7" borderId="0" xfId="0" applyNumberFormat="1" applyFont="1" applyFill="1" applyBorder="1" applyAlignment="1" applyProtection="1">
      <alignment/>
      <protection/>
    </xf>
    <xf numFmtId="186" fontId="4" fillId="0" borderId="5" xfId="0" applyNumberFormat="1" applyFont="1" applyBorder="1" applyAlignment="1" applyProtection="1">
      <alignment horizontal="right" vertical="center"/>
      <protection hidden="1"/>
    </xf>
    <xf numFmtId="9" fontId="4" fillId="7" borderId="0" xfId="0" applyNumberFormat="1" applyFont="1" applyFill="1" applyBorder="1" applyAlignment="1">
      <alignment/>
    </xf>
    <xf numFmtId="178" fontId="4" fillId="0" borderId="23" xfId="0" applyNumberFormat="1" applyFont="1" applyBorder="1" applyAlignment="1">
      <alignment/>
    </xf>
    <xf numFmtId="3" fontId="4" fillId="0" borderId="23" xfId="0" applyNumberFormat="1" applyFont="1" applyBorder="1" applyAlignment="1">
      <alignment/>
    </xf>
    <xf numFmtId="0" fontId="5" fillId="0" borderId="0" xfId="0" applyFont="1" applyFill="1" applyBorder="1" applyAlignment="1">
      <alignment horizontal="center"/>
    </xf>
    <xf numFmtId="37" fontId="5" fillId="3" borderId="25" xfId="0" applyNumberFormat="1" applyFont="1" applyFill="1" applyBorder="1" applyAlignment="1" applyProtection="1">
      <alignment horizontal="left"/>
      <protection hidden="1"/>
    </xf>
    <xf numFmtId="37" fontId="5" fillId="3" borderId="13" xfId="0" applyNumberFormat="1" applyFont="1" applyFill="1" applyBorder="1" applyAlignment="1" applyProtection="1">
      <alignment horizontal="left"/>
      <protection hidden="1"/>
    </xf>
    <xf numFmtId="37" fontId="5" fillId="3" borderId="17" xfId="0" applyNumberFormat="1" applyFont="1" applyFill="1" applyBorder="1" applyAlignment="1" applyProtection="1">
      <alignment horizontal="left"/>
      <protection hidden="1"/>
    </xf>
    <xf numFmtId="3" fontId="4" fillId="7" borderId="52" xfId="0" applyNumberFormat="1" applyFont="1" applyFill="1" applyBorder="1" applyAlignment="1">
      <alignment horizontal="center"/>
    </xf>
    <xf numFmtId="3" fontId="4" fillId="7" borderId="31" xfId="0" applyNumberFormat="1" applyFont="1" applyFill="1" applyBorder="1" applyAlignment="1">
      <alignment horizontal="center"/>
    </xf>
    <xf numFmtId="0" fontId="4" fillId="0" borderId="23" xfId="0" applyFont="1" applyBorder="1" applyAlignment="1" applyProtection="1">
      <alignment/>
      <protection/>
    </xf>
    <xf numFmtId="0" fontId="4" fillId="0" borderId="13" xfId="0" applyFont="1" applyBorder="1" applyAlignment="1">
      <alignment horizontal="left"/>
    </xf>
    <xf numFmtId="0" fontId="4" fillId="0" borderId="17" xfId="0" applyFont="1" applyBorder="1" applyAlignment="1">
      <alignment horizontal="left"/>
    </xf>
    <xf numFmtId="0" fontId="4" fillId="7" borderId="49" xfId="0" applyFont="1" applyFill="1" applyBorder="1" applyAlignment="1">
      <alignment/>
    </xf>
    <xf numFmtId="0" fontId="4" fillId="7" borderId="32" xfId="0" applyFont="1" applyFill="1" applyBorder="1" applyAlignment="1">
      <alignment horizontal="right"/>
    </xf>
    <xf numFmtId="0" fontId="4" fillId="7" borderId="25" xfId="0" applyFont="1" applyFill="1" applyBorder="1" applyAlignment="1">
      <alignment/>
    </xf>
    <xf numFmtId="9" fontId="4" fillId="7" borderId="13" xfId="0" applyNumberFormat="1" applyFont="1" applyFill="1" applyBorder="1" applyAlignment="1">
      <alignment/>
    </xf>
    <xf numFmtId="0" fontId="21" fillId="3" borderId="75" xfId="0" applyFont="1" applyFill="1" applyBorder="1" applyAlignment="1">
      <alignment/>
    </xf>
    <xf numFmtId="9" fontId="21" fillId="3" borderId="26" xfId="0" applyNumberFormat="1" applyFont="1" applyFill="1" applyBorder="1" applyAlignment="1">
      <alignment/>
    </xf>
    <xf numFmtId="2" fontId="21" fillId="3" borderId="25" xfId="0" applyNumberFormat="1" applyFont="1" applyFill="1" applyBorder="1" applyAlignment="1">
      <alignment/>
    </xf>
    <xf numFmtId="2" fontId="21" fillId="3" borderId="23" xfId="0" applyNumberFormat="1" applyFont="1" applyFill="1" applyBorder="1" applyAlignment="1">
      <alignment/>
    </xf>
    <xf numFmtId="9" fontId="21" fillId="0" borderId="0" xfId="0" applyNumberFormat="1" applyFont="1" applyFill="1" applyBorder="1" applyAlignment="1">
      <alignment/>
    </xf>
    <xf numFmtId="0" fontId="21" fillId="0" borderId="0" xfId="0" applyFont="1" applyFill="1" applyBorder="1" applyAlignment="1">
      <alignment horizontal="center"/>
    </xf>
    <xf numFmtId="0" fontId="21" fillId="0" borderId="0" xfId="0" applyFont="1" applyFill="1" applyBorder="1" applyAlignment="1">
      <alignment/>
    </xf>
    <xf numFmtId="2" fontId="21" fillId="0" borderId="0" xfId="0" applyNumberFormat="1" applyFont="1" applyFill="1" applyBorder="1" applyAlignment="1">
      <alignment/>
    </xf>
    <xf numFmtId="0" fontId="21" fillId="3" borderId="26" xfId="0" applyFont="1" applyFill="1" applyBorder="1" applyAlignment="1">
      <alignment/>
    </xf>
    <xf numFmtId="0" fontId="5" fillId="3" borderId="76" xfId="0" applyFont="1" applyFill="1" applyBorder="1" applyAlignment="1">
      <alignment horizontal="center"/>
    </xf>
    <xf numFmtId="37" fontId="4" fillId="0" borderId="3" xfId="0" applyNumberFormat="1" applyFont="1" applyBorder="1" applyAlignment="1">
      <alignment/>
    </xf>
    <xf numFmtId="37" fontId="4" fillId="0" borderId="3" xfId="0" applyNumberFormat="1" applyFont="1" applyBorder="1" applyAlignment="1">
      <alignment horizontal="right"/>
    </xf>
    <xf numFmtId="166" fontId="4" fillId="0" borderId="3" xfId="0" applyNumberFormat="1" applyFont="1" applyBorder="1" applyAlignment="1">
      <alignment/>
    </xf>
    <xf numFmtId="3" fontId="4" fillId="0" borderId="3" xfId="0" applyNumberFormat="1" applyFont="1" applyBorder="1" applyAlignment="1">
      <alignment horizontal="right"/>
    </xf>
    <xf numFmtId="37" fontId="4" fillId="0" borderId="0" xfId="0" applyNumberFormat="1" applyFont="1" applyBorder="1" applyAlignment="1">
      <alignment horizontal="right"/>
    </xf>
    <xf numFmtId="3" fontId="4" fillId="0" borderId="0" xfId="0" applyNumberFormat="1" applyFont="1" applyBorder="1" applyAlignment="1">
      <alignment horizontal="right"/>
    </xf>
    <xf numFmtId="178" fontId="4" fillId="0" borderId="24" xfId="34" applyFont="1" applyFill="1" applyBorder="1" applyProtection="1" quotePrefix="1">
      <alignment/>
      <protection/>
    </xf>
    <xf numFmtId="0" fontId="5" fillId="0" borderId="13" xfId="0" applyFont="1" applyFill="1" applyBorder="1" applyAlignment="1" applyProtection="1">
      <alignment horizontal="left"/>
      <protection hidden="1"/>
    </xf>
    <xf numFmtId="43" fontId="0" fillId="0" borderId="0" xfId="19" applyFont="1" applyAlignment="1" applyProtection="1">
      <alignment/>
      <protection/>
    </xf>
    <xf numFmtId="43" fontId="0" fillId="0" borderId="0" xfId="19" applyFont="1" applyAlignment="1">
      <alignment/>
    </xf>
    <xf numFmtId="173" fontId="0" fillId="0" borderId="0" xfId="30" applyNumberFormat="1" applyFont="1" applyAlignment="1" applyProtection="1">
      <alignment/>
      <protection/>
    </xf>
    <xf numFmtId="0" fontId="5" fillId="0" borderId="32" xfId="0" applyFont="1" applyFill="1" applyBorder="1" applyAlignment="1">
      <alignment horizontal="center"/>
    </xf>
    <xf numFmtId="178" fontId="4" fillId="0" borderId="25" xfId="34" applyFont="1" applyFill="1" applyBorder="1" applyAlignment="1" applyProtection="1">
      <alignment horizontal="right"/>
      <protection locked="0"/>
    </xf>
    <xf numFmtId="0" fontId="4" fillId="0" borderId="25" xfId="0" applyFont="1" applyBorder="1" applyAlignment="1">
      <alignment/>
    </xf>
    <xf numFmtId="0" fontId="4" fillId="0" borderId="13" xfId="0" applyFont="1" applyBorder="1" applyAlignment="1">
      <alignment/>
    </xf>
    <xf numFmtId="0" fontId="5" fillId="3" borderId="25" xfId="0" applyFont="1" applyFill="1" applyBorder="1" applyAlignment="1">
      <alignment/>
    </xf>
    <xf numFmtId="0" fontId="5" fillId="3" borderId="13" xfId="0" applyFont="1" applyFill="1" applyBorder="1" applyAlignment="1">
      <alignment/>
    </xf>
    <xf numFmtId="1" fontId="4" fillId="0" borderId="25" xfId="0" applyNumberFormat="1" applyFont="1" applyFill="1" applyBorder="1" applyAlignment="1" applyProtection="1">
      <alignment horizontal="left"/>
      <protection hidden="1"/>
    </xf>
    <xf numFmtId="1" fontId="4" fillId="0" borderId="13" xfId="0" applyNumberFormat="1" applyFont="1" applyFill="1" applyBorder="1" applyAlignment="1" applyProtection="1">
      <alignment horizontal="left"/>
      <protection hidden="1"/>
    </xf>
    <xf numFmtId="1" fontId="4" fillId="0" borderId="17" xfId="0" applyNumberFormat="1" applyFont="1" applyFill="1" applyBorder="1" applyAlignment="1" applyProtection="1">
      <alignment horizontal="left"/>
      <protection hidden="1"/>
    </xf>
    <xf numFmtId="0" fontId="5" fillId="0" borderId="0" xfId="0" applyFont="1" applyFill="1" applyAlignment="1">
      <alignment/>
    </xf>
    <xf numFmtId="1" fontId="4" fillId="0" borderId="23" xfId="0" applyNumberFormat="1" applyFont="1" applyFill="1" applyBorder="1" applyAlignment="1" applyProtection="1">
      <alignment horizontal="center"/>
      <protection hidden="1"/>
    </xf>
    <xf numFmtId="1" fontId="4" fillId="0" borderId="24" xfId="0" applyNumberFormat="1" applyFont="1" applyFill="1" applyBorder="1" applyAlignment="1" applyProtection="1">
      <alignment horizontal="center"/>
      <protection hidden="1"/>
    </xf>
    <xf numFmtId="0" fontId="4" fillId="0" borderId="3" xfId="0" applyNumberFormat="1" applyFont="1" applyFill="1" applyBorder="1" applyAlignment="1" applyProtection="1">
      <alignment vertical="center"/>
      <protection locked="0"/>
    </xf>
    <xf numFmtId="4" fontId="4" fillId="0" borderId="23" xfId="34" applyNumberFormat="1" applyFont="1" applyFill="1" applyBorder="1" applyProtection="1">
      <alignment/>
      <protection locked="0"/>
    </xf>
    <xf numFmtId="9" fontId="4" fillId="0" borderId="23" xfId="34" applyNumberFormat="1" applyFont="1" applyFill="1" applyBorder="1" applyProtection="1">
      <alignment/>
      <protection locked="0"/>
    </xf>
    <xf numFmtId="0" fontId="4" fillId="0" borderId="23" xfId="0" applyFont="1" applyBorder="1" applyAlignment="1" applyProtection="1">
      <alignment horizontal="left"/>
      <protection locked="0"/>
    </xf>
    <xf numFmtId="2" fontId="4" fillId="0" borderId="25" xfId="34" applyNumberFormat="1" applyFont="1" applyFill="1" applyBorder="1" applyProtection="1">
      <alignment/>
      <protection locked="0"/>
    </xf>
    <xf numFmtId="2" fontId="4" fillId="0" borderId="23" xfId="0" applyNumberFormat="1" applyFont="1" applyBorder="1" applyAlignment="1">
      <alignment/>
    </xf>
    <xf numFmtId="0" fontId="4" fillId="0" borderId="23" xfId="0" applyFont="1" applyBorder="1" applyAlignment="1" applyProtection="1">
      <alignment horizontal="left"/>
      <protection hidden="1"/>
    </xf>
    <xf numFmtId="0" fontId="4" fillId="0" borderId="74" xfId="0" applyFont="1" applyBorder="1" applyAlignment="1" applyProtection="1">
      <alignment/>
      <protection hidden="1"/>
    </xf>
    <xf numFmtId="0" fontId="5" fillId="0" borderId="26" xfId="0" applyFont="1" applyBorder="1" applyAlignment="1" applyProtection="1">
      <alignment horizontal="left" vertical="center"/>
      <protection hidden="1"/>
    </xf>
    <xf numFmtId="0" fontId="5" fillId="0" borderId="47" xfId="0" applyFont="1" applyBorder="1" applyAlignment="1" applyProtection="1">
      <alignment horizontal="left" vertical="center"/>
      <protection hidden="1"/>
    </xf>
    <xf numFmtId="37" fontId="4" fillId="0" borderId="40" xfId="0" applyNumberFormat="1" applyFont="1" applyFill="1" applyBorder="1" applyAlignment="1" applyProtection="1">
      <alignment horizontal="right" vertical="center"/>
      <protection locked="0"/>
    </xf>
    <xf numFmtId="37" fontId="4" fillId="0" borderId="18" xfId="0" applyNumberFormat="1" applyFont="1" applyFill="1" applyBorder="1" applyAlignment="1" applyProtection="1">
      <alignment horizontal="right" vertical="center"/>
      <protection locked="0"/>
    </xf>
    <xf numFmtId="15" fontId="4" fillId="0" borderId="30" xfId="0" applyNumberFormat="1" applyFont="1" applyFill="1" applyBorder="1" applyAlignment="1" applyProtection="1" quotePrefix="1">
      <alignment horizontal="right" vertical="center"/>
      <protection locked="0"/>
    </xf>
    <xf numFmtId="15" fontId="4" fillId="0" borderId="18" xfId="0" applyNumberFormat="1" applyFont="1" applyFill="1" applyBorder="1" applyAlignment="1" applyProtection="1" quotePrefix="1">
      <alignment horizontal="right" vertical="center"/>
      <protection locked="0"/>
    </xf>
    <xf numFmtId="37" fontId="4" fillId="0" borderId="18" xfId="0" applyNumberFormat="1" applyFont="1" applyFill="1" applyBorder="1" applyAlignment="1" applyProtection="1">
      <alignment horizontal="left" vertical="center"/>
      <protection locked="0"/>
    </xf>
    <xf numFmtId="37" fontId="4" fillId="0" borderId="65" xfId="0" applyNumberFormat="1" applyFont="1" applyFill="1" applyBorder="1" applyAlignment="1" applyProtection="1">
      <alignment horizontal="left" vertical="center"/>
      <protection locked="0"/>
    </xf>
    <xf numFmtId="37" fontId="4" fillId="0" borderId="36" xfId="0" applyNumberFormat="1" applyFont="1" applyFill="1" applyBorder="1" applyAlignment="1" applyProtection="1">
      <alignment horizontal="left" vertical="center"/>
      <protection locked="0"/>
    </xf>
    <xf numFmtId="37" fontId="4" fillId="0" borderId="77" xfId="0" applyNumberFormat="1" applyFont="1" applyFill="1" applyBorder="1" applyAlignment="1" applyProtection="1">
      <alignment horizontal="left" vertical="center"/>
      <protection locked="0"/>
    </xf>
    <xf numFmtId="37" fontId="4" fillId="0" borderId="75" xfId="0" applyNumberFormat="1" applyFont="1" applyFill="1" applyBorder="1" applyAlignment="1" applyProtection="1">
      <alignment horizontal="left" vertical="center"/>
      <protection locked="0"/>
    </xf>
    <xf numFmtId="37" fontId="4" fillId="0" borderId="26" xfId="0" applyNumberFormat="1" applyFont="1" applyFill="1" applyBorder="1" applyAlignment="1" applyProtection="1">
      <alignment horizontal="left" vertical="center"/>
      <protection locked="0"/>
    </xf>
    <xf numFmtId="37" fontId="4" fillId="0" borderId="71" xfId="0" applyNumberFormat="1" applyFont="1" applyFill="1" applyBorder="1" applyAlignment="1" applyProtection="1">
      <alignment horizontal="left" vertical="center"/>
      <protection locked="0"/>
    </xf>
    <xf numFmtId="0" fontId="4" fillId="0" borderId="28" xfId="0" applyFont="1" applyBorder="1" applyAlignment="1" applyProtection="1">
      <alignment horizontal="left" vertical="center"/>
      <protection/>
    </xf>
    <xf numFmtId="0" fontId="4" fillId="0" borderId="36" xfId="0" applyFont="1" applyBorder="1" applyAlignment="1" applyProtection="1">
      <alignment horizontal="left" vertical="center"/>
      <protection/>
    </xf>
    <xf numFmtId="0" fontId="5" fillId="0" borderId="78" xfId="0" applyFont="1" applyBorder="1" applyAlignment="1" applyProtection="1">
      <alignment horizontal="left" vertical="center"/>
      <protection hidden="1"/>
    </xf>
    <xf numFmtId="37" fontId="4" fillId="0" borderId="25" xfId="0" applyNumberFormat="1" applyFont="1" applyFill="1" applyBorder="1" applyAlignment="1" applyProtection="1">
      <alignment horizontal="left" vertical="center"/>
      <protection locked="0"/>
    </xf>
    <xf numFmtId="37" fontId="4" fillId="0" borderId="13" xfId="0" applyNumberFormat="1" applyFont="1" applyFill="1" applyBorder="1" applyAlignment="1" applyProtection="1">
      <alignment horizontal="left" vertical="center"/>
      <protection locked="0"/>
    </xf>
    <xf numFmtId="37" fontId="4" fillId="0" borderId="76" xfId="0" applyNumberFormat="1" applyFont="1" applyFill="1" applyBorder="1" applyAlignment="1" applyProtection="1">
      <alignment horizontal="left" vertical="center"/>
      <protection locked="0"/>
    </xf>
    <xf numFmtId="37" fontId="4" fillId="0" borderId="40" xfId="0" applyNumberFormat="1" applyFont="1" applyFill="1" applyBorder="1" applyAlignment="1" applyProtection="1">
      <alignment horizontal="left" vertical="center"/>
      <protection locked="0"/>
    </xf>
    <xf numFmtId="0" fontId="4" fillId="0" borderId="18" xfId="0" applyFont="1" applyBorder="1" applyAlignment="1" applyProtection="1">
      <alignment horizontal="left" vertical="center"/>
      <protection hidden="1"/>
    </xf>
    <xf numFmtId="0" fontId="4" fillId="0" borderId="19" xfId="0" applyFont="1" applyBorder="1" applyAlignment="1" applyProtection="1">
      <alignment horizontal="left" vertical="center"/>
      <protection hidden="1"/>
    </xf>
    <xf numFmtId="37" fontId="4" fillId="0" borderId="79" xfId="0" applyNumberFormat="1" applyFont="1" applyFill="1" applyBorder="1" applyAlignment="1" applyProtection="1">
      <alignment horizontal="left" vertical="center"/>
      <protection locked="0"/>
    </xf>
    <xf numFmtId="37" fontId="4" fillId="0" borderId="48" xfId="0" applyNumberFormat="1" applyFont="1" applyFill="1" applyBorder="1" applyAlignment="1" applyProtection="1">
      <alignment horizontal="left" vertical="center"/>
      <protection locked="0"/>
    </xf>
    <xf numFmtId="37" fontId="4" fillId="0" borderId="63" xfId="0" applyNumberFormat="1" applyFont="1" applyFill="1" applyBorder="1" applyAlignment="1" applyProtection="1">
      <alignment horizontal="left" vertical="center"/>
      <protection locked="0"/>
    </xf>
    <xf numFmtId="0" fontId="5" fillId="0" borderId="62" xfId="0" applyFont="1" applyBorder="1" applyAlignment="1" applyProtection="1">
      <alignment horizontal="left" vertical="center"/>
      <protection hidden="1"/>
    </xf>
    <xf numFmtId="0" fontId="5" fillId="0" borderId="48" xfId="0" applyFont="1" applyBorder="1" applyAlignment="1" applyProtection="1">
      <alignment horizontal="left" vertical="center"/>
      <protection hidden="1"/>
    </xf>
    <xf numFmtId="0" fontId="5" fillId="0" borderId="39" xfId="0" applyFont="1" applyBorder="1" applyAlignment="1" applyProtection="1">
      <alignment horizontal="left" vertical="center"/>
      <protection hidden="1"/>
    </xf>
    <xf numFmtId="0" fontId="4" fillId="0" borderId="29" xfId="0" applyFont="1" applyBorder="1" applyAlignment="1" applyProtection="1">
      <alignment horizontal="left" vertical="center"/>
      <protection hidden="1"/>
    </xf>
    <xf numFmtId="0" fontId="4" fillId="0" borderId="13" xfId="0" applyFont="1" applyBorder="1" applyAlignment="1" applyProtection="1">
      <alignment horizontal="left" vertical="center"/>
      <protection hidden="1"/>
    </xf>
    <xf numFmtId="0" fontId="4" fillId="0" borderId="17" xfId="0" applyFont="1" applyBorder="1" applyAlignment="1" applyProtection="1">
      <alignment horizontal="left" vertical="center"/>
      <protection hidden="1"/>
    </xf>
    <xf numFmtId="0" fontId="4" fillId="0" borderId="30" xfId="0" applyFont="1" applyBorder="1" applyAlignment="1" applyProtection="1">
      <alignment horizontal="left" vertical="center"/>
      <protection hidden="1"/>
    </xf>
    <xf numFmtId="0" fontId="0" fillId="0" borderId="0" xfId="0" applyBorder="1" applyAlignment="1" applyProtection="1">
      <alignment horizontal="justify" vertical="top" wrapText="1"/>
      <protection hidden="1"/>
    </xf>
    <xf numFmtId="0" fontId="0" fillId="0" borderId="0" xfId="0" applyBorder="1" applyAlignment="1" applyProtection="1">
      <alignment horizontal="justify" wrapText="1"/>
      <protection hidden="1"/>
    </xf>
    <xf numFmtId="0" fontId="5" fillId="0" borderId="80" xfId="0" applyFont="1" applyBorder="1" applyAlignment="1" applyProtection="1">
      <alignment horizontal="left" vertical="center"/>
      <protection hidden="1"/>
    </xf>
    <xf numFmtId="0" fontId="5" fillId="0" borderId="61" xfId="0" applyFont="1" applyBorder="1" applyAlignment="1" applyProtection="1">
      <alignment horizontal="left" vertical="center"/>
      <protection hidden="1"/>
    </xf>
    <xf numFmtId="37" fontId="4" fillId="0" borderId="61" xfId="0" applyNumberFormat="1" applyFont="1" applyFill="1" applyBorder="1" applyAlignment="1" applyProtection="1">
      <alignment horizontal="left" vertical="center"/>
      <protection locked="0"/>
    </xf>
    <xf numFmtId="37" fontId="4" fillId="0" borderId="81" xfId="0" applyNumberFormat="1" applyFont="1" applyFill="1" applyBorder="1" applyAlignment="1" applyProtection="1">
      <alignment horizontal="left" vertical="center"/>
      <protection locked="0"/>
    </xf>
    <xf numFmtId="37" fontId="4" fillId="0" borderId="23" xfId="0" applyNumberFormat="1" applyFont="1" applyFill="1" applyBorder="1" applyAlignment="1" applyProtection="1">
      <alignment horizontal="left" vertical="center"/>
      <protection locked="0"/>
    </xf>
    <xf numFmtId="37" fontId="4" fillId="0" borderId="82" xfId="0" applyNumberFormat="1" applyFont="1" applyFill="1" applyBorder="1" applyAlignment="1" applyProtection="1">
      <alignment horizontal="left" vertical="center"/>
      <protection locked="0"/>
    </xf>
    <xf numFmtId="0" fontId="4" fillId="0" borderId="27" xfId="0" applyFont="1" applyBorder="1" applyAlignment="1" applyProtection="1">
      <alignment horizontal="left" vertical="center"/>
      <protection hidden="1"/>
    </xf>
    <xf numFmtId="0" fontId="4" fillId="0" borderId="23" xfId="0" applyFont="1" applyBorder="1" applyAlignment="1" applyProtection="1">
      <alignment horizontal="left" vertical="center"/>
      <protection hidden="1"/>
    </xf>
    <xf numFmtId="0" fontId="0" fillId="0" borderId="0" xfId="0" applyBorder="1" applyAlignment="1" applyProtection="1">
      <alignment horizontal="left" vertical="top" wrapText="1"/>
      <protection hidden="1"/>
    </xf>
    <xf numFmtId="0" fontId="0" fillId="0" borderId="0" xfId="0" applyAlignment="1" applyProtection="1">
      <alignment horizontal="left" vertical="top" wrapText="1"/>
      <protection hidden="1"/>
    </xf>
    <xf numFmtId="14" fontId="4" fillId="0" borderId="16" xfId="0" applyNumberFormat="1" applyFont="1" applyBorder="1" applyAlignment="1" applyProtection="1" quotePrefix="1">
      <alignment horizontal="center" wrapText="1"/>
      <protection hidden="1"/>
    </xf>
    <xf numFmtId="0" fontId="4" fillId="0" borderId="5" xfId="0" applyFont="1" applyBorder="1" applyAlignment="1" applyProtection="1">
      <alignment horizontal="center" wrapText="1"/>
      <protection hidden="1"/>
    </xf>
    <xf numFmtId="0" fontId="4" fillId="0" borderId="7" xfId="0" applyFont="1" applyBorder="1" applyAlignment="1" applyProtection="1">
      <alignment horizontal="center" wrapText="1"/>
      <protection hidden="1"/>
    </xf>
    <xf numFmtId="0" fontId="4" fillId="0" borderId="16" xfId="0" applyFont="1" applyBorder="1" applyAlignment="1" applyProtection="1">
      <alignment horizontal="center" wrapText="1"/>
      <protection hidden="1"/>
    </xf>
    <xf numFmtId="0" fontId="5" fillId="0" borderId="16" xfId="0" applyFont="1" applyBorder="1" applyAlignment="1" applyProtection="1">
      <alignment horizontal="center" wrapText="1"/>
      <protection hidden="1"/>
    </xf>
    <xf numFmtId="0" fontId="5" fillId="0" borderId="5" xfId="0" applyFont="1" applyBorder="1" applyAlignment="1" applyProtection="1">
      <alignment horizontal="center" wrapText="1"/>
      <protection hidden="1"/>
    </xf>
    <xf numFmtId="0" fontId="5" fillId="0" borderId="7" xfId="0" applyFont="1" applyBorder="1" applyAlignment="1" applyProtection="1">
      <alignment horizontal="center" wrapText="1"/>
      <protection hidden="1"/>
    </xf>
    <xf numFmtId="0" fontId="4" fillId="0" borderId="0" xfId="0" applyFont="1" applyBorder="1" applyAlignment="1" applyProtection="1">
      <alignment horizontal="justify" wrapText="1"/>
      <protection hidden="1"/>
    </xf>
    <xf numFmtId="0" fontId="0" fillId="0" borderId="0" xfId="0" applyAlignment="1" applyProtection="1">
      <alignment horizontal="justify" wrapText="1"/>
      <protection hidden="1"/>
    </xf>
    <xf numFmtId="0" fontId="5" fillId="0" borderId="62" xfId="0" applyFont="1" applyBorder="1" applyAlignment="1" applyProtection="1">
      <alignment horizontal="center" wrapText="1"/>
      <protection hidden="1"/>
    </xf>
    <xf numFmtId="0" fontId="5" fillId="0" borderId="48" xfId="0" applyFont="1" applyBorder="1" applyAlignment="1" applyProtection="1">
      <alignment horizontal="center" wrapText="1"/>
      <protection hidden="1"/>
    </xf>
    <xf numFmtId="0" fontId="5" fillId="0" borderId="63" xfId="0" applyFont="1" applyBorder="1" applyAlignment="1" applyProtection="1">
      <alignment horizontal="center" wrapText="1"/>
      <protection hidden="1"/>
    </xf>
    <xf numFmtId="0" fontId="5" fillId="0" borderId="35" xfId="0" applyFont="1" applyBorder="1" applyAlignment="1" applyProtection="1">
      <alignment horizontal="center" wrapText="1"/>
      <protection hidden="1"/>
    </xf>
    <xf numFmtId="0" fontId="5" fillId="0" borderId="32" xfId="0" applyFont="1" applyBorder="1" applyAlignment="1" applyProtection="1">
      <alignment horizontal="center" wrapText="1"/>
      <protection hidden="1"/>
    </xf>
    <xf numFmtId="0" fontId="5" fillId="0" borderId="70" xfId="0" applyFont="1" applyBorder="1" applyAlignment="1" applyProtection="1">
      <alignment horizontal="center" wrapText="1"/>
      <protection hidden="1"/>
    </xf>
    <xf numFmtId="0" fontId="4" fillId="0" borderId="0" xfId="0" applyNumberFormat="1" applyFont="1" applyAlignment="1" applyProtection="1">
      <alignment vertical="center" wrapText="1"/>
      <protection hidden="1"/>
    </xf>
    <xf numFmtId="0" fontId="4" fillId="0" borderId="0" xfId="0" applyNumberFormat="1" applyFont="1" applyAlignment="1" applyProtection="1">
      <alignment vertical="top" wrapText="1"/>
      <protection hidden="1"/>
    </xf>
    <xf numFmtId="0" fontId="4" fillId="0" borderId="0" xfId="0" applyNumberFormat="1" applyFont="1" applyAlignment="1" applyProtection="1">
      <alignment horizontal="left" vertical="top" wrapText="1"/>
      <protection hidden="1"/>
    </xf>
    <xf numFmtId="0" fontId="4" fillId="0" borderId="0" xfId="0" applyFont="1" applyAlignment="1" applyProtection="1">
      <alignment horizontal="left" vertical="top" wrapText="1"/>
      <protection hidden="1"/>
    </xf>
    <xf numFmtId="0" fontId="5" fillId="0" borderId="0" xfId="0" applyNumberFormat="1" applyFont="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4" fillId="0" borderId="0" xfId="0" applyFont="1" applyAlignment="1" applyProtection="1" quotePrefix="1">
      <alignment horizontal="left" vertical="top" wrapText="1"/>
      <protection hidden="1"/>
    </xf>
    <xf numFmtId="0" fontId="4" fillId="0" borderId="0" xfId="0" applyFont="1" applyAlignment="1" applyProtection="1">
      <alignment horizontal="justify" vertical="top" wrapText="1"/>
      <protection hidden="1"/>
    </xf>
    <xf numFmtId="0" fontId="4" fillId="0" borderId="0" xfId="0" applyNumberFormat="1" applyFont="1" applyAlignment="1" applyProtection="1">
      <alignment horizontal="justify" vertical="top" wrapText="1"/>
      <protection hidden="1"/>
    </xf>
    <xf numFmtId="0" fontId="0" fillId="0" borderId="0" xfId="0" applyAlignment="1">
      <alignment wrapText="1"/>
    </xf>
    <xf numFmtId="0" fontId="4" fillId="0" borderId="0" xfId="0" applyNumberFormat="1" applyFont="1" applyAlignment="1" applyProtection="1">
      <alignment horizontal="left" vertical="top" wrapText="1"/>
      <protection/>
    </xf>
    <xf numFmtId="0" fontId="4" fillId="0" borderId="0" xfId="0" applyNumberFormat="1" applyFont="1" applyAlignment="1" applyProtection="1">
      <alignment horizontal="justify" vertical="top" wrapText="1"/>
      <protection/>
    </xf>
    <xf numFmtId="0" fontId="0" fillId="0" borderId="0" xfId="0" applyFont="1" applyAlignment="1">
      <alignment horizontal="justify" vertical="top" wrapText="1"/>
    </xf>
    <xf numFmtId="0" fontId="5" fillId="0" borderId="0" xfId="0" applyFont="1" applyAlignment="1" applyProtection="1">
      <alignment horizontal="justify" vertical="top" wrapText="1"/>
      <protection hidden="1"/>
    </xf>
    <xf numFmtId="0" fontId="4" fillId="0" borderId="0" xfId="0" applyNumberFormat="1" applyFont="1" applyBorder="1" applyAlignment="1" applyProtection="1">
      <alignment horizontal="left" vertical="top" wrapText="1"/>
      <protection hidden="1"/>
    </xf>
    <xf numFmtId="0" fontId="4" fillId="0" borderId="0" xfId="0" applyFont="1" applyAlignment="1" applyProtection="1" quotePrefix="1">
      <alignment horizontal="justify" vertical="top" wrapText="1"/>
      <protection hidden="1"/>
    </xf>
    <xf numFmtId="0" fontId="0" fillId="0" borderId="0" xfId="0" applyAlignment="1" applyProtection="1">
      <alignment horizontal="justify" vertical="top" wrapText="1"/>
      <protection hidden="1"/>
    </xf>
    <xf numFmtId="0" fontId="4" fillId="0" borderId="0" xfId="0" applyFont="1" applyAlignment="1" applyProtection="1">
      <alignment horizontal="justify" vertical="top"/>
      <protection hidden="1"/>
    </xf>
    <xf numFmtId="0" fontId="4" fillId="0" borderId="0" xfId="0" applyFont="1" applyAlignment="1" applyProtection="1" quotePrefix="1">
      <alignment horizontal="justify" vertical="top"/>
      <protection hidden="1"/>
    </xf>
    <xf numFmtId="0" fontId="4" fillId="0" borderId="0" xfId="0" applyFont="1" applyAlignment="1">
      <alignment horizontal="justify" vertical="top" wrapText="1"/>
    </xf>
    <xf numFmtId="0" fontId="0" fillId="0" borderId="0" xfId="0" applyAlignment="1">
      <alignment horizontal="justify" vertical="top" wrapText="1"/>
    </xf>
    <xf numFmtId="178" fontId="4" fillId="0" borderId="25" xfId="34" applyFont="1" applyFill="1" applyBorder="1" applyAlignment="1" applyProtection="1">
      <alignment/>
      <protection locked="0"/>
    </xf>
    <xf numFmtId="178" fontId="4" fillId="0" borderId="17" xfId="34" applyFont="1" applyFill="1" applyBorder="1" applyAlignment="1" applyProtection="1">
      <alignment/>
      <protection locked="0"/>
    </xf>
    <xf numFmtId="0" fontId="5" fillId="3" borderId="50" xfId="0" applyFont="1" applyFill="1" applyBorder="1" applyAlignment="1">
      <alignment horizontal="center"/>
    </xf>
    <xf numFmtId="0" fontId="5" fillId="3" borderId="37" xfId="0" applyFont="1" applyFill="1" applyBorder="1" applyAlignment="1">
      <alignment horizontal="center"/>
    </xf>
    <xf numFmtId="169" fontId="5" fillId="3" borderId="25" xfId="0" applyNumberFormat="1" applyFont="1" applyFill="1" applyBorder="1" applyAlignment="1">
      <alignment/>
    </xf>
    <xf numFmtId="169" fontId="5" fillId="3" borderId="17" xfId="0" applyNumberFormat="1" applyFont="1" applyFill="1" applyBorder="1" applyAlignment="1">
      <alignment/>
    </xf>
    <xf numFmtId="0" fontId="5" fillId="3" borderId="51" xfId="0" applyFont="1" applyFill="1" applyBorder="1" applyAlignment="1">
      <alignment/>
    </xf>
    <xf numFmtId="0" fontId="5" fillId="3" borderId="22" xfId="0" applyFont="1" applyFill="1" applyBorder="1" applyAlignment="1">
      <alignment/>
    </xf>
    <xf numFmtId="0" fontId="4" fillId="0" borderId="25" xfId="0" applyFont="1" applyBorder="1" applyAlignment="1">
      <alignment horizontal="left"/>
    </xf>
    <xf numFmtId="0" fontId="4" fillId="0" borderId="13" xfId="0" applyFont="1" applyBorder="1" applyAlignment="1">
      <alignment horizontal="left"/>
    </xf>
    <xf numFmtId="0" fontId="4" fillId="0" borderId="17" xfId="0" applyFont="1" applyBorder="1" applyAlignment="1">
      <alignment horizontal="left"/>
    </xf>
    <xf numFmtId="0" fontId="5" fillId="3" borderId="51" xfId="0" applyFont="1" applyFill="1" applyBorder="1" applyAlignment="1">
      <alignment horizontal="center"/>
    </xf>
    <xf numFmtId="0" fontId="5" fillId="3" borderId="22" xfId="0" applyFont="1" applyFill="1" applyBorder="1" applyAlignment="1">
      <alignment horizontal="center"/>
    </xf>
    <xf numFmtId="169" fontId="5" fillId="3" borderId="16" xfId="0" applyNumberFormat="1" applyFont="1" applyFill="1" applyBorder="1" applyAlignment="1">
      <alignment horizontal="center"/>
    </xf>
    <xf numFmtId="169" fontId="5" fillId="3" borderId="7" xfId="0" applyNumberFormat="1" applyFont="1" applyFill="1" applyBorder="1" applyAlignment="1">
      <alignment horizontal="center"/>
    </xf>
    <xf numFmtId="0" fontId="5" fillId="3" borderId="5" xfId="0" applyNumberFormat="1" applyFont="1" applyFill="1" applyBorder="1" applyAlignment="1" applyProtection="1">
      <alignment horizontal="center"/>
      <protection/>
    </xf>
    <xf numFmtId="0" fontId="5" fillId="3" borderId="7" xfId="0" applyNumberFormat="1" applyFont="1" applyFill="1" applyBorder="1" applyAlignment="1" applyProtection="1">
      <alignment horizontal="center"/>
      <protection/>
    </xf>
    <xf numFmtId="0" fontId="5" fillId="3" borderId="25" xfId="0" applyFont="1" applyFill="1" applyBorder="1" applyAlignment="1">
      <alignment horizontal="left"/>
    </xf>
    <xf numFmtId="0" fontId="5" fillId="3" borderId="13" xfId="0" applyFont="1" applyFill="1" applyBorder="1" applyAlignment="1">
      <alignment horizontal="left"/>
    </xf>
    <xf numFmtId="0" fontId="5" fillId="3" borderId="17" xfId="0" applyFont="1" applyFill="1" applyBorder="1" applyAlignment="1">
      <alignment horizontal="left"/>
    </xf>
    <xf numFmtId="0" fontId="1" fillId="3" borderId="13" xfId="0" applyFont="1" applyFill="1" applyBorder="1" applyAlignment="1">
      <alignment/>
    </xf>
    <xf numFmtId="0" fontId="1" fillId="3" borderId="17" xfId="0" applyFont="1" applyFill="1" applyBorder="1" applyAlignment="1">
      <alignment/>
    </xf>
    <xf numFmtId="37" fontId="4" fillId="0" borderId="25" xfId="0" applyNumberFormat="1" applyFont="1" applyFill="1" applyBorder="1" applyAlignment="1" applyProtection="1">
      <alignment horizontal="left"/>
      <protection hidden="1"/>
    </xf>
    <xf numFmtId="37" fontId="4" fillId="0" borderId="17" xfId="0" applyNumberFormat="1" applyFont="1" applyFill="1" applyBorder="1" applyAlignment="1" applyProtection="1">
      <alignment horizontal="left"/>
      <protection hidden="1"/>
    </xf>
    <xf numFmtId="37" fontId="5" fillId="3" borderId="25" xfId="0" applyNumberFormat="1" applyFont="1" applyFill="1" applyBorder="1" applyAlignment="1" applyProtection="1">
      <alignment horizontal="left"/>
      <protection hidden="1"/>
    </xf>
    <xf numFmtId="37" fontId="5" fillId="3" borderId="17" xfId="0" applyNumberFormat="1" applyFont="1" applyFill="1" applyBorder="1" applyAlignment="1" applyProtection="1">
      <alignment horizontal="left"/>
      <protection hidden="1"/>
    </xf>
    <xf numFmtId="178" fontId="4" fillId="0" borderId="25" xfId="34" applyFont="1" applyFill="1" applyBorder="1" applyAlignment="1" applyProtection="1">
      <alignment horizontal="left"/>
      <protection locked="0"/>
    </xf>
    <xf numFmtId="178" fontId="4" fillId="0" borderId="17" xfId="34" applyFont="1" applyFill="1" applyBorder="1" applyAlignment="1" applyProtection="1">
      <alignment horizontal="left"/>
      <protection locked="0"/>
    </xf>
    <xf numFmtId="178" fontId="5" fillId="3" borderId="23" xfId="35" applyNumberFormat="1" applyFont="1" applyFill="1" applyBorder="1" applyAlignment="1" applyProtection="1">
      <alignment horizontal="left"/>
      <protection/>
    </xf>
    <xf numFmtId="0" fontId="4" fillId="0" borderId="23" xfId="0" applyFont="1" applyBorder="1" applyAlignment="1">
      <alignment horizontal="left"/>
    </xf>
    <xf numFmtId="0" fontId="5" fillId="3" borderId="23" xfId="0" applyFont="1" applyFill="1" applyBorder="1" applyAlignment="1">
      <alignment horizontal="left"/>
    </xf>
    <xf numFmtId="37" fontId="5" fillId="3" borderId="13" xfId="0" applyNumberFormat="1" applyFont="1" applyFill="1" applyBorder="1" applyAlignment="1" applyProtection="1">
      <alignment horizontal="left"/>
      <protection hidden="1"/>
    </xf>
    <xf numFmtId="0" fontId="4" fillId="0" borderId="25" xfId="0" applyFont="1" applyBorder="1" applyAlignment="1" applyProtection="1">
      <alignment horizontal="left"/>
      <protection/>
    </xf>
    <xf numFmtId="0" fontId="4" fillId="0" borderId="13" xfId="0" applyFont="1" applyBorder="1" applyAlignment="1" applyProtection="1">
      <alignment horizontal="left"/>
      <protection/>
    </xf>
    <xf numFmtId="0" fontId="4" fillId="0" borderId="17" xfId="0" applyFont="1" applyBorder="1" applyAlignment="1" applyProtection="1">
      <alignment horizontal="left"/>
      <protection/>
    </xf>
    <xf numFmtId="0" fontId="5" fillId="3" borderId="21" xfId="0" applyFont="1" applyFill="1" applyBorder="1" applyAlignment="1">
      <alignment horizontal="center" wrapText="1" shrinkToFit="1"/>
    </xf>
    <xf numFmtId="0" fontId="5" fillId="3" borderId="2" xfId="0" applyFont="1" applyFill="1" applyBorder="1" applyAlignment="1">
      <alignment horizontal="center" wrapText="1" shrinkToFit="1"/>
    </xf>
    <xf numFmtId="0" fontId="5" fillId="3" borderId="14" xfId="0" applyFont="1" applyFill="1" applyBorder="1" applyAlignment="1">
      <alignment horizontal="center" wrapText="1" shrinkToFit="1"/>
    </xf>
    <xf numFmtId="0" fontId="5" fillId="3" borderId="21" xfId="0" applyFont="1" applyFill="1" applyBorder="1" applyAlignment="1">
      <alignment horizontal="center" wrapText="1"/>
    </xf>
    <xf numFmtId="0" fontId="5" fillId="3" borderId="2" xfId="0" applyFont="1" applyFill="1" applyBorder="1" applyAlignment="1">
      <alignment horizontal="center" wrapText="1"/>
    </xf>
    <xf numFmtId="0" fontId="5" fillId="3" borderId="14" xfId="0" applyFont="1" applyFill="1" applyBorder="1" applyAlignment="1">
      <alignment horizontal="center" wrapText="1"/>
    </xf>
    <xf numFmtId="171" fontId="5" fillId="3" borderId="25" xfId="0" applyNumberFormat="1" applyFont="1" applyFill="1" applyBorder="1" applyAlignment="1" applyProtection="1">
      <alignment horizontal="center"/>
      <protection/>
    </xf>
    <xf numFmtId="171" fontId="5" fillId="3" borderId="17" xfId="0" applyNumberFormat="1" applyFont="1" applyFill="1" applyBorder="1" applyAlignment="1" applyProtection="1">
      <alignment horizontal="center"/>
      <protection/>
    </xf>
    <xf numFmtId="177" fontId="5" fillId="3" borderId="25" xfId="34" applyNumberFormat="1" applyFont="1" applyFill="1" applyBorder="1" applyAlignment="1" applyProtection="1">
      <alignment horizontal="center"/>
      <protection/>
    </xf>
    <xf numFmtId="177" fontId="5" fillId="3" borderId="17" xfId="34" applyNumberFormat="1" applyFont="1" applyFill="1" applyBorder="1" applyAlignment="1" applyProtection="1">
      <alignment horizontal="center"/>
      <protection/>
    </xf>
    <xf numFmtId="177" fontId="4" fillId="0" borderId="79" xfId="34" applyNumberFormat="1" applyFont="1" applyFill="1" applyBorder="1" applyAlignment="1" applyProtection="1">
      <alignment horizontal="center"/>
      <protection locked="0"/>
    </xf>
    <xf numFmtId="177" fontId="4" fillId="0" borderId="39" xfId="34" applyNumberFormat="1" applyFont="1" applyFill="1" applyBorder="1" applyAlignment="1" applyProtection="1">
      <alignment horizontal="center"/>
      <protection locked="0"/>
    </xf>
    <xf numFmtId="177" fontId="4" fillId="0" borderId="25" xfId="34" applyNumberFormat="1" applyFont="1" applyFill="1" applyBorder="1" applyAlignment="1" applyProtection="1">
      <alignment horizontal="center"/>
      <protection locked="0"/>
    </xf>
    <xf numFmtId="177" fontId="4" fillId="0" borderId="17" xfId="34" applyNumberFormat="1" applyFont="1" applyFill="1" applyBorder="1" applyAlignment="1" applyProtection="1">
      <alignment horizontal="center"/>
      <protection locked="0"/>
    </xf>
    <xf numFmtId="189" fontId="5" fillId="3" borderId="51" xfId="0" applyNumberFormat="1" applyFont="1" applyFill="1" applyBorder="1" applyAlignment="1" applyProtection="1">
      <alignment horizontal="center" vertical="center"/>
      <protection hidden="1"/>
    </xf>
    <xf numFmtId="189" fontId="5" fillId="3" borderId="22" xfId="0" applyNumberFormat="1" applyFont="1" applyFill="1" applyBorder="1" applyAlignment="1" applyProtection="1">
      <alignment horizontal="center" vertical="center"/>
      <protection hidden="1"/>
    </xf>
    <xf numFmtId="0" fontId="5" fillId="3" borderId="50" xfId="0" applyFont="1" applyFill="1" applyBorder="1" applyAlignment="1" applyProtection="1">
      <alignment horizontal="center" vertical="center"/>
      <protection hidden="1"/>
    </xf>
    <xf numFmtId="0" fontId="5" fillId="3" borderId="37" xfId="0" applyFont="1" applyFill="1" applyBorder="1" applyAlignment="1" applyProtection="1">
      <alignment horizontal="center" vertical="center"/>
      <protection hidden="1"/>
    </xf>
    <xf numFmtId="49" fontId="5" fillId="0" borderId="48" xfId="0" applyNumberFormat="1" applyFont="1" applyFill="1" applyBorder="1" applyAlignment="1" applyProtection="1">
      <alignment wrapText="1"/>
      <protection locked="0"/>
    </xf>
    <xf numFmtId="0" fontId="5" fillId="0" borderId="48" xfId="0" applyFont="1" applyBorder="1" applyAlignment="1" applyProtection="1">
      <alignment wrapText="1"/>
      <protection locked="0"/>
    </xf>
    <xf numFmtId="171" fontId="4" fillId="0" borderId="79" xfId="0" applyNumberFormat="1" applyFont="1" applyFill="1" applyBorder="1" applyAlignment="1" applyProtection="1">
      <alignment horizontal="right"/>
      <protection locked="0"/>
    </xf>
    <xf numFmtId="171" fontId="4" fillId="0" borderId="39" xfId="0" applyNumberFormat="1" applyFont="1" applyFill="1" applyBorder="1" applyAlignment="1" applyProtection="1">
      <alignment horizontal="right"/>
      <protection locked="0"/>
    </xf>
    <xf numFmtId="0" fontId="5" fillId="3" borderId="16" xfId="0" applyFont="1" applyFill="1" applyBorder="1" applyAlignment="1" applyProtection="1">
      <alignment horizontal="left" vertical="center"/>
      <protection hidden="1"/>
    </xf>
    <xf numFmtId="0" fontId="5" fillId="3" borderId="7" xfId="0" applyFont="1" applyFill="1" applyBorder="1" applyAlignment="1" applyProtection="1">
      <alignment horizontal="left" vertical="center"/>
      <protection hidden="1"/>
    </xf>
    <xf numFmtId="0" fontId="5" fillId="3" borderId="16" xfId="0" applyFont="1" applyFill="1" applyBorder="1" applyAlignment="1" applyProtection="1">
      <alignment vertical="center" wrapText="1"/>
      <protection/>
    </xf>
    <xf numFmtId="0" fontId="4" fillId="0" borderId="7" xfId="0" applyFont="1" applyBorder="1" applyAlignment="1" applyProtection="1">
      <alignment/>
      <protection/>
    </xf>
    <xf numFmtId="0" fontId="5" fillId="3" borderId="16"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49" fontId="5" fillId="0" borderId="32" xfId="0" applyNumberFormat="1" applyFont="1" applyFill="1" applyBorder="1" applyAlignment="1" applyProtection="1">
      <alignment wrapText="1"/>
      <protection locked="0"/>
    </xf>
    <xf numFmtId="0" fontId="5" fillId="0" borderId="18" xfId="0" applyFont="1" applyBorder="1" applyAlignment="1" applyProtection="1">
      <alignment wrapText="1"/>
      <protection locked="0"/>
    </xf>
    <xf numFmtId="171" fontId="4" fillId="0" borderId="40" xfId="0" applyNumberFormat="1" applyFont="1" applyFill="1" applyBorder="1" applyAlignment="1" applyProtection="1">
      <alignment horizontal="right"/>
      <protection locked="0"/>
    </xf>
    <xf numFmtId="171" fontId="4" fillId="0" borderId="19" xfId="0" applyNumberFormat="1" applyFont="1" applyFill="1" applyBorder="1" applyAlignment="1" applyProtection="1">
      <alignment horizontal="right"/>
      <protection locked="0"/>
    </xf>
    <xf numFmtId="49" fontId="5" fillId="0" borderId="13" xfId="0" applyNumberFormat="1" applyFont="1" applyFill="1" applyBorder="1" applyAlignment="1" applyProtection="1">
      <alignment horizontal="left" wrapText="1"/>
      <protection locked="0"/>
    </xf>
    <xf numFmtId="49" fontId="5" fillId="0" borderId="17" xfId="0" applyNumberFormat="1" applyFont="1" applyFill="1" applyBorder="1" applyAlignment="1" applyProtection="1">
      <alignment horizontal="left" wrapText="1"/>
      <protection locked="0"/>
    </xf>
    <xf numFmtId="0" fontId="5" fillId="3" borderId="16" xfId="0" applyFont="1" applyFill="1" applyBorder="1" applyAlignment="1" applyProtection="1">
      <alignment horizontal="left" vertical="center" wrapText="1"/>
      <protection hidden="1"/>
    </xf>
    <xf numFmtId="0" fontId="5" fillId="3" borderId="5" xfId="0" applyFont="1" applyFill="1" applyBorder="1" applyAlignment="1" applyProtection="1">
      <alignment horizontal="left" vertical="center" wrapText="1"/>
      <protection hidden="1"/>
    </xf>
    <xf numFmtId="0" fontId="5" fillId="3" borderId="7" xfId="0" applyFont="1" applyFill="1" applyBorder="1" applyAlignment="1" applyProtection="1">
      <alignment horizontal="left" vertical="center" wrapText="1"/>
      <protection hidden="1"/>
    </xf>
    <xf numFmtId="49" fontId="5" fillId="0" borderId="25" xfId="0" applyNumberFormat="1" applyFont="1" applyFill="1" applyBorder="1" applyAlignment="1" applyProtection="1">
      <alignment horizontal="left" wrapText="1"/>
      <protection locked="0"/>
    </xf>
    <xf numFmtId="0" fontId="5" fillId="3" borderId="16" xfId="0" applyFont="1" applyFill="1" applyBorder="1" applyAlignment="1" applyProtection="1">
      <alignment vertical="center" wrapText="1"/>
      <protection hidden="1"/>
    </xf>
    <xf numFmtId="0" fontId="4" fillId="0" borderId="7" xfId="0" applyFont="1" applyBorder="1" applyAlignment="1" applyProtection="1">
      <alignment/>
      <protection hidden="1"/>
    </xf>
    <xf numFmtId="37" fontId="5" fillId="3" borderId="16" xfId="0" applyNumberFormat="1" applyFont="1" applyFill="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37" fontId="5" fillId="3" borderId="16" xfId="0" applyNumberFormat="1" applyFont="1" applyFill="1" applyBorder="1" applyAlignment="1" applyProtection="1">
      <alignment horizontal="center" vertical="center"/>
      <protection hidden="1"/>
    </xf>
    <xf numFmtId="37" fontId="5" fillId="3" borderId="7" xfId="0" applyNumberFormat="1" applyFont="1" applyFill="1" applyBorder="1" applyAlignment="1" applyProtection="1">
      <alignment horizontal="center" vertical="center"/>
      <protection hidden="1"/>
    </xf>
    <xf numFmtId="0" fontId="4" fillId="0" borderId="24" xfId="0" applyFont="1" applyBorder="1" applyAlignment="1">
      <alignment horizontal="left"/>
    </xf>
    <xf numFmtId="3" fontId="4" fillId="7" borderId="0" xfId="0" applyNumberFormat="1" applyFont="1" applyFill="1" applyBorder="1" applyAlignment="1">
      <alignment horizontal="center"/>
    </xf>
    <xf numFmtId="3" fontId="4" fillId="7" borderId="52" xfId="0" applyNumberFormat="1" applyFont="1" applyFill="1" applyBorder="1" applyAlignment="1">
      <alignment horizontal="center"/>
    </xf>
    <xf numFmtId="3" fontId="4" fillId="7" borderId="31" xfId="0" applyNumberFormat="1" applyFont="1" applyFill="1" applyBorder="1" applyAlignment="1">
      <alignment horizontal="center"/>
    </xf>
    <xf numFmtId="0" fontId="4" fillId="0" borderId="25" xfId="0" applyFont="1" applyBorder="1" applyAlignment="1" applyProtection="1">
      <alignment horizontal="left"/>
      <protection hidden="1"/>
    </xf>
    <xf numFmtId="0" fontId="4" fillId="0" borderId="13" xfId="0" applyFont="1" applyBorder="1" applyAlignment="1" applyProtection="1">
      <alignment horizontal="left"/>
      <protection hidden="1"/>
    </xf>
    <xf numFmtId="0" fontId="4" fillId="0" borderId="17" xfId="0" applyFont="1" applyBorder="1" applyAlignment="1" applyProtection="1">
      <alignment horizontal="left"/>
      <protection hidden="1"/>
    </xf>
    <xf numFmtId="37" fontId="5" fillId="8" borderId="52" xfId="0" applyNumberFormat="1" applyFont="1" applyFill="1" applyBorder="1" applyAlignment="1">
      <alignment horizontal="center"/>
    </xf>
    <xf numFmtId="37" fontId="5" fillId="8" borderId="0" xfId="0" applyNumberFormat="1" applyFont="1" applyFill="1" applyBorder="1" applyAlignment="1">
      <alignment horizontal="center"/>
    </xf>
    <xf numFmtId="37" fontId="5" fillId="8" borderId="31" xfId="0" applyNumberFormat="1" applyFont="1" applyFill="1" applyBorder="1" applyAlignment="1">
      <alignment horizontal="center"/>
    </xf>
    <xf numFmtId="37" fontId="5" fillId="8" borderId="75" xfId="0" applyNumberFormat="1" applyFont="1" applyFill="1" applyBorder="1" applyAlignment="1">
      <alignment horizontal="center"/>
    </xf>
    <xf numFmtId="37" fontId="5" fillId="8" borderId="26" xfId="0" applyNumberFormat="1" applyFont="1" applyFill="1" applyBorder="1" applyAlignment="1">
      <alignment horizontal="center"/>
    </xf>
    <xf numFmtId="37" fontId="5" fillId="8" borderId="47" xfId="0" applyNumberFormat="1" applyFont="1" applyFill="1" applyBorder="1" applyAlignment="1">
      <alignment horizontal="center"/>
    </xf>
    <xf numFmtId="37" fontId="5" fillId="3" borderId="50" xfId="0" applyNumberFormat="1" applyFont="1" applyFill="1" applyBorder="1" applyAlignment="1" applyProtection="1">
      <alignment horizontal="center" vertical="center" wrapText="1"/>
      <protection hidden="1"/>
    </xf>
    <xf numFmtId="0" fontId="4" fillId="3" borderId="37" xfId="0" applyFont="1" applyFill="1" applyBorder="1" applyAlignment="1" applyProtection="1">
      <alignment horizontal="center" vertical="center" wrapText="1"/>
      <protection hidden="1"/>
    </xf>
    <xf numFmtId="37" fontId="5" fillId="3" borderId="33" xfId="0" applyNumberFormat="1" applyFont="1" applyFill="1" applyBorder="1" applyAlignment="1" applyProtection="1">
      <alignment horizontal="center" vertical="center" wrapText="1"/>
      <protection hidden="1"/>
    </xf>
    <xf numFmtId="37" fontId="5" fillId="3" borderId="50" xfId="0" applyNumberFormat="1" applyFont="1" applyFill="1" applyBorder="1" applyAlignment="1" applyProtection="1">
      <alignment horizontal="center" vertical="center"/>
      <protection hidden="1"/>
    </xf>
    <xf numFmtId="37" fontId="5" fillId="3" borderId="33" xfId="0" applyNumberFormat="1" applyFont="1" applyFill="1" applyBorder="1" applyAlignment="1" applyProtection="1">
      <alignment horizontal="center" vertical="center"/>
      <protection hidden="1"/>
    </xf>
    <xf numFmtId="37" fontId="5" fillId="3" borderId="37" xfId="0" applyNumberFormat="1" applyFont="1" applyFill="1" applyBorder="1" applyAlignment="1" applyProtection="1">
      <alignment horizontal="center" vertical="center"/>
      <protection hidden="1"/>
    </xf>
    <xf numFmtId="37" fontId="5" fillId="3" borderId="51" xfId="0" applyNumberFormat="1" applyFont="1" applyFill="1" applyBorder="1" applyAlignment="1" applyProtection="1">
      <alignment horizontal="center" vertical="center"/>
      <protection hidden="1"/>
    </xf>
    <xf numFmtId="37" fontId="5" fillId="3" borderId="6" xfId="0" applyNumberFormat="1" applyFont="1" applyFill="1" applyBorder="1" applyAlignment="1" applyProtection="1">
      <alignment horizontal="center" vertical="center"/>
      <protection hidden="1"/>
    </xf>
    <xf numFmtId="37" fontId="5" fillId="3" borderId="22" xfId="0" applyNumberFormat="1" applyFont="1" applyFill="1" applyBorder="1" applyAlignment="1" applyProtection="1">
      <alignment horizontal="center" vertical="center"/>
      <protection hidden="1"/>
    </xf>
    <xf numFmtId="0" fontId="4" fillId="0" borderId="25" xfId="0" applyNumberFormat="1" applyFont="1" applyFill="1" applyBorder="1" applyAlignment="1" applyProtection="1">
      <alignment horizontal="left"/>
      <protection hidden="1"/>
    </xf>
    <xf numFmtId="0" fontId="4" fillId="0" borderId="13" xfId="0" applyNumberFormat="1" applyFont="1" applyFill="1" applyBorder="1" applyAlignment="1" applyProtection="1">
      <alignment horizontal="left"/>
      <protection hidden="1"/>
    </xf>
    <xf numFmtId="0" fontId="4" fillId="0" borderId="12" xfId="0" applyNumberFormat="1" applyFont="1" applyFill="1" applyBorder="1" applyAlignment="1" applyProtection="1">
      <alignment horizontal="left"/>
      <protection hidden="1"/>
    </xf>
    <xf numFmtId="178" fontId="2" fillId="0" borderId="13" xfId="34" applyFont="1" applyFill="1" applyBorder="1" applyAlignment="1" applyProtection="1">
      <alignment horizontal="right"/>
      <protection/>
    </xf>
    <xf numFmtId="3" fontId="3" fillId="3" borderId="16" xfId="0" applyNumberFormat="1" applyFont="1" applyFill="1" applyBorder="1" applyAlignment="1" applyProtection="1">
      <alignment horizontal="center" vertical="center" wrapText="1"/>
      <protection hidden="1"/>
    </xf>
    <xf numFmtId="3" fontId="3" fillId="3" borderId="5" xfId="0" applyNumberFormat="1" applyFont="1" applyFill="1" applyBorder="1" applyAlignment="1" applyProtection="1">
      <alignment horizontal="center" vertical="center" wrapText="1"/>
      <protection hidden="1"/>
    </xf>
    <xf numFmtId="3" fontId="3" fillId="3" borderId="7" xfId="0" applyNumberFormat="1" applyFont="1" applyFill="1" applyBorder="1" applyAlignment="1" applyProtection="1">
      <alignment horizontal="center" vertical="center" wrapText="1"/>
      <protection hidden="1"/>
    </xf>
    <xf numFmtId="0" fontId="2" fillId="3" borderId="5" xfId="0" applyFont="1" applyFill="1" applyBorder="1" applyAlignment="1" applyProtection="1">
      <alignment horizontal="center" vertical="center" wrapText="1"/>
      <protection hidden="1"/>
    </xf>
    <xf numFmtId="0" fontId="2" fillId="3" borderId="7" xfId="0" applyFont="1" applyFill="1" applyBorder="1" applyAlignment="1" applyProtection="1">
      <alignment horizontal="center" vertical="center" wrapText="1"/>
      <protection hidden="1"/>
    </xf>
    <xf numFmtId="0" fontId="2" fillId="0" borderId="0" xfId="0" applyFont="1" applyBorder="1" applyAlignment="1" applyProtection="1">
      <alignment horizontal="center"/>
      <protection hidden="1"/>
    </xf>
    <xf numFmtId="0" fontId="2" fillId="0" borderId="0" xfId="0" applyFont="1" applyBorder="1" applyAlignment="1" applyProtection="1">
      <alignment/>
      <protection hidden="1"/>
    </xf>
    <xf numFmtId="178" fontId="2" fillId="0" borderId="32" xfId="34" applyFont="1" applyFill="1" applyBorder="1" applyAlignment="1" applyProtection="1">
      <alignment horizontal="right"/>
      <protection/>
    </xf>
    <xf numFmtId="178" fontId="2" fillId="0" borderId="13" xfId="34" applyFont="1" applyFill="1" applyBorder="1" applyAlignment="1" applyProtection="1">
      <alignment/>
      <protection/>
    </xf>
    <xf numFmtId="178" fontId="2" fillId="0" borderId="32" xfId="34" applyFont="1" applyFill="1" applyBorder="1" applyAlignment="1" applyProtection="1">
      <alignment/>
      <protection/>
    </xf>
    <xf numFmtId="0" fontId="4" fillId="0" borderId="16" xfId="33" applyFont="1" applyFill="1" applyBorder="1" applyAlignment="1" applyProtection="1">
      <alignment horizontal="center" vertical="center" wrapText="1"/>
      <protection locked="0"/>
    </xf>
    <xf numFmtId="0" fontId="0" fillId="0" borderId="52" xfId="33" applyBorder="1" applyAlignment="1">
      <alignment vertical="center" wrapText="1"/>
      <protection/>
    </xf>
    <xf numFmtId="0" fontId="0" fillId="0" borderId="0" xfId="0" applyAlignment="1">
      <alignment vertical="center" wrapText="1"/>
    </xf>
    <xf numFmtId="0" fontId="4" fillId="0" borderId="21" xfId="33" applyFont="1" applyFill="1" applyBorder="1" applyAlignment="1" applyProtection="1">
      <alignment horizontal="center" vertical="center" wrapText="1"/>
      <protection locked="0"/>
    </xf>
    <xf numFmtId="0" fontId="4" fillId="0" borderId="2" xfId="33" applyFont="1" applyFill="1" applyBorder="1" applyAlignment="1" applyProtection="1">
      <alignment horizontal="center" vertical="center" wrapText="1"/>
      <protection locked="0"/>
    </xf>
    <xf numFmtId="0" fontId="5" fillId="3" borderId="24" xfId="33" applyFont="1" applyFill="1" applyBorder="1" applyAlignment="1" applyProtection="1">
      <alignment horizontal="center" vertical="center"/>
      <protection hidden="1"/>
    </xf>
    <xf numFmtId="0" fontId="5" fillId="3" borderId="74" xfId="33" applyFont="1" applyFill="1" applyBorder="1" applyAlignment="1" applyProtection="1">
      <alignment horizontal="center" vertical="center"/>
      <protection hidden="1"/>
    </xf>
    <xf numFmtId="0" fontId="5" fillId="3" borderId="38" xfId="33" applyFont="1" applyFill="1" applyBorder="1" applyAlignment="1" applyProtection="1">
      <alignment horizontal="center" vertical="center"/>
      <protection hidden="1"/>
    </xf>
    <xf numFmtId="0" fontId="5" fillId="3" borderId="24" xfId="32" applyFont="1" applyFill="1" applyBorder="1" applyAlignment="1" applyProtection="1">
      <alignment horizontal="center" vertical="center"/>
      <protection hidden="1"/>
    </xf>
    <xf numFmtId="0" fontId="5" fillId="3" borderId="74" xfId="32" applyFont="1" applyFill="1" applyBorder="1" applyAlignment="1" applyProtection="1">
      <alignment horizontal="center" vertical="center"/>
      <protection hidden="1"/>
    </xf>
    <xf numFmtId="0" fontId="5" fillId="3" borderId="38" xfId="32" applyFont="1" applyFill="1" applyBorder="1" applyAlignment="1" applyProtection="1">
      <alignment horizontal="center" vertical="center"/>
      <protection hidden="1"/>
    </xf>
    <xf numFmtId="0" fontId="0" fillId="0" borderId="49" xfId="33" applyFont="1" applyBorder="1" applyAlignment="1">
      <alignment horizontal="left" vertical="center" wrapText="1"/>
      <protection/>
    </xf>
    <xf numFmtId="0" fontId="0" fillId="0" borderId="52" xfId="33" applyFont="1" applyBorder="1" applyAlignment="1">
      <alignment horizontal="left" vertical="center" wrapText="1"/>
      <protection/>
    </xf>
    <xf numFmtId="0" fontId="0" fillId="0" borderId="75" xfId="33" applyFont="1" applyBorder="1" applyAlignment="1">
      <alignment horizontal="left" vertical="center" wrapText="1"/>
      <protection/>
    </xf>
    <xf numFmtId="0" fontId="4" fillId="0" borderId="14" xfId="33" applyFont="1" applyFill="1" applyBorder="1" applyAlignment="1" applyProtection="1">
      <alignment horizontal="center" vertical="center" wrapText="1"/>
      <protection locked="0"/>
    </xf>
    <xf numFmtId="0" fontId="0" fillId="0" borderId="23" xfId="33" applyBorder="1" applyAlignment="1">
      <alignment vertical="center" wrapText="1"/>
      <protection/>
    </xf>
    <xf numFmtId="0" fontId="0" fillId="0" borderId="83" xfId="33" applyBorder="1" applyAlignment="1">
      <alignment horizontal="center"/>
      <protection/>
    </xf>
    <xf numFmtId="0" fontId="0" fillId="3" borderId="16" xfId="33" applyFill="1" applyBorder="1" applyAlignment="1">
      <alignment horizontal="center"/>
      <protection/>
    </xf>
    <xf numFmtId="0" fontId="0" fillId="3" borderId="5" xfId="33" applyFill="1" applyBorder="1" applyAlignment="1">
      <alignment horizontal="center"/>
      <protection/>
    </xf>
    <xf numFmtId="0" fontId="0" fillId="3" borderId="7" xfId="33" applyFill="1" applyBorder="1" applyAlignment="1">
      <alignment horizontal="center"/>
      <protection/>
    </xf>
    <xf numFmtId="0" fontId="4" fillId="0" borderId="50" xfId="33" applyFont="1" applyFill="1" applyBorder="1" applyAlignment="1" applyProtection="1">
      <alignment horizontal="center" vertical="center" wrapText="1"/>
      <protection locked="0"/>
    </xf>
    <xf numFmtId="0" fontId="4" fillId="0" borderId="64" xfId="33" applyFont="1" applyFill="1" applyBorder="1" applyAlignment="1" applyProtection="1">
      <alignment horizontal="center" vertical="center" wrapText="1"/>
      <protection locked="0"/>
    </xf>
    <xf numFmtId="0" fontId="4" fillId="0" borderId="51" xfId="33" applyFont="1" applyFill="1" applyBorder="1" applyAlignment="1" applyProtection="1">
      <alignment horizontal="center" vertical="center" wrapText="1"/>
      <protection locked="0"/>
    </xf>
    <xf numFmtId="0" fontId="0" fillId="0" borderId="23" xfId="33" applyFont="1" applyBorder="1" applyAlignment="1">
      <alignment vertical="center" wrapText="1"/>
      <protection/>
    </xf>
    <xf numFmtId="0" fontId="0" fillId="0" borderId="0" xfId="33" applyAlignment="1">
      <alignment horizontal="center"/>
      <protection/>
    </xf>
  </cellXfs>
  <cellStyles count="31">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Percent" xfId="30"/>
    <cellStyle name="Reset  - Opmaakprofiel7" xfId="31"/>
    <cellStyle name="Standaard_APZ Nacalculatie1998" xfId="32"/>
    <cellStyle name="Standaard_Nacalculatieformulier 2002" xfId="33"/>
    <cellStyle name="Tabelstandaard" xfId="34"/>
    <cellStyle name="Tabelstandaard financieel" xfId="35"/>
    <cellStyle name="Tabelstandaard negatief" xfId="36"/>
    <cellStyle name="Tabelstandaard Totaal" xfId="37"/>
    <cellStyle name="Tabelstandaard Totaal Negatief" xfId="38"/>
    <cellStyle name="Table  - Opmaakprofiel6" xfId="39"/>
    <cellStyle name="Title  - Opmaakprofiel1" xfId="40"/>
    <cellStyle name="TotCol - Opmaakprofiel5" xfId="41"/>
    <cellStyle name="TotRow - Opmaakprofiel4" xfId="42"/>
    <cellStyle name="Currency" xfId="43"/>
    <cellStyle name="Currency [0]" xfId="44"/>
  </cellStyles>
  <dxfs count="4">
    <dxf>
      <fill>
        <patternFill>
          <bgColor rgb="FFFFCC99"/>
        </patternFill>
      </fill>
      <border/>
    </dxf>
    <dxf>
      <fill>
        <patternFill>
          <bgColor rgb="FFFFFFCC"/>
        </patternFill>
      </fill>
      <border/>
    </dxf>
    <dxf>
      <font>
        <color auto="1"/>
      </font>
      <border/>
    </dxf>
    <dxf>
      <font>
        <color rgb="FFFFFFFF"/>
      </font>
      <fill>
        <patternFill patternType="none">
          <bgColor indexed="65"/>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X:\Algemeen\Clipart\Ctg\LogoKop.eps" TargetMode="External" /><Relationship Id="rId2" Type="http://schemas.openxmlformats.org/officeDocument/2006/relationships/image" Target="../media/image2.wmf" /></Relationships>
</file>

<file path=xl/drawings/_rels/drawing10.xml.rels><?xml version="1.0" encoding="utf-8" standalone="yes"?><Relationships xmlns="http://schemas.openxmlformats.org/package/2006/relationships"><Relationship Id="rId1" Type="http://schemas.openxmlformats.org/officeDocument/2006/relationships/image" Target="../media/image2.wmf" /></Relationships>
</file>

<file path=xl/drawings/_rels/drawing11.xml.rels><?xml version="1.0" encoding="utf-8" standalone="yes"?><Relationships xmlns="http://schemas.openxmlformats.org/package/2006/relationships"><Relationship Id="rId1" Type="http://schemas.openxmlformats.org/officeDocument/2006/relationships/image" Target="../media/image2.wmf" /></Relationships>
</file>

<file path=xl/drawings/_rels/drawing12.xml.rels><?xml version="1.0" encoding="utf-8" standalone="yes"?><Relationships xmlns="http://schemas.openxmlformats.org/package/2006/relationships"><Relationship Id="rId1" Type="http://schemas.openxmlformats.org/officeDocument/2006/relationships/image" Target="../media/image2.wmf" /></Relationships>
</file>

<file path=xl/drawings/_rels/drawing13.xml.rels><?xml version="1.0" encoding="utf-8" standalone="yes"?><Relationships xmlns="http://schemas.openxmlformats.org/package/2006/relationships"><Relationship Id="rId1" Type="http://schemas.openxmlformats.org/officeDocument/2006/relationships/image" Target="../media/image2.wmf" /></Relationships>
</file>

<file path=xl/drawings/_rels/drawing14.xml.rels><?xml version="1.0" encoding="utf-8" standalone="yes"?><Relationships xmlns="http://schemas.openxmlformats.org/package/2006/relationships"><Relationship Id="rId1" Type="http://schemas.openxmlformats.org/officeDocument/2006/relationships/image" Target="../media/image2.wmf" /></Relationships>
</file>

<file path=xl/drawings/_rels/drawing15.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file://X:\Algemeen\Clipart\Ctg\LogoKop.eps"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2.wmf" /></Relationships>
</file>

<file path=xl/drawings/_rels/drawing17.xml.rels><?xml version="1.0" encoding="utf-8" standalone="yes"?><Relationships xmlns="http://schemas.openxmlformats.org/package/2006/relationships"><Relationship Id="rId1" Type="http://schemas.openxmlformats.org/officeDocument/2006/relationships/image" Target="../media/image2.wmf" /></Relationships>
</file>

<file path=xl/drawings/_rels/drawing18.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file://X:\Algemeen\Clipart\Ctg\LogoKop.ep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s>
</file>

<file path=xl/drawings/_rels/drawing4.xml.rels><?xml version="1.0" encoding="utf-8" standalone="yes"?><Relationships xmlns="http://schemas.openxmlformats.org/package/2006/relationships"><Relationship Id="rId1" Type="http://schemas.openxmlformats.org/officeDocument/2006/relationships/image" Target="../media/image2.wmf" /></Relationships>
</file>

<file path=xl/drawings/_rels/drawing5.xml.rels><?xml version="1.0" encoding="utf-8" standalone="yes"?><Relationships xmlns="http://schemas.openxmlformats.org/package/2006/relationships"><Relationship Id="rId1" Type="http://schemas.openxmlformats.org/officeDocument/2006/relationships/image" Target="../media/image2.wmf" /></Relationships>
</file>

<file path=xl/drawings/_rels/drawing6.xml.rels><?xml version="1.0" encoding="utf-8" standalone="yes"?><Relationships xmlns="http://schemas.openxmlformats.org/package/2006/relationships"><Relationship Id="rId1" Type="http://schemas.openxmlformats.org/officeDocument/2006/relationships/image" Target="../media/image2.wmf" /></Relationships>
</file>

<file path=xl/drawings/_rels/drawing7.xml.rels><?xml version="1.0" encoding="utf-8" standalone="yes"?><Relationships xmlns="http://schemas.openxmlformats.org/package/2006/relationships"><Relationship Id="rId1" Type="http://schemas.openxmlformats.org/officeDocument/2006/relationships/image" Target="../media/image2.wmf" /></Relationships>
</file>

<file path=xl/drawings/_rels/drawing8.xml.rels><?xml version="1.0" encoding="utf-8" standalone="yes"?><Relationships xmlns="http://schemas.openxmlformats.org/package/2006/relationships"><Relationship Id="rId1" Type="http://schemas.openxmlformats.org/officeDocument/2006/relationships/image" Target="file://X:\Algemeen\Clipart\Ctg\LogoKop.eps" TargetMode="External" /><Relationship Id="rId2" Type="http://schemas.openxmlformats.org/officeDocument/2006/relationships/image" Target="../media/image2.wmf" /></Relationships>
</file>

<file path=xl/drawings/_rels/drawing9.xml.rels><?xml version="1.0" encoding="utf-8" standalone="yes"?><Relationships xmlns="http://schemas.openxmlformats.org/package/2006/relationships"><Relationship Id="rId1" Type="http://schemas.openxmlformats.org/officeDocument/2006/relationships/image" Target="file://X:\Algemeen\Clipart\Ctg\LogoKop.eps" TargetMode="External"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38</xdr:row>
      <xdr:rowOff>0</xdr:rowOff>
    </xdr:from>
    <xdr:to>
      <xdr:col>6</xdr:col>
      <xdr:colOff>0</xdr:colOff>
      <xdr:row>38</xdr:row>
      <xdr:rowOff>0</xdr:rowOff>
    </xdr:to>
    <xdr:grpSp>
      <xdr:nvGrpSpPr>
        <xdr:cNvPr id="1" name="Group 1"/>
        <xdr:cNvGrpSpPr>
          <a:grpSpLocks/>
        </xdr:cNvGrpSpPr>
      </xdr:nvGrpSpPr>
      <xdr:grpSpPr>
        <a:xfrm>
          <a:off x="4905375" y="6229350"/>
          <a:ext cx="0" cy="0"/>
          <a:chOff x="790" y="4"/>
          <a:chExt cx="90" cy="54"/>
        </a:xfrm>
        <a:solidFill>
          <a:srgbClr val="FFFFFF"/>
        </a:solidFill>
      </xdr:grpSpPr>
      <xdr:sp>
        <xdr:nvSpPr>
          <xdr:cNvPr id="2" name="Rectangle 2"/>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3"/>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 name="TextBox 4"/>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6</xdr:col>
      <xdr:colOff>0</xdr:colOff>
      <xdr:row>38</xdr:row>
      <xdr:rowOff>0</xdr:rowOff>
    </xdr:from>
    <xdr:to>
      <xdr:col>6</xdr:col>
      <xdr:colOff>0</xdr:colOff>
      <xdr:row>38</xdr:row>
      <xdr:rowOff>0</xdr:rowOff>
    </xdr:to>
    <xdr:grpSp>
      <xdr:nvGrpSpPr>
        <xdr:cNvPr id="5" name="Group 5"/>
        <xdr:cNvGrpSpPr>
          <a:grpSpLocks/>
        </xdr:cNvGrpSpPr>
      </xdr:nvGrpSpPr>
      <xdr:grpSpPr>
        <a:xfrm>
          <a:off x="4905375" y="6229350"/>
          <a:ext cx="0" cy="0"/>
          <a:chOff x="790" y="4"/>
          <a:chExt cx="90" cy="54"/>
        </a:xfrm>
        <a:solidFill>
          <a:srgbClr val="FFFFFF"/>
        </a:solidFill>
      </xdr:grpSpPr>
      <xdr:sp>
        <xdr:nvSpPr>
          <xdr:cNvPr id="6" name="Rectangle 6"/>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7"/>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8" name="TextBox 8"/>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11</xdr:col>
      <xdr:colOff>180975</xdr:colOff>
      <xdr:row>0</xdr:row>
      <xdr:rowOff>9525</xdr:rowOff>
    </xdr:from>
    <xdr:to>
      <xdr:col>13</xdr:col>
      <xdr:colOff>0</xdr:colOff>
      <xdr:row>2</xdr:row>
      <xdr:rowOff>0</xdr:rowOff>
    </xdr:to>
    <xdr:grpSp>
      <xdr:nvGrpSpPr>
        <xdr:cNvPr id="9" name="Group 9"/>
        <xdr:cNvGrpSpPr>
          <a:grpSpLocks/>
        </xdr:cNvGrpSpPr>
      </xdr:nvGrpSpPr>
      <xdr:grpSpPr>
        <a:xfrm>
          <a:off x="8086725" y="9525"/>
          <a:ext cx="180975" cy="390525"/>
          <a:chOff x="769" y="35"/>
          <a:chExt cx="110" cy="41"/>
        </a:xfrm>
        <a:solidFill>
          <a:srgbClr val="FFFFFF"/>
        </a:solidFill>
      </xdr:grpSpPr>
      <xdr:sp>
        <xdr:nvSpPr>
          <xdr:cNvPr id="10" name="Rectangle 1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1" name="Rectangle 1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2" name="Picture 12"/>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13" name="Rectangle 1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0</xdr:colOff>
      <xdr:row>40</xdr:row>
      <xdr:rowOff>0</xdr:rowOff>
    </xdr:from>
    <xdr:to>
      <xdr:col>9</xdr:col>
      <xdr:colOff>0</xdr:colOff>
      <xdr:row>40</xdr:row>
      <xdr:rowOff>0</xdr:rowOff>
    </xdr:to>
    <xdr:grpSp>
      <xdr:nvGrpSpPr>
        <xdr:cNvPr id="14" name="Group 14"/>
        <xdr:cNvGrpSpPr>
          <a:grpSpLocks/>
        </xdr:cNvGrpSpPr>
      </xdr:nvGrpSpPr>
      <xdr:grpSpPr>
        <a:xfrm>
          <a:off x="7543800" y="6553200"/>
          <a:ext cx="0" cy="0"/>
          <a:chOff x="790" y="4"/>
          <a:chExt cx="90" cy="54"/>
        </a:xfrm>
        <a:solidFill>
          <a:srgbClr val="FFFFFF"/>
        </a:solidFill>
      </xdr:grpSpPr>
      <xdr:sp>
        <xdr:nvSpPr>
          <xdr:cNvPr id="15" name="Rectangle 15"/>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6" name="Picture 16"/>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7" name="TextBox 17"/>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9</xdr:col>
      <xdr:colOff>0</xdr:colOff>
      <xdr:row>40</xdr:row>
      <xdr:rowOff>0</xdr:rowOff>
    </xdr:from>
    <xdr:to>
      <xdr:col>9</xdr:col>
      <xdr:colOff>0</xdr:colOff>
      <xdr:row>40</xdr:row>
      <xdr:rowOff>0</xdr:rowOff>
    </xdr:to>
    <xdr:grpSp>
      <xdr:nvGrpSpPr>
        <xdr:cNvPr id="18" name="Group 18"/>
        <xdr:cNvGrpSpPr>
          <a:grpSpLocks/>
        </xdr:cNvGrpSpPr>
      </xdr:nvGrpSpPr>
      <xdr:grpSpPr>
        <a:xfrm>
          <a:off x="7543800" y="6553200"/>
          <a:ext cx="0" cy="0"/>
          <a:chOff x="790" y="4"/>
          <a:chExt cx="90" cy="54"/>
        </a:xfrm>
        <a:solidFill>
          <a:srgbClr val="FFFFFF"/>
        </a:solidFill>
      </xdr:grpSpPr>
      <xdr:sp>
        <xdr:nvSpPr>
          <xdr:cNvPr id="19" name="Rectangle 19"/>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0" name="Picture 20"/>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21" name="TextBox 21"/>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6</xdr:col>
      <xdr:colOff>0</xdr:colOff>
      <xdr:row>38</xdr:row>
      <xdr:rowOff>9525</xdr:rowOff>
    </xdr:from>
    <xdr:to>
      <xdr:col>6</xdr:col>
      <xdr:colOff>0</xdr:colOff>
      <xdr:row>39</xdr:row>
      <xdr:rowOff>0</xdr:rowOff>
    </xdr:to>
    <xdr:grpSp>
      <xdr:nvGrpSpPr>
        <xdr:cNvPr id="22" name="Group 22"/>
        <xdr:cNvGrpSpPr>
          <a:grpSpLocks/>
        </xdr:cNvGrpSpPr>
      </xdr:nvGrpSpPr>
      <xdr:grpSpPr>
        <a:xfrm>
          <a:off x="4905375" y="6238875"/>
          <a:ext cx="0" cy="152400"/>
          <a:chOff x="769" y="35"/>
          <a:chExt cx="110" cy="41"/>
        </a:xfrm>
        <a:solidFill>
          <a:srgbClr val="FFFFFF"/>
        </a:solidFill>
      </xdr:grpSpPr>
      <xdr:sp>
        <xdr:nvSpPr>
          <xdr:cNvPr id="23" name="Rectangle 2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4" name="Rectangle 2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5" name="Picture 25"/>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26" name="Rectangle 2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38</xdr:row>
      <xdr:rowOff>9525</xdr:rowOff>
    </xdr:from>
    <xdr:to>
      <xdr:col>6</xdr:col>
      <xdr:colOff>0</xdr:colOff>
      <xdr:row>39</xdr:row>
      <xdr:rowOff>0</xdr:rowOff>
    </xdr:to>
    <xdr:grpSp>
      <xdr:nvGrpSpPr>
        <xdr:cNvPr id="27" name="Group 27"/>
        <xdr:cNvGrpSpPr>
          <a:grpSpLocks/>
        </xdr:cNvGrpSpPr>
      </xdr:nvGrpSpPr>
      <xdr:grpSpPr>
        <a:xfrm>
          <a:off x="4905375" y="6238875"/>
          <a:ext cx="0" cy="152400"/>
          <a:chOff x="769" y="35"/>
          <a:chExt cx="110" cy="41"/>
        </a:xfrm>
        <a:solidFill>
          <a:srgbClr val="FFFFFF"/>
        </a:solidFill>
      </xdr:grpSpPr>
      <xdr:sp>
        <xdr:nvSpPr>
          <xdr:cNvPr id="28" name="Rectangle 2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9" name="Rectangle 2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0" name="Picture 30"/>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31" name="Rectangle 3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0</xdr:colOff>
      <xdr:row>266</xdr:row>
      <xdr:rowOff>0</xdr:rowOff>
    </xdr:from>
    <xdr:to>
      <xdr:col>4</xdr:col>
      <xdr:colOff>9525</xdr:colOff>
      <xdr:row>266</xdr:row>
      <xdr:rowOff>0</xdr:rowOff>
    </xdr:to>
    <xdr:grpSp>
      <xdr:nvGrpSpPr>
        <xdr:cNvPr id="32" name="Group 32"/>
        <xdr:cNvGrpSpPr>
          <a:grpSpLocks/>
        </xdr:cNvGrpSpPr>
      </xdr:nvGrpSpPr>
      <xdr:grpSpPr>
        <a:xfrm>
          <a:off x="3114675" y="43148250"/>
          <a:ext cx="9525" cy="0"/>
          <a:chOff x="790" y="4"/>
          <a:chExt cx="90" cy="54"/>
        </a:xfrm>
        <a:solidFill>
          <a:srgbClr val="FFFFFF"/>
        </a:solidFill>
      </xdr:grpSpPr>
      <xdr:sp>
        <xdr:nvSpPr>
          <xdr:cNvPr id="33" name="Rectangle 33"/>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4" name="Picture 34"/>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35" name="TextBox 35"/>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4</xdr:col>
      <xdr:colOff>0</xdr:colOff>
      <xdr:row>266</xdr:row>
      <xdr:rowOff>0</xdr:rowOff>
    </xdr:from>
    <xdr:to>
      <xdr:col>4</xdr:col>
      <xdr:colOff>9525</xdr:colOff>
      <xdr:row>266</xdr:row>
      <xdr:rowOff>0</xdr:rowOff>
    </xdr:to>
    <xdr:grpSp>
      <xdr:nvGrpSpPr>
        <xdr:cNvPr id="36" name="Group 36"/>
        <xdr:cNvGrpSpPr>
          <a:grpSpLocks/>
        </xdr:cNvGrpSpPr>
      </xdr:nvGrpSpPr>
      <xdr:grpSpPr>
        <a:xfrm>
          <a:off x="3114675" y="43148250"/>
          <a:ext cx="9525" cy="0"/>
          <a:chOff x="790" y="4"/>
          <a:chExt cx="90" cy="54"/>
        </a:xfrm>
        <a:solidFill>
          <a:srgbClr val="FFFFFF"/>
        </a:solidFill>
      </xdr:grpSpPr>
      <xdr:sp>
        <xdr:nvSpPr>
          <xdr:cNvPr id="37" name="Rectangle 37"/>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8" name="Picture 38"/>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39" name="TextBox 39"/>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16</xdr:col>
      <xdr:colOff>657225</xdr:colOff>
      <xdr:row>350</xdr:row>
      <xdr:rowOff>0</xdr:rowOff>
    </xdr:from>
    <xdr:to>
      <xdr:col>18</xdr:col>
      <xdr:colOff>9525</xdr:colOff>
      <xdr:row>350</xdr:row>
      <xdr:rowOff>0</xdr:rowOff>
    </xdr:to>
    <xdr:grpSp>
      <xdr:nvGrpSpPr>
        <xdr:cNvPr id="40" name="Group 40"/>
        <xdr:cNvGrpSpPr>
          <a:grpSpLocks/>
        </xdr:cNvGrpSpPr>
      </xdr:nvGrpSpPr>
      <xdr:grpSpPr>
        <a:xfrm>
          <a:off x="10982325" y="56749950"/>
          <a:ext cx="590550" cy="0"/>
          <a:chOff x="769" y="35"/>
          <a:chExt cx="110" cy="41"/>
        </a:xfrm>
        <a:solidFill>
          <a:srgbClr val="FFFFFF"/>
        </a:solidFill>
      </xdr:grpSpPr>
      <xdr:sp>
        <xdr:nvSpPr>
          <xdr:cNvPr id="41" name="Rectangle 41"/>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2" name="Rectangle 42"/>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3" name="Picture 43"/>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44" name="Rectangle 44"/>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9525</xdr:rowOff>
    </xdr:from>
    <xdr:to>
      <xdr:col>6</xdr:col>
      <xdr:colOff>0</xdr:colOff>
      <xdr:row>2</xdr:row>
      <xdr:rowOff>0</xdr:rowOff>
    </xdr:to>
    <xdr:grpSp>
      <xdr:nvGrpSpPr>
        <xdr:cNvPr id="1" name="Group 11"/>
        <xdr:cNvGrpSpPr>
          <a:grpSpLocks/>
        </xdr:cNvGrpSpPr>
      </xdr:nvGrpSpPr>
      <xdr:grpSpPr>
        <a:xfrm>
          <a:off x="4143375" y="9525"/>
          <a:ext cx="0" cy="390525"/>
          <a:chOff x="769" y="35"/>
          <a:chExt cx="110" cy="41"/>
        </a:xfrm>
        <a:solidFill>
          <a:srgbClr val="FFFFFF"/>
        </a:solidFill>
      </xdr:grpSpPr>
      <xdr:sp>
        <xdr:nvSpPr>
          <xdr:cNvPr id="2" name="Rectangle 1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1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1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1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257175</xdr:colOff>
      <xdr:row>0</xdr:row>
      <xdr:rowOff>9525</xdr:rowOff>
    </xdr:from>
    <xdr:to>
      <xdr:col>12</xdr:col>
      <xdr:colOff>619125</xdr:colOff>
      <xdr:row>2</xdr:row>
      <xdr:rowOff>0</xdr:rowOff>
    </xdr:to>
    <xdr:grpSp>
      <xdr:nvGrpSpPr>
        <xdr:cNvPr id="6" name="Group 18"/>
        <xdr:cNvGrpSpPr>
          <a:grpSpLocks/>
        </xdr:cNvGrpSpPr>
      </xdr:nvGrpSpPr>
      <xdr:grpSpPr>
        <a:xfrm>
          <a:off x="7258050" y="9525"/>
          <a:ext cx="1076325" cy="390525"/>
          <a:chOff x="769" y="35"/>
          <a:chExt cx="110" cy="41"/>
        </a:xfrm>
        <a:solidFill>
          <a:srgbClr val="FFFFFF"/>
        </a:solidFill>
      </xdr:grpSpPr>
      <xdr:sp>
        <xdr:nvSpPr>
          <xdr:cNvPr id="7" name="Rectangle 1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2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2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2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31</xdr:row>
      <xdr:rowOff>0</xdr:rowOff>
    </xdr:from>
    <xdr:to>
      <xdr:col>6</xdr:col>
      <xdr:colOff>0</xdr:colOff>
      <xdr:row>31</xdr:row>
      <xdr:rowOff>0</xdr:rowOff>
    </xdr:to>
    <xdr:grpSp>
      <xdr:nvGrpSpPr>
        <xdr:cNvPr id="11" name="Group 25"/>
        <xdr:cNvGrpSpPr>
          <a:grpSpLocks/>
        </xdr:cNvGrpSpPr>
      </xdr:nvGrpSpPr>
      <xdr:grpSpPr>
        <a:xfrm>
          <a:off x="4143375" y="5124450"/>
          <a:ext cx="0" cy="0"/>
          <a:chOff x="769" y="35"/>
          <a:chExt cx="110" cy="41"/>
        </a:xfrm>
        <a:solidFill>
          <a:srgbClr val="FFFFFF"/>
        </a:solidFill>
      </xdr:grpSpPr>
      <xdr:sp>
        <xdr:nvSpPr>
          <xdr:cNvPr id="12" name="Rectangle 2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2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2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5" name="Rectangle 2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35</xdr:row>
      <xdr:rowOff>0</xdr:rowOff>
    </xdr:from>
    <xdr:to>
      <xdr:col>6</xdr:col>
      <xdr:colOff>0</xdr:colOff>
      <xdr:row>35</xdr:row>
      <xdr:rowOff>0</xdr:rowOff>
    </xdr:to>
    <xdr:grpSp>
      <xdr:nvGrpSpPr>
        <xdr:cNvPr id="16" name="Group 35"/>
        <xdr:cNvGrpSpPr>
          <a:grpSpLocks/>
        </xdr:cNvGrpSpPr>
      </xdr:nvGrpSpPr>
      <xdr:grpSpPr>
        <a:xfrm>
          <a:off x="4143375" y="5762625"/>
          <a:ext cx="0" cy="0"/>
          <a:chOff x="769" y="35"/>
          <a:chExt cx="110" cy="41"/>
        </a:xfrm>
        <a:solidFill>
          <a:srgbClr val="FFFFFF"/>
        </a:solidFill>
      </xdr:grpSpPr>
      <xdr:sp>
        <xdr:nvSpPr>
          <xdr:cNvPr id="17" name="Rectangle 3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3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 name="Picture 3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0" name="Rectangle 3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38</xdr:row>
      <xdr:rowOff>9525</xdr:rowOff>
    </xdr:from>
    <xdr:to>
      <xdr:col>6</xdr:col>
      <xdr:colOff>0</xdr:colOff>
      <xdr:row>40</xdr:row>
      <xdr:rowOff>0</xdr:rowOff>
    </xdr:to>
    <xdr:grpSp>
      <xdr:nvGrpSpPr>
        <xdr:cNvPr id="21" name="Group 45"/>
        <xdr:cNvGrpSpPr>
          <a:grpSpLocks/>
        </xdr:cNvGrpSpPr>
      </xdr:nvGrpSpPr>
      <xdr:grpSpPr>
        <a:xfrm>
          <a:off x="4143375" y="6257925"/>
          <a:ext cx="0" cy="295275"/>
          <a:chOff x="769" y="35"/>
          <a:chExt cx="110" cy="41"/>
        </a:xfrm>
        <a:solidFill>
          <a:srgbClr val="FFFFFF"/>
        </a:solidFill>
      </xdr:grpSpPr>
      <xdr:sp>
        <xdr:nvSpPr>
          <xdr:cNvPr id="22" name="Rectangle 4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3" name="Rectangle 4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4" name="Picture 4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5" name="Rectangle 4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69</xdr:row>
      <xdr:rowOff>0</xdr:rowOff>
    </xdr:from>
    <xdr:to>
      <xdr:col>6</xdr:col>
      <xdr:colOff>0</xdr:colOff>
      <xdr:row>69</xdr:row>
      <xdr:rowOff>0</xdr:rowOff>
    </xdr:to>
    <xdr:grpSp>
      <xdr:nvGrpSpPr>
        <xdr:cNvPr id="26" name="Group 65"/>
        <xdr:cNvGrpSpPr>
          <a:grpSpLocks/>
        </xdr:cNvGrpSpPr>
      </xdr:nvGrpSpPr>
      <xdr:grpSpPr>
        <a:xfrm>
          <a:off x="4143375" y="11058525"/>
          <a:ext cx="0" cy="0"/>
          <a:chOff x="769" y="35"/>
          <a:chExt cx="110" cy="41"/>
        </a:xfrm>
        <a:solidFill>
          <a:srgbClr val="FFFFFF"/>
        </a:solidFill>
      </xdr:grpSpPr>
      <xdr:sp>
        <xdr:nvSpPr>
          <xdr:cNvPr id="27" name="Rectangle 6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8" name="Rectangle 6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9" name="Picture 6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0" name="Rectangle 6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209550</xdr:colOff>
      <xdr:row>37</xdr:row>
      <xdr:rowOff>114300</xdr:rowOff>
    </xdr:from>
    <xdr:to>
      <xdr:col>12</xdr:col>
      <xdr:colOff>571500</xdr:colOff>
      <xdr:row>41</xdr:row>
      <xdr:rowOff>38100</xdr:rowOff>
    </xdr:to>
    <xdr:grpSp>
      <xdr:nvGrpSpPr>
        <xdr:cNvPr id="31" name="Group 75"/>
        <xdr:cNvGrpSpPr>
          <a:grpSpLocks/>
        </xdr:cNvGrpSpPr>
      </xdr:nvGrpSpPr>
      <xdr:grpSpPr>
        <a:xfrm>
          <a:off x="7210425" y="6200775"/>
          <a:ext cx="1076325" cy="542925"/>
          <a:chOff x="769" y="35"/>
          <a:chExt cx="110" cy="41"/>
        </a:xfrm>
        <a:solidFill>
          <a:srgbClr val="FFFFFF"/>
        </a:solidFill>
      </xdr:grpSpPr>
      <xdr:sp>
        <xdr:nvSpPr>
          <xdr:cNvPr id="32" name="Rectangle 7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3" name="Rectangle 7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4" name="Picture 7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5" name="Rectangle 7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714375</xdr:colOff>
      <xdr:row>0</xdr:row>
      <xdr:rowOff>47625</xdr:rowOff>
    </xdr:from>
    <xdr:to>
      <xdr:col>9</xdr:col>
      <xdr:colOff>847725</xdr:colOff>
      <xdr:row>1</xdr:row>
      <xdr:rowOff>171450</xdr:rowOff>
    </xdr:to>
    <xdr:grpSp>
      <xdr:nvGrpSpPr>
        <xdr:cNvPr id="1" name="Group 28"/>
        <xdr:cNvGrpSpPr>
          <a:grpSpLocks/>
        </xdr:cNvGrpSpPr>
      </xdr:nvGrpSpPr>
      <xdr:grpSpPr>
        <a:xfrm>
          <a:off x="8048625" y="47625"/>
          <a:ext cx="1047750" cy="323850"/>
          <a:chOff x="769" y="35"/>
          <a:chExt cx="110" cy="41"/>
        </a:xfrm>
        <a:solidFill>
          <a:srgbClr val="FFFFFF"/>
        </a:solidFill>
      </xdr:grpSpPr>
      <xdr:sp>
        <xdr:nvSpPr>
          <xdr:cNvPr id="2" name="Rectangle 2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3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3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0</xdr:row>
      <xdr:rowOff>0</xdr:rowOff>
    </xdr:from>
    <xdr:to>
      <xdr:col>10</xdr:col>
      <xdr:colOff>361950</xdr:colOff>
      <xdr:row>0</xdr:row>
      <xdr:rowOff>0</xdr:rowOff>
    </xdr:to>
    <xdr:grpSp>
      <xdr:nvGrpSpPr>
        <xdr:cNvPr id="1" name="Group 1"/>
        <xdr:cNvGrpSpPr>
          <a:grpSpLocks/>
        </xdr:cNvGrpSpPr>
      </xdr:nvGrpSpPr>
      <xdr:grpSpPr>
        <a:xfrm>
          <a:off x="8048625" y="0"/>
          <a:ext cx="1181100" cy="0"/>
          <a:chOff x="769" y="35"/>
          <a:chExt cx="110" cy="41"/>
        </a:xfrm>
        <a:solidFill>
          <a:srgbClr val="FFFFFF"/>
        </a:solidFill>
      </xdr:grpSpPr>
      <xdr:sp>
        <xdr:nvSpPr>
          <xdr:cNvPr id="2" name="Rectangle 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400050</xdr:colOff>
      <xdr:row>0</xdr:row>
      <xdr:rowOff>0</xdr:rowOff>
    </xdr:from>
    <xdr:to>
      <xdr:col>10</xdr:col>
      <xdr:colOff>361950</xdr:colOff>
      <xdr:row>0</xdr:row>
      <xdr:rowOff>0</xdr:rowOff>
    </xdr:to>
    <xdr:grpSp>
      <xdr:nvGrpSpPr>
        <xdr:cNvPr id="6" name="Group 6"/>
        <xdr:cNvGrpSpPr>
          <a:grpSpLocks/>
        </xdr:cNvGrpSpPr>
      </xdr:nvGrpSpPr>
      <xdr:grpSpPr>
        <a:xfrm>
          <a:off x="8048625" y="0"/>
          <a:ext cx="1181100" cy="0"/>
          <a:chOff x="769" y="35"/>
          <a:chExt cx="110" cy="41"/>
        </a:xfrm>
        <a:solidFill>
          <a:srgbClr val="FFFFFF"/>
        </a:solidFill>
      </xdr:grpSpPr>
      <xdr:sp>
        <xdr:nvSpPr>
          <xdr:cNvPr id="7" name="Rectangle 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0</xdr:row>
      <xdr:rowOff>9525</xdr:rowOff>
    </xdr:from>
    <xdr:to>
      <xdr:col>6</xdr:col>
      <xdr:colOff>0</xdr:colOff>
      <xdr:row>2</xdr:row>
      <xdr:rowOff>0</xdr:rowOff>
    </xdr:to>
    <xdr:grpSp>
      <xdr:nvGrpSpPr>
        <xdr:cNvPr id="11" name="Group 11"/>
        <xdr:cNvGrpSpPr>
          <a:grpSpLocks/>
        </xdr:cNvGrpSpPr>
      </xdr:nvGrpSpPr>
      <xdr:grpSpPr>
        <a:xfrm>
          <a:off x="6257925" y="9525"/>
          <a:ext cx="0" cy="314325"/>
          <a:chOff x="769" y="35"/>
          <a:chExt cx="110" cy="41"/>
        </a:xfrm>
        <a:solidFill>
          <a:srgbClr val="FFFFFF"/>
        </a:solidFill>
      </xdr:grpSpPr>
      <xdr:sp>
        <xdr:nvSpPr>
          <xdr:cNvPr id="12" name="Rectangle 1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1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1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5" name="Rectangle 1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95250</xdr:colOff>
      <xdr:row>0</xdr:row>
      <xdr:rowOff>0</xdr:rowOff>
    </xdr:from>
    <xdr:to>
      <xdr:col>9</xdr:col>
      <xdr:colOff>57150</xdr:colOff>
      <xdr:row>2</xdr:row>
      <xdr:rowOff>0</xdr:rowOff>
    </xdr:to>
    <xdr:grpSp>
      <xdr:nvGrpSpPr>
        <xdr:cNvPr id="16" name="Group 21"/>
        <xdr:cNvGrpSpPr>
          <a:grpSpLocks/>
        </xdr:cNvGrpSpPr>
      </xdr:nvGrpSpPr>
      <xdr:grpSpPr>
        <a:xfrm>
          <a:off x="7134225" y="0"/>
          <a:ext cx="1181100" cy="323850"/>
          <a:chOff x="769" y="35"/>
          <a:chExt cx="110" cy="41"/>
        </a:xfrm>
        <a:solidFill>
          <a:srgbClr val="FFFFFF"/>
        </a:solidFill>
      </xdr:grpSpPr>
      <xdr:sp>
        <xdr:nvSpPr>
          <xdr:cNvPr id="17" name="Rectangle 2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2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 name="Picture 2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0" name="Rectangle 2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32</xdr:row>
      <xdr:rowOff>0</xdr:rowOff>
    </xdr:from>
    <xdr:to>
      <xdr:col>0</xdr:col>
      <xdr:colOff>0</xdr:colOff>
      <xdr:row>32</xdr:row>
      <xdr:rowOff>0</xdr:rowOff>
    </xdr:to>
    <xdr:grpSp>
      <xdr:nvGrpSpPr>
        <xdr:cNvPr id="21" name="Group 28"/>
        <xdr:cNvGrpSpPr>
          <a:grpSpLocks/>
        </xdr:cNvGrpSpPr>
      </xdr:nvGrpSpPr>
      <xdr:grpSpPr>
        <a:xfrm>
          <a:off x="0" y="5181600"/>
          <a:ext cx="0" cy="0"/>
          <a:chOff x="769" y="35"/>
          <a:chExt cx="110" cy="41"/>
        </a:xfrm>
        <a:solidFill>
          <a:srgbClr val="FFFFFF"/>
        </a:solidFill>
      </xdr:grpSpPr>
      <xdr:sp>
        <xdr:nvSpPr>
          <xdr:cNvPr id="22" name="Rectangle 2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3" name="Rectangle 3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4" name="Picture 3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5" name="Rectangle 3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32</xdr:row>
      <xdr:rowOff>0</xdr:rowOff>
    </xdr:from>
    <xdr:to>
      <xdr:col>0</xdr:col>
      <xdr:colOff>0</xdr:colOff>
      <xdr:row>32</xdr:row>
      <xdr:rowOff>0</xdr:rowOff>
    </xdr:to>
    <xdr:grpSp>
      <xdr:nvGrpSpPr>
        <xdr:cNvPr id="26" name="Group 33"/>
        <xdr:cNvGrpSpPr>
          <a:grpSpLocks/>
        </xdr:cNvGrpSpPr>
      </xdr:nvGrpSpPr>
      <xdr:grpSpPr>
        <a:xfrm>
          <a:off x="0" y="5181600"/>
          <a:ext cx="0" cy="0"/>
          <a:chOff x="769" y="35"/>
          <a:chExt cx="110" cy="41"/>
        </a:xfrm>
        <a:solidFill>
          <a:srgbClr val="FFFFFF"/>
        </a:solidFill>
      </xdr:grpSpPr>
      <xdr:sp>
        <xdr:nvSpPr>
          <xdr:cNvPr id="27" name="Rectangle 3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8" name="Rectangle 3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9" name="Picture 3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0" name="Rectangle 3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0</xdr:rowOff>
    </xdr:from>
    <xdr:to>
      <xdr:col>4</xdr:col>
      <xdr:colOff>904875</xdr:colOff>
      <xdr:row>1</xdr:row>
      <xdr:rowOff>190500</xdr:rowOff>
    </xdr:to>
    <xdr:grpSp>
      <xdr:nvGrpSpPr>
        <xdr:cNvPr id="1" name="Group 1"/>
        <xdr:cNvGrpSpPr>
          <a:grpSpLocks/>
        </xdr:cNvGrpSpPr>
      </xdr:nvGrpSpPr>
      <xdr:grpSpPr>
        <a:xfrm>
          <a:off x="7505700" y="0"/>
          <a:ext cx="876300" cy="390525"/>
          <a:chOff x="758" y="1"/>
          <a:chExt cx="110" cy="41"/>
        </a:xfrm>
        <a:solidFill>
          <a:srgbClr val="FFFFFF"/>
        </a:solidFill>
      </xdr:grpSpPr>
      <xdr:sp>
        <xdr:nvSpPr>
          <xdr:cNvPr id="2" name="Rectangle 2"/>
          <xdr:cNvSpPr>
            <a:spLocks/>
          </xdr:cNvSpPr>
        </xdr:nvSpPr>
        <xdr:spPr>
          <a:xfrm>
            <a:off x="779"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758" y="13"/>
            <a:ext cx="4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
          <xdr:cNvPicPr preferRelativeResize="1">
            <a:picLocks noChangeAspect="1"/>
          </xdr:cNvPicPr>
        </xdr:nvPicPr>
        <xdr:blipFill>
          <a:blip r:embed="rId1"/>
          <a:stretch>
            <a:fillRect/>
          </a:stretch>
        </xdr:blipFill>
        <xdr:spPr>
          <a:xfrm>
            <a:off x="761" y="1"/>
            <a:ext cx="83" cy="39"/>
          </a:xfrm>
          <a:prstGeom prst="rect">
            <a:avLst/>
          </a:prstGeom>
          <a:noFill/>
          <a:ln w="9525" cmpd="sng">
            <a:noFill/>
          </a:ln>
        </xdr:spPr>
      </xdr:pic>
      <xdr:sp>
        <xdr:nvSpPr>
          <xdr:cNvPr id="5" name="Rectangle 5"/>
          <xdr:cNvSpPr>
            <a:spLocks/>
          </xdr:cNvSpPr>
        </xdr:nvSpPr>
        <xdr:spPr>
          <a:xfrm>
            <a:off x="823"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9525</xdr:rowOff>
    </xdr:from>
    <xdr:to>
      <xdr:col>8</xdr:col>
      <xdr:colOff>0</xdr:colOff>
      <xdr:row>2</xdr:row>
      <xdr:rowOff>0</xdr:rowOff>
    </xdr:to>
    <xdr:grpSp>
      <xdr:nvGrpSpPr>
        <xdr:cNvPr id="1" name="Group 1"/>
        <xdr:cNvGrpSpPr>
          <a:grpSpLocks/>
        </xdr:cNvGrpSpPr>
      </xdr:nvGrpSpPr>
      <xdr:grpSpPr>
        <a:xfrm>
          <a:off x="9134475" y="9525"/>
          <a:ext cx="0" cy="390525"/>
          <a:chOff x="769" y="35"/>
          <a:chExt cx="110" cy="41"/>
        </a:xfrm>
        <a:solidFill>
          <a:srgbClr val="FFFFFF"/>
        </a:solidFill>
      </xdr:grpSpPr>
      <xdr:sp>
        <xdr:nvSpPr>
          <xdr:cNvPr id="2" name="Rectangle 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0</xdr:row>
      <xdr:rowOff>9525</xdr:rowOff>
    </xdr:from>
    <xdr:to>
      <xdr:col>8</xdr:col>
      <xdr:colOff>0</xdr:colOff>
      <xdr:row>2</xdr:row>
      <xdr:rowOff>0</xdr:rowOff>
    </xdr:to>
    <xdr:grpSp>
      <xdr:nvGrpSpPr>
        <xdr:cNvPr id="6" name="Group 6"/>
        <xdr:cNvGrpSpPr>
          <a:grpSpLocks/>
        </xdr:cNvGrpSpPr>
      </xdr:nvGrpSpPr>
      <xdr:grpSpPr>
        <a:xfrm>
          <a:off x="9134475" y="9525"/>
          <a:ext cx="0" cy="390525"/>
          <a:chOff x="769" y="35"/>
          <a:chExt cx="110" cy="41"/>
        </a:xfrm>
        <a:solidFill>
          <a:srgbClr val="FFFFFF"/>
        </a:solidFill>
      </xdr:grpSpPr>
      <xdr:sp>
        <xdr:nvSpPr>
          <xdr:cNvPr id="7" name="Rectangle 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114300</xdr:colOff>
      <xdr:row>0</xdr:row>
      <xdr:rowOff>9525</xdr:rowOff>
    </xdr:from>
    <xdr:to>
      <xdr:col>6</xdr:col>
      <xdr:colOff>47625</xdr:colOff>
      <xdr:row>2</xdr:row>
      <xdr:rowOff>0</xdr:rowOff>
    </xdr:to>
    <xdr:grpSp>
      <xdr:nvGrpSpPr>
        <xdr:cNvPr id="11" name="Group 56"/>
        <xdr:cNvGrpSpPr>
          <a:grpSpLocks/>
        </xdr:cNvGrpSpPr>
      </xdr:nvGrpSpPr>
      <xdr:grpSpPr>
        <a:xfrm>
          <a:off x="7362825" y="9525"/>
          <a:ext cx="990600" cy="390525"/>
          <a:chOff x="758" y="1"/>
          <a:chExt cx="110" cy="41"/>
        </a:xfrm>
        <a:solidFill>
          <a:srgbClr val="FFFFFF"/>
        </a:solidFill>
      </xdr:grpSpPr>
      <xdr:sp>
        <xdr:nvSpPr>
          <xdr:cNvPr id="12" name="Rectangle 57"/>
          <xdr:cNvSpPr>
            <a:spLocks/>
          </xdr:cNvSpPr>
        </xdr:nvSpPr>
        <xdr:spPr>
          <a:xfrm>
            <a:off x="779"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58"/>
          <xdr:cNvSpPr>
            <a:spLocks/>
          </xdr:cNvSpPr>
        </xdr:nvSpPr>
        <xdr:spPr>
          <a:xfrm>
            <a:off x="758" y="13"/>
            <a:ext cx="4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59"/>
          <xdr:cNvPicPr preferRelativeResize="1">
            <a:picLocks noChangeAspect="1"/>
          </xdr:cNvPicPr>
        </xdr:nvPicPr>
        <xdr:blipFill>
          <a:blip r:embed="rId1"/>
          <a:stretch>
            <a:fillRect/>
          </a:stretch>
        </xdr:blipFill>
        <xdr:spPr>
          <a:xfrm>
            <a:off x="761" y="1"/>
            <a:ext cx="83" cy="39"/>
          </a:xfrm>
          <a:prstGeom prst="rect">
            <a:avLst/>
          </a:prstGeom>
          <a:noFill/>
          <a:ln w="9525" cmpd="sng">
            <a:noFill/>
          </a:ln>
        </xdr:spPr>
      </xdr:pic>
      <xdr:sp>
        <xdr:nvSpPr>
          <xdr:cNvPr id="15" name="Rectangle 60"/>
          <xdr:cNvSpPr>
            <a:spLocks/>
          </xdr:cNvSpPr>
        </xdr:nvSpPr>
        <xdr:spPr>
          <a:xfrm>
            <a:off x="823"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0</xdr:row>
      <xdr:rowOff>9525</xdr:rowOff>
    </xdr:from>
    <xdr:to>
      <xdr:col>7</xdr:col>
      <xdr:colOff>0</xdr:colOff>
      <xdr:row>2</xdr:row>
      <xdr:rowOff>0</xdr:rowOff>
    </xdr:to>
    <xdr:grpSp>
      <xdr:nvGrpSpPr>
        <xdr:cNvPr id="1" name="Group 36"/>
        <xdr:cNvGrpSpPr>
          <a:grpSpLocks/>
        </xdr:cNvGrpSpPr>
      </xdr:nvGrpSpPr>
      <xdr:grpSpPr>
        <a:xfrm>
          <a:off x="7324725" y="9525"/>
          <a:ext cx="1047750" cy="390525"/>
          <a:chOff x="769" y="35"/>
          <a:chExt cx="110" cy="41"/>
        </a:xfrm>
        <a:solidFill>
          <a:srgbClr val="FFFFFF"/>
        </a:solidFill>
      </xdr:grpSpPr>
      <xdr:sp>
        <xdr:nvSpPr>
          <xdr:cNvPr id="2" name="Rectangle 3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3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4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133350</xdr:colOff>
      <xdr:row>26</xdr:row>
      <xdr:rowOff>0</xdr:rowOff>
    </xdr:from>
    <xdr:to>
      <xdr:col>7</xdr:col>
      <xdr:colOff>0</xdr:colOff>
      <xdr:row>26</xdr:row>
      <xdr:rowOff>0</xdr:rowOff>
    </xdr:to>
    <xdr:grpSp>
      <xdr:nvGrpSpPr>
        <xdr:cNvPr id="6" name="Group 41"/>
        <xdr:cNvGrpSpPr>
          <a:grpSpLocks/>
        </xdr:cNvGrpSpPr>
      </xdr:nvGrpSpPr>
      <xdr:grpSpPr>
        <a:xfrm>
          <a:off x="7324725" y="4095750"/>
          <a:ext cx="1047750" cy="0"/>
          <a:chOff x="769" y="35"/>
          <a:chExt cx="110" cy="41"/>
        </a:xfrm>
        <a:solidFill>
          <a:srgbClr val="FFFFFF"/>
        </a:solidFill>
      </xdr:grpSpPr>
      <xdr:sp>
        <xdr:nvSpPr>
          <xdr:cNvPr id="7" name="Rectangle 4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4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4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4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52</xdr:row>
      <xdr:rowOff>0</xdr:rowOff>
    </xdr:from>
    <xdr:to>
      <xdr:col>7</xdr:col>
      <xdr:colOff>9525</xdr:colOff>
      <xdr:row>52</xdr:row>
      <xdr:rowOff>0</xdr:rowOff>
    </xdr:to>
    <xdr:grpSp>
      <xdr:nvGrpSpPr>
        <xdr:cNvPr id="11" name="Group 46"/>
        <xdr:cNvGrpSpPr>
          <a:grpSpLocks/>
        </xdr:cNvGrpSpPr>
      </xdr:nvGrpSpPr>
      <xdr:grpSpPr>
        <a:xfrm>
          <a:off x="7191375" y="8096250"/>
          <a:ext cx="1190625" cy="0"/>
          <a:chOff x="790" y="4"/>
          <a:chExt cx="90" cy="54"/>
        </a:xfrm>
        <a:solidFill>
          <a:srgbClr val="FFFFFF"/>
        </a:solidFill>
      </xdr:grpSpPr>
      <xdr:sp>
        <xdr:nvSpPr>
          <xdr:cNvPr id="12" name="Rectangle 47"/>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3" name="Picture 48"/>
          <xdr:cNvPicPr preferRelativeResize="1">
            <a:picLocks noChangeAspect="1"/>
          </xdr:cNvPicPr>
        </xdr:nvPicPr>
        <xdr:blipFill>
          <a:blip r:link="rId2"/>
          <a:stretch>
            <a:fillRect/>
          </a:stretch>
        </xdr:blipFill>
        <xdr:spPr>
          <a:xfrm>
            <a:off x="792" y="4"/>
            <a:ext cx="87" cy="54"/>
          </a:xfrm>
          <a:prstGeom prst="rect">
            <a:avLst/>
          </a:prstGeom>
          <a:noFill/>
          <a:ln w="9525" cmpd="sng">
            <a:noFill/>
          </a:ln>
        </xdr:spPr>
      </xdr:pic>
      <xdr:sp>
        <xdr:nvSpPr>
          <xdr:cNvPr id="14" name="TextBox 49"/>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6</xdr:col>
      <xdr:colOff>0</xdr:colOff>
      <xdr:row>52</xdr:row>
      <xdr:rowOff>0</xdr:rowOff>
    </xdr:from>
    <xdr:to>
      <xdr:col>7</xdr:col>
      <xdr:colOff>9525</xdr:colOff>
      <xdr:row>52</xdr:row>
      <xdr:rowOff>0</xdr:rowOff>
    </xdr:to>
    <xdr:grpSp>
      <xdr:nvGrpSpPr>
        <xdr:cNvPr id="15" name="Group 50"/>
        <xdr:cNvGrpSpPr>
          <a:grpSpLocks/>
        </xdr:cNvGrpSpPr>
      </xdr:nvGrpSpPr>
      <xdr:grpSpPr>
        <a:xfrm>
          <a:off x="7191375" y="8096250"/>
          <a:ext cx="1190625" cy="0"/>
          <a:chOff x="790" y="4"/>
          <a:chExt cx="90" cy="54"/>
        </a:xfrm>
        <a:solidFill>
          <a:srgbClr val="FFFFFF"/>
        </a:solidFill>
      </xdr:grpSpPr>
      <xdr:sp>
        <xdr:nvSpPr>
          <xdr:cNvPr id="16" name="Rectangle 51"/>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7" name="Picture 52"/>
          <xdr:cNvPicPr preferRelativeResize="1">
            <a:picLocks noChangeAspect="1"/>
          </xdr:cNvPicPr>
        </xdr:nvPicPr>
        <xdr:blipFill>
          <a:blip r:link="rId2"/>
          <a:stretch>
            <a:fillRect/>
          </a:stretch>
        </xdr:blipFill>
        <xdr:spPr>
          <a:xfrm>
            <a:off x="792" y="4"/>
            <a:ext cx="87" cy="54"/>
          </a:xfrm>
          <a:prstGeom prst="rect">
            <a:avLst/>
          </a:prstGeom>
          <a:noFill/>
          <a:ln w="9525" cmpd="sng">
            <a:noFill/>
          </a:ln>
        </xdr:spPr>
      </xdr:pic>
      <xdr:sp>
        <xdr:nvSpPr>
          <xdr:cNvPr id="18" name="TextBox 53"/>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6</xdr:col>
      <xdr:colOff>133350</xdr:colOff>
      <xdr:row>47</xdr:row>
      <xdr:rowOff>0</xdr:rowOff>
    </xdr:from>
    <xdr:to>
      <xdr:col>7</xdr:col>
      <xdr:colOff>0</xdr:colOff>
      <xdr:row>48</xdr:row>
      <xdr:rowOff>0</xdr:rowOff>
    </xdr:to>
    <xdr:grpSp>
      <xdr:nvGrpSpPr>
        <xdr:cNvPr id="19" name="Group 54"/>
        <xdr:cNvGrpSpPr>
          <a:grpSpLocks/>
        </xdr:cNvGrpSpPr>
      </xdr:nvGrpSpPr>
      <xdr:grpSpPr>
        <a:xfrm>
          <a:off x="7324725" y="7324725"/>
          <a:ext cx="1047750" cy="152400"/>
          <a:chOff x="769" y="35"/>
          <a:chExt cx="110" cy="41"/>
        </a:xfrm>
        <a:solidFill>
          <a:srgbClr val="FFFFFF"/>
        </a:solidFill>
      </xdr:grpSpPr>
      <xdr:sp>
        <xdr:nvSpPr>
          <xdr:cNvPr id="20" name="Rectangle 5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1" name="Rectangle 5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2" name="Picture 5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3" name="Rectangle 5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133350</xdr:colOff>
      <xdr:row>26</xdr:row>
      <xdr:rowOff>0</xdr:rowOff>
    </xdr:from>
    <xdr:to>
      <xdr:col>7</xdr:col>
      <xdr:colOff>0</xdr:colOff>
      <xdr:row>26</xdr:row>
      <xdr:rowOff>0</xdr:rowOff>
    </xdr:to>
    <xdr:grpSp>
      <xdr:nvGrpSpPr>
        <xdr:cNvPr id="24" name="Group 69"/>
        <xdr:cNvGrpSpPr>
          <a:grpSpLocks/>
        </xdr:cNvGrpSpPr>
      </xdr:nvGrpSpPr>
      <xdr:grpSpPr>
        <a:xfrm>
          <a:off x="7324725" y="4095750"/>
          <a:ext cx="1047750" cy="0"/>
          <a:chOff x="769" y="35"/>
          <a:chExt cx="110" cy="41"/>
        </a:xfrm>
        <a:solidFill>
          <a:srgbClr val="FFFFFF"/>
        </a:solidFill>
      </xdr:grpSpPr>
      <xdr:sp>
        <xdr:nvSpPr>
          <xdr:cNvPr id="25" name="Rectangle 7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6" name="Rectangle 7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7" name="Picture 7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8" name="Rectangle 7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133350</xdr:colOff>
      <xdr:row>26</xdr:row>
      <xdr:rowOff>0</xdr:rowOff>
    </xdr:from>
    <xdr:to>
      <xdr:col>7</xdr:col>
      <xdr:colOff>0</xdr:colOff>
      <xdr:row>26</xdr:row>
      <xdr:rowOff>0</xdr:rowOff>
    </xdr:to>
    <xdr:grpSp>
      <xdr:nvGrpSpPr>
        <xdr:cNvPr id="29" name="Group 74"/>
        <xdr:cNvGrpSpPr>
          <a:grpSpLocks/>
        </xdr:cNvGrpSpPr>
      </xdr:nvGrpSpPr>
      <xdr:grpSpPr>
        <a:xfrm>
          <a:off x="7324725" y="4095750"/>
          <a:ext cx="1047750" cy="0"/>
          <a:chOff x="769" y="35"/>
          <a:chExt cx="110" cy="41"/>
        </a:xfrm>
        <a:solidFill>
          <a:srgbClr val="FFFFFF"/>
        </a:solidFill>
      </xdr:grpSpPr>
      <xdr:sp>
        <xdr:nvSpPr>
          <xdr:cNvPr id="30" name="Rectangle 7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1" name="Rectangle 7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2" name="Picture 7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3" name="Rectangle 7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133350</xdr:colOff>
      <xdr:row>92</xdr:row>
      <xdr:rowOff>9525</xdr:rowOff>
    </xdr:from>
    <xdr:to>
      <xdr:col>7</xdr:col>
      <xdr:colOff>0</xdr:colOff>
      <xdr:row>94</xdr:row>
      <xdr:rowOff>0</xdr:rowOff>
    </xdr:to>
    <xdr:grpSp>
      <xdr:nvGrpSpPr>
        <xdr:cNvPr id="34" name="Group 79"/>
        <xdr:cNvGrpSpPr>
          <a:grpSpLocks/>
        </xdr:cNvGrpSpPr>
      </xdr:nvGrpSpPr>
      <xdr:grpSpPr>
        <a:xfrm>
          <a:off x="7324725" y="14230350"/>
          <a:ext cx="1047750" cy="295275"/>
          <a:chOff x="769" y="35"/>
          <a:chExt cx="110" cy="41"/>
        </a:xfrm>
        <a:solidFill>
          <a:srgbClr val="FFFFFF"/>
        </a:solidFill>
      </xdr:grpSpPr>
      <xdr:sp>
        <xdr:nvSpPr>
          <xdr:cNvPr id="35" name="Rectangle 8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6" name="Rectangle 8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7" name="Picture 8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8" name="Rectangle 8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133350</xdr:colOff>
      <xdr:row>119</xdr:row>
      <xdr:rowOff>9525</xdr:rowOff>
    </xdr:from>
    <xdr:to>
      <xdr:col>7</xdr:col>
      <xdr:colOff>0</xdr:colOff>
      <xdr:row>121</xdr:row>
      <xdr:rowOff>0</xdr:rowOff>
    </xdr:to>
    <xdr:grpSp>
      <xdr:nvGrpSpPr>
        <xdr:cNvPr id="39" name="Group 84"/>
        <xdr:cNvGrpSpPr>
          <a:grpSpLocks/>
        </xdr:cNvGrpSpPr>
      </xdr:nvGrpSpPr>
      <xdr:grpSpPr>
        <a:xfrm>
          <a:off x="7324725" y="18345150"/>
          <a:ext cx="1047750" cy="295275"/>
          <a:chOff x="769" y="35"/>
          <a:chExt cx="110" cy="41"/>
        </a:xfrm>
        <a:solidFill>
          <a:srgbClr val="FFFFFF"/>
        </a:solidFill>
      </xdr:grpSpPr>
      <xdr:sp>
        <xdr:nvSpPr>
          <xdr:cNvPr id="40" name="Rectangle 8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1" name="Rectangle 8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2" name="Picture 8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3" name="Rectangle 8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400050</xdr:colOff>
      <xdr:row>39</xdr:row>
      <xdr:rowOff>9525</xdr:rowOff>
    </xdr:from>
    <xdr:to>
      <xdr:col>19</xdr:col>
      <xdr:colOff>9525</xdr:colOff>
      <xdr:row>41</xdr:row>
      <xdr:rowOff>0</xdr:rowOff>
    </xdr:to>
    <xdr:grpSp>
      <xdr:nvGrpSpPr>
        <xdr:cNvPr id="1" name="Group 41"/>
        <xdr:cNvGrpSpPr>
          <a:grpSpLocks/>
        </xdr:cNvGrpSpPr>
      </xdr:nvGrpSpPr>
      <xdr:grpSpPr>
        <a:xfrm>
          <a:off x="7334250" y="6400800"/>
          <a:ext cx="1047750" cy="390525"/>
          <a:chOff x="769" y="35"/>
          <a:chExt cx="110" cy="41"/>
        </a:xfrm>
        <a:solidFill>
          <a:srgbClr val="FFFFFF"/>
        </a:solidFill>
      </xdr:grpSpPr>
      <xdr:sp>
        <xdr:nvSpPr>
          <xdr:cNvPr id="2" name="Rectangle 4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4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4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18</xdr:col>
      <xdr:colOff>295275</xdr:colOff>
      <xdr:row>0</xdr:row>
      <xdr:rowOff>0</xdr:rowOff>
    </xdr:from>
    <xdr:to>
      <xdr:col>19</xdr:col>
      <xdr:colOff>657225</xdr:colOff>
      <xdr:row>1</xdr:row>
      <xdr:rowOff>190500</xdr:rowOff>
    </xdr:to>
    <xdr:grpSp>
      <xdr:nvGrpSpPr>
        <xdr:cNvPr id="6" name="Group 46"/>
        <xdr:cNvGrpSpPr>
          <a:grpSpLocks/>
        </xdr:cNvGrpSpPr>
      </xdr:nvGrpSpPr>
      <xdr:grpSpPr>
        <a:xfrm>
          <a:off x="7981950" y="0"/>
          <a:ext cx="1047750" cy="390525"/>
          <a:chOff x="769" y="35"/>
          <a:chExt cx="110" cy="41"/>
        </a:xfrm>
        <a:solidFill>
          <a:srgbClr val="FFFFFF"/>
        </a:solidFill>
      </xdr:grpSpPr>
      <xdr:sp>
        <xdr:nvSpPr>
          <xdr:cNvPr id="7" name="Rectangle 4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4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4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5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0</xdr:row>
      <xdr:rowOff>0</xdr:rowOff>
    </xdr:from>
    <xdr:to>
      <xdr:col>5</xdr:col>
      <xdr:colOff>0</xdr:colOff>
      <xdr:row>1</xdr:row>
      <xdr:rowOff>190500</xdr:rowOff>
    </xdr:to>
    <xdr:grpSp>
      <xdr:nvGrpSpPr>
        <xdr:cNvPr id="1" name="Group 23"/>
        <xdr:cNvGrpSpPr>
          <a:grpSpLocks/>
        </xdr:cNvGrpSpPr>
      </xdr:nvGrpSpPr>
      <xdr:grpSpPr>
        <a:xfrm>
          <a:off x="7286625" y="0"/>
          <a:ext cx="1047750" cy="390525"/>
          <a:chOff x="769" y="35"/>
          <a:chExt cx="110" cy="41"/>
        </a:xfrm>
        <a:solidFill>
          <a:srgbClr val="FFFFFF"/>
        </a:solidFill>
      </xdr:grpSpPr>
      <xdr:sp>
        <xdr:nvSpPr>
          <xdr:cNvPr id="2" name="Rectangle 2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2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2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2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0</xdr:row>
      <xdr:rowOff>19050</xdr:rowOff>
    </xdr:from>
    <xdr:to>
      <xdr:col>5</xdr:col>
      <xdr:colOff>390525</xdr:colOff>
      <xdr:row>2</xdr:row>
      <xdr:rowOff>19050</xdr:rowOff>
    </xdr:to>
    <xdr:grpSp>
      <xdr:nvGrpSpPr>
        <xdr:cNvPr id="1" name="Group 1"/>
        <xdr:cNvGrpSpPr>
          <a:grpSpLocks/>
        </xdr:cNvGrpSpPr>
      </xdr:nvGrpSpPr>
      <xdr:grpSpPr>
        <a:xfrm>
          <a:off x="7848600" y="19050"/>
          <a:ext cx="1381125" cy="323850"/>
          <a:chOff x="769" y="35"/>
          <a:chExt cx="110" cy="41"/>
        </a:xfrm>
        <a:solidFill>
          <a:srgbClr val="FFFFFF"/>
        </a:solidFill>
      </xdr:grpSpPr>
      <xdr:sp>
        <xdr:nvSpPr>
          <xdr:cNvPr id="2" name="Rectangle 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123825</xdr:colOff>
      <xdr:row>47</xdr:row>
      <xdr:rowOff>19050</xdr:rowOff>
    </xdr:from>
    <xdr:to>
      <xdr:col>5</xdr:col>
      <xdr:colOff>409575</xdr:colOff>
      <xdr:row>49</xdr:row>
      <xdr:rowOff>19050</xdr:rowOff>
    </xdr:to>
    <xdr:grpSp>
      <xdr:nvGrpSpPr>
        <xdr:cNvPr id="6" name="Group 6"/>
        <xdr:cNvGrpSpPr>
          <a:grpSpLocks/>
        </xdr:cNvGrpSpPr>
      </xdr:nvGrpSpPr>
      <xdr:grpSpPr>
        <a:xfrm>
          <a:off x="7858125" y="7248525"/>
          <a:ext cx="1390650" cy="304800"/>
          <a:chOff x="769" y="35"/>
          <a:chExt cx="110" cy="41"/>
        </a:xfrm>
        <a:solidFill>
          <a:srgbClr val="FFFFFF"/>
        </a:solidFill>
      </xdr:grpSpPr>
      <xdr:sp>
        <xdr:nvSpPr>
          <xdr:cNvPr id="7" name="Rectangle 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123825</xdr:colOff>
      <xdr:row>82</xdr:row>
      <xdr:rowOff>19050</xdr:rowOff>
    </xdr:from>
    <xdr:to>
      <xdr:col>5</xdr:col>
      <xdr:colOff>409575</xdr:colOff>
      <xdr:row>84</xdr:row>
      <xdr:rowOff>19050</xdr:rowOff>
    </xdr:to>
    <xdr:grpSp>
      <xdr:nvGrpSpPr>
        <xdr:cNvPr id="11" name="Group 11"/>
        <xdr:cNvGrpSpPr>
          <a:grpSpLocks/>
        </xdr:cNvGrpSpPr>
      </xdr:nvGrpSpPr>
      <xdr:grpSpPr>
        <a:xfrm>
          <a:off x="7858125" y="12582525"/>
          <a:ext cx="1390650" cy="304800"/>
          <a:chOff x="769" y="35"/>
          <a:chExt cx="110" cy="41"/>
        </a:xfrm>
        <a:solidFill>
          <a:srgbClr val="FFFFFF"/>
        </a:solidFill>
      </xdr:grpSpPr>
      <xdr:sp>
        <xdr:nvSpPr>
          <xdr:cNvPr id="12" name="Rectangle 1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1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1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5" name="Rectangle 1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0</xdr:colOff>
      <xdr:row>0</xdr:row>
      <xdr:rowOff>0</xdr:rowOff>
    </xdr:from>
    <xdr:to>
      <xdr:col>1</xdr:col>
      <xdr:colOff>209550</xdr:colOff>
      <xdr:row>2</xdr:row>
      <xdr:rowOff>152400</xdr:rowOff>
    </xdr:to>
    <xdr:pic>
      <xdr:nvPicPr>
        <xdr:cNvPr id="16" name="Picture 113"/>
        <xdr:cNvPicPr preferRelativeResize="1">
          <a:picLocks noChangeAspect="1"/>
        </xdr:cNvPicPr>
      </xdr:nvPicPr>
      <xdr:blipFill>
        <a:blip r:embed="rId2"/>
        <a:stretch>
          <a:fillRect/>
        </a:stretch>
      </xdr:blipFill>
      <xdr:spPr>
        <a:xfrm>
          <a:off x="0" y="0"/>
          <a:ext cx="59055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19</xdr:row>
      <xdr:rowOff>0</xdr:rowOff>
    </xdr:from>
    <xdr:to>
      <xdr:col>2</xdr:col>
      <xdr:colOff>180975</xdr:colOff>
      <xdr:row>19</xdr:row>
      <xdr:rowOff>0</xdr:rowOff>
    </xdr:to>
    <xdr:sp>
      <xdr:nvSpPr>
        <xdr:cNvPr id="1" name="Rectangle 1"/>
        <xdr:cNvSpPr>
          <a:spLocks/>
        </xdr:cNvSpPr>
      </xdr:nvSpPr>
      <xdr:spPr>
        <a:xfrm>
          <a:off x="962025"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2" name="Rectangle 2"/>
        <xdr:cNvSpPr>
          <a:spLocks/>
        </xdr:cNvSpPr>
      </xdr:nvSpPr>
      <xdr:spPr>
        <a:xfrm>
          <a:off x="962025"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3" name="Rectangle 3"/>
        <xdr:cNvSpPr>
          <a:spLocks/>
        </xdr:cNvSpPr>
      </xdr:nvSpPr>
      <xdr:spPr>
        <a:xfrm>
          <a:off x="962025"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4" name="Rectangle 4"/>
        <xdr:cNvSpPr>
          <a:spLocks/>
        </xdr:cNvSpPr>
      </xdr:nvSpPr>
      <xdr:spPr>
        <a:xfrm>
          <a:off x="962025"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5" name="Rectangle 5"/>
        <xdr:cNvSpPr>
          <a:spLocks/>
        </xdr:cNvSpPr>
      </xdr:nvSpPr>
      <xdr:spPr>
        <a:xfrm>
          <a:off x="962025"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6" name="Rectangle 6"/>
        <xdr:cNvSpPr>
          <a:spLocks/>
        </xdr:cNvSpPr>
      </xdr:nvSpPr>
      <xdr:spPr>
        <a:xfrm>
          <a:off x="962025"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7" name="Rectangle 7"/>
        <xdr:cNvSpPr>
          <a:spLocks/>
        </xdr:cNvSpPr>
      </xdr:nvSpPr>
      <xdr:spPr>
        <a:xfrm>
          <a:off x="962025"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24</xdr:row>
      <xdr:rowOff>47625</xdr:rowOff>
    </xdr:from>
    <xdr:to>
      <xdr:col>2</xdr:col>
      <xdr:colOff>180975</xdr:colOff>
      <xdr:row>24</xdr:row>
      <xdr:rowOff>123825</xdr:rowOff>
    </xdr:to>
    <xdr:sp>
      <xdr:nvSpPr>
        <xdr:cNvPr id="8" name="Rectangle 8"/>
        <xdr:cNvSpPr>
          <a:spLocks/>
        </xdr:cNvSpPr>
      </xdr:nvSpPr>
      <xdr:spPr>
        <a:xfrm>
          <a:off x="962025" y="4200525"/>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190500</xdr:colOff>
      <xdr:row>0</xdr:row>
      <xdr:rowOff>9525</xdr:rowOff>
    </xdr:from>
    <xdr:to>
      <xdr:col>14</xdr:col>
      <xdr:colOff>0</xdr:colOff>
      <xdr:row>3</xdr:row>
      <xdr:rowOff>0</xdr:rowOff>
    </xdr:to>
    <xdr:grpSp>
      <xdr:nvGrpSpPr>
        <xdr:cNvPr id="9" name="Group 12"/>
        <xdr:cNvGrpSpPr>
          <a:grpSpLocks/>
        </xdr:cNvGrpSpPr>
      </xdr:nvGrpSpPr>
      <xdr:grpSpPr>
        <a:xfrm>
          <a:off x="6819900" y="9525"/>
          <a:ext cx="1619250" cy="666750"/>
          <a:chOff x="706" y="1"/>
          <a:chExt cx="170" cy="70"/>
        </a:xfrm>
        <a:solidFill>
          <a:srgbClr val="FFFFFF"/>
        </a:solidFill>
      </xdr:grpSpPr>
      <xdr:sp>
        <xdr:nvSpPr>
          <xdr:cNvPr id="10" name="Rectangle 13"/>
          <xdr:cNvSpPr>
            <a:spLocks/>
          </xdr:cNvSpPr>
        </xdr:nvSpPr>
        <xdr:spPr>
          <a:xfrm>
            <a:off x="706" y="29"/>
            <a:ext cx="170" cy="19"/>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 name="Rectangle 14"/>
          <xdr:cNvSpPr>
            <a:spLocks/>
          </xdr:cNvSpPr>
        </xdr:nvSpPr>
        <xdr:spPr>
          <a:xfrm>
            <a:off x="776" y="26"/>
            <a:ext cx="78" cy="23"/>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 name="Line 15"/>
          <xdr:cNvSpPr>
            <a:spLocks/>
          </xdr:cNvSpPr>
        </xdr:nvSpPr>
        <xdr:spPr>
          <a:xfrm flipH="1">
            <a:off x="832" y="71"/>
            <a:ext cx="44"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flipH="1">
            <a:off x="841" y="71"/>
            <a:ext cx="24"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 name="Rectangle 17"/>
          <xdr:cNvSpPr>
            <a:spLocks/>
          </xdr:cNvSpPr>
        </xdr:nvSpPr>
        <xdr:spPr>
          <a:xfrm>
            <a:off x="825" y="62"/>
            <a:ext cx="51" cy="9"/>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15" name="Picture 18"/>
          <xdr:cNvPicPr preferRelativeResize="1">
            <a:picLocks noChangeAspect="0"/>
          </xdr:cNvPicPr>
        </xdr:nvPicPr>
        <xdr:blipFill>
          <a:blip r:link="rId1"/>
          <a:stretch>
            <a:fillRect/>
          </a:stretch>
        </xdr:blipFill>
        <xdr:spPr>
          <a:xfrm>
            <a:off x="707" y="1"/>
            <a:ext cx="169" cy="67"/>
          </a:xfrm>
          <a:prstGeom prst="rect">
            <a:avLst/>
          </a:prstGeom>
          <a:noFill/>
          <a:ln w="9525" cmpd="sng">
            <a:noFill/>
          </a:ln>
        </xdr:spPr>
      </xdr:pic>
    </xdr:grpSp>
    <xdr:clientData/>
  </xdr:twoCellAnchor>
  <xdr:twoCellAnchor>
    <xdr:from>
      <xdr:col>2</xdr:col>
      <xdr:colOff>66675</xdr:colOff>
      <xdr:row>21</xdr:row>
      <xdr:rowOff>47625</xdr:rowOff>
    </xdr:from>
    <xdr:to>
      <xdr:col>2</xdr:col>
      <xdr:colOff>180975</xdr:colOff>
      <xdr:row>21</xdr:row>
      <xdr:rowOff>123825</xdr:rowOff>
    </xdr:to>
    <xdr:sp>
      <xdr:nvSpPr>
        <xdr:cNvPr id="16" name="Rectangle 19"/>
        <xdr:cNvSpPr>
          <a:spLocks/>
        </xdr:cNvSpPr>
      </xdr:nvSpPr>
      <xdr:spPr>
        <a:xfrm>
          <a:off x="962025" y="371475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47625</xdr:rowOff>
    </xdr:from>
    <xdr:to>
      <xdr:col>2</xdr:col>
      <xdr:colOff>180975</xdr:colOff>
      <xdr:row>19</xdr:row>
      <xdr:rowOff>123825</xdr:rowOff>
    </xdr:to>
    <xdr:sp>
      <xdr:nvSpPr>
        <xdr:cNvPr id="17" name="Rectangle 20"/>
        <xdr:cNvSpPr>
          <a:spLocks/>
        </xdr:cNvSpPr>
      </xdr:nvSpPr>
      <xdr:spPr>
        <a:xfrm>
          <a:off x="962025" y="339090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2647950</xdr:colOff>
      <xdr:row>0</xdr:row>
      <xdr:rowOff>9525</xdr:rowOff>
    </xdr:from>
    <xdr:to>
      <xdr:col>9</xdr:col>
      <xdr:colOff>0</xdr:colOff>
      <xdr:row>2</xdr:row>
      <xdr:rowOff>0</xdr:rowOff>
    </xdr:to>
    <xdr:grpSp>
      <xdr:nvGrpSpPr>
        <xdr:cNvPr id="1" name="Group 16"/>
        <xdr:cNvGrpSpPr>
          <a:grpSpLocks/>
        </xdr:cNvGrpSpPr>
      </xdr:nvGrpSpPr>
      <xdr:grpSpPr>
        <a:xfrm>
          <a:off x="7467600" y="9525"/>
          <a:ext cx="1162050" cy="390525"/>
          <a:chOff x="769" y="1"/>
          <a:chExt cx="110" cy="41"/>
        </a:xfrm>
        <a:solidFill>
          <a:srgbClr val="FFFFFF"/>
        </a:solidFill>
      </xdr:grpSpPr>
      <xdr:grpSp>
        <xdr:nvGrpSpPr>
          <xdr:cNvPr id="2" name="Group 1"/>
          <xdr:cNvGrpSpPr>
            <a:grpSpLocks/>
          </xdr:cNvGrpSpPr>
        </xdr:nvGrpSpPr>
        <xdr:grpSpPr>
          <a:xfrm>
            <a:off x="846" y="1"/>
            <a:ext cx="0" cy="41"/>
            <a:chOff x="769" y="35"/>
            <a:chExt cx="110" cy="41"/>
          </a:xfrm>
          <a:solidFill>
            <a:srgbClr val="FFFFFF"/>
          </a:solidFill>
        </xdr:grpSpPr>
        <xdr:sp>
          <xdr:nvSpPr>
            <xdr:cNvPr id="3" name="Rectangle 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 name="Rectangle 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 name="Rectangle 12"/>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13"/>
          <xdr:cNvSpPr>
            <a:spLocks/>
          </xdr:cNvSpPr>
        </xdr:nvSpPr>
        <xdr:spPr>
          <a:xfrm>
            <a:off x="769" y="13"/>
            <a:ext cx="93" cy="2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14"/>
          <xdr:cNvPicPr preferRelativeResize="1">
            <a:picLocks noChangeAspect="1"/>
          </xdr:cNvPicPr>
        </xdr:nvPicPr>
        <xdr:blipFill>
          <a:blip r:embed="rId1"/>
          <a:stretch>
            <a:fillRect/>
          </a:stretch>
        </xdr:blipFill>
        <xdr:spPr>
          <a:xfrm>
            <a:off x="772" y="1"/>
            <a:ext cx="83" cy="39"/>
          </a:xfrm>
          <a:prstGeom prst="rect">
            <a:avLst/>
          </a:prstGeom>
          <a:noFill/>
          <a:ln w="9525" cmpd="sng">
            <a:noFill/>
          </a:ln>
        </xdr:spPr>
      </xdr:pic>
      <xdr:sp>
        <xdr:nvSpPr>
          <xdr:cNvPr id="10" name="Rectangle 15"/>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9525</xdr:rowOff>
    </xdr:from>
    <xdr:to>
      <xdr:col>4</xdr:col>
      <xdr:colOff>0</xdr:colOff>
      <xdr:row>2</xdr:row>
      <xdr:rowOff>0</xdr:rowOff>
    </xdr:to>
    <xdr:grpSp>
      <xdr:nvGrpSpPr>
        <xdr:cNvPr id="1" name="Group 6"/>
        <xdr:cNvGrpSpPr>
          <a:grpSpLocks/>
        </xdr:cNvGrpSpPr>
      </xdr:nvGrpSpPr>
      <xdr:grpSpPr>
        <a:xfrm>
          <a:off x="9001125" y="9525"/>
          <a:ext cx="0" cy="390525"/>
          <a:chOff x="769" y="35"/>
          <a:chExt cx="110" cy="41"/>
        </a:xfrm>
        <a:solidFill>
          <a:srgbClr val="FFFFFF"/>
        </a:solidFill>
      </xdr:grpSpPr>
      <xdr:sp>
        <xdr:nvSpPr>
          <xdr:cNvPr id="2" name="Rectangle 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0</xdr:colOff>
      <xdr:row>20</xdr:row>
      <xdr:rowOff>9525</xdr:rowOff>
    </xdr:from>
    <xdr:to>
      <xdr:col>4</xdr:col>
      <xdr:colOff>0</xdr:colOff>
      <xdr:row>22</xdr:row>
      <xdr:rowOff>0</xdr:rowOff>
    </xdr:to>
    <xdr:grpSp>
      <xdr:nvGrpSpPr>
        <xdr:cNvPr id="6" name="Group 21"/>
        <xdr:cNvGrpSpPr>
          <a:grpSpLocks/>
        </xdr:cNvGrpSpPr>
      </xdr:nvGrpSpPr>
      <xdr:grpSpPr>
        <a:xfrm>
          <a:off x="9001125" y="6829425"/>
          <a:ext cx="0" cy="971550"/>
          <a:chOff x="769" y="35"/>
          <a:chExt cx="110" cy="41"/>
        </a:xfrm>
        <a:solidFill>
          <a:srgbClr val="FFFFFF"/>
        </a:solidFill>
      </xdr:grpSpPr>
      <xdr:sp>
        <xdr:nvSpPr>
          <xdr:cNvPr id="7" name="Rectangle 2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2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2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2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1276350</xdr:colOff>
      <xdr:row>0</xdr:row>
      <xdr:rowOff>9525</xdr:rowOff>
    </xdr:from>
    <xdr:to>
      <xdr:col>5</xdr:col>
      <xdr:colOff>0</xdr:colOff>
      <xdr:row>2</xdr:row>
      <xdr:rowOff>0</xdr:rowOff>
    </xdr:to>
    <xdr:grpSp>
      <xdr:nvGrpSpPr>
        <xdr:cNvPr id="11" name="Group 41"/>
        <xdr:cNvGrpSpPr>
          <a:grpSpLocks/>
        </xdr:cNvGrpSpPr>
      </xdr:nvGrpSpPr>
      <xdr:grpSpPr>
        <a:xfrm>
          <a:off x="8334375" y="9525"/>
          <a:ext cx="1047750" cy="390525"/>
          <a:chOff x="769" y="1"/>
          <a:chExt cx="110" cy="41"/>
        </a:xfrm>
        <a:solidFill>
          <a:srgbClr val="FFFFFF"/>
        </a:solidFill>
      </xdr:grpSpPr>
      <xdr:grpSp>
        <xdr:nvGrpSpPr>
          <xdr:cNvPr id="12" name="Group 42"/>
          <xdr:cNvGrpSpPr>
            <a:grpSpLocks/>
          </xdr:cNvGrpSpPr>
        </xdr:nvGrpSpPr>
        <xdr:grpSpPr>
          <a:xfrm>
            <a:off x="846" y="1"/>
            <a:ext cx="0" cy="41"/>
            <a:chOff x="769" y="35"/>
            <a:chExt cx="110" cy="41"/>
          </a:xfrm>
          <a:solidFill>
            <a:srgbClr val="FFFFFF"/>
          </a:solidFill>
        </xdr:grpSpPr>
        <xdr:sp>
          <xdr:nvSpPr>
            <xdr:cNvPr id="13" name="Rectangle 4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 name="Rectangle 4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5" name="Picture 4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6" name="Rectangle 4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7" name="Rectangle 47"/>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48"/>
          <xdr:cNvSpPr>
            <a:spLocks/>
          </xdr:cNvSpPr>
        </xdr:nvSpPr>
        <xdr:spPr>
          <a:xfrm>
            <a:off x="769" y="13"/>
            <a:ext cx="93" cy="2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 name="Picture 49"/>
          <xdr:cNvPicPr preferRelativeResize="1">
            <a:picLocks noChangeAspect="1"/>
          </xdr:cNvPicPr>
        </xdr:nvPicPr>
        <xdr:blipFill>
          <a:blip r:embed="rId1"/>
          <a:stretch>
            <a:fillRect/>
          </a:stretch>
        </xdr:blipFill>
        <xdr:spPr>
          <a:xfrm>
            <a:off x="772" y="1"/>
            <a:ext cx="83" cy="39"/>
          </a:xfrm>
          <a:prstGeom prst="rect">
            <a:avLst/>
          </a:prstGeom>
          <a:noFill/>
          <a:ln w="9525" cmpd="sng">
            <a:noFill/>
          </a:ln>
        </xdr:spPr>
      </xdr:pic>
      <xdr:sp>
        <xdr:nvSpPr>
          <xdr:cNvPr id="20" name="Rectangle 50"/>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0</xdr:colOff>
      <xdr:row>40</xdr:row>
      <xdr:rowOff>0</xdr:rowOff>
    </xdr:from>
    <xdr:to>
      <xdr:col>4</xdr:col>
      <xdr:colOff>0</xdr:colOff>
      <xdr:row>40</xdr:row>
      <xdr:rowOff>0</xdr:rowOff>
    </xdr:to>
    <xdr:grpSp>
      <xdr:nvGrpSpPr>
        <xdr:cNvPr id="21" name="Group 61"/>
        <xdr:cNvGrpSpPr>
          <a:grpSpLocks/>
        </xdr:cNvGrpSpPr>
      </xdr:nvGrpSpPr>
      <xdr:grpSpPr>
        <a:xfrm>
          <a:off x="9001125" y="15154275"/>
          <a:ext cx="0" cy="0"/>
          <a:chOff x="769" y="35"/>
          <a:chExt cx="110" cy="41"/>
        </a:xfrm>
        <a:solidFill>
          <a:srgbClr val="FFFFFF"/>
        </a:solidFill>
      </xdr:grpSpPr>
      <xdr:sp>
        <xdr:nvSpPr>
          <xdr:cNvPr id="22" name="Rectangle 6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3" name="Rectangle 6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4" name="Picture 6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5" name="Rectangle 6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1209675</xdr:colOff>
      <xdr:row>36</xdr:row>
      <xdr:rowOff>47625</xdr:rowOff>
    </xdr:from>
    <xdr:to>
      <xdr:col>4</xdr:col>
      <xdr:colOff>304800</xdr:colOff>
      <xdr:row>38</xdr:row>
      <xdr:rowOff>0</xdr:rowOff>
    </xdr:to>
    <xdr:grpSp>
      <xdr:nvGrpSpPr>
        <xdr:cNvPr id="26" name="Group 76"/>
        <xdr:cNvGrpSpPr>
          <a:grpSpLocks/>
        </xdr:cNvGrpSpPr>
      </xdr:nvGrpSpPr>
      <xdr:grpSpPr>
        <a:xfrm>
          <a:off x="8267700" y="13544550"/>
          <a:ext cx="1038225" cy="304800"/>
          <a:chOff x="769" y="1"/>
          <a:chExt cx="110" cy="41"/>
        </a:xfrm>
        <a:solidFill>
          <a:srgbClr val="FFFFFF"/>
        </a:solidFill>
      </xdr:grpSpPr>
      <xdr:grpSp>
        <xdr:nvGrpSpPr>
          <xdr:cNvPr id="27" name="Group 77"/>
          <xdr:cNvGrpSpPr>
            <a:grpSpLocks/>
          </xdr:cNvGrpSpPr>
        </xdr:nvGrpSpPr>
        <xdr:grpSpPr>
          <a:xfrm>
            <a:off x="846" y="1"/>
            <a:ext cx="0" cy="41"/>
            <a:chOff x="769" y="35"/>
            <a:chExt cx="110" cy="41"/>
          </a:xfrm>
          <a:solidFill>
            <a:srgbClr val="FFFFFF"/>
          </a:solidFill>
        </xdr:grpSpPr>
        <xdr:sp>
          <xdr:nvSpPr>
            <xdr:cNvPr id="28" name="Rectangle 7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9" name="Rectangle 7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0" name="Picture 8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1" name="Rectangle 8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32" name="Rectangle 82"/>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3" name="Rectangle 83"/>
          <xdr:cNvSpPr>
            <a:spLocks/>
          </xdr:cNvSpPr>
        </xdr:nvSpPr>
        <xdr:spPr>
          <a:xfrm>
            <a:off x="769" y="13"/>
            <a:ext cx="93" cy="2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4" name="Picture 84"/>
          <xdr:cNvPicPr preferRelativeResize="1">
            <a:picLocks noChangeAspect="1"/>
          </xdr:cNvPicPr>
        </xdr:nvPicPr>
        <xdr:blipFill>
          <a:blip r:embed="rId1"/>
          <a:stretch>
            <a:fillRect/>
          </a:stretch>
        </xdr:blipFill>
        <xdr:spPr>
          <a:xfrm>
            <a:off x="772" y="1"/>
            <a:ext cx="83" cy="39"/>
          </a:xfrm>
          <a:prstGeom prst="rect">
            <a:avLst/>
          </a:prstGeom>
          <a:noFill/>
          <a:ln w="9525" cmpd="sng">
            <a:noFill/>
          </a:ln>
        </xdr:spPr>
      </xdr:pic>
      <xdr:sp>
        <xdr:nvSpPr>
          <xdr:cNvPr id="35" name="Rectangle 85"/>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0</xdr:colOff>
      <xdr:row>9</xdr:row>
      <xdr:rowOff>0</xdr:rowOff>
    </xdr:from>
    <xdr:to>
      <xdr:col>4</xdr:col>
      <xdr:colOff>0</xdr:colOff>
      <xdr:row>9</xdr:row>
      <xdr:rowOff>0</xdr:rowOff>
    </xdr:to>
    <xdr:grpSp>
      <xdr:nvGrpSpPr>
        <xdr:cNvPr id="36" name="Group 86"/>
        <xdr:cNvGrpSpPr>
          <a:grpSpLocks/>
        </xdr:cNvGrpSpPr>
      </xdr:nvGrpSpPr>
      <xdr:grpSpPr>
        <a:xfrm>
          <a:off x="9001125" y="1971675"/>
          <a:ext cx="0" cy="0"/>
          <a:chOff x="769" y="35"/>
          <a:chExt cx="110" cy="41"/>
        </a:xfrm>
        <a:solidFill>
          <a:srgbClr val="FFFFFF"/>
        </a:solidFill>
      </xdr:grpSpPr>
      <xdr:sp>
        <xdr:nvSpPr>
          <xdr:cNvPr id="37" name="Rectangle 8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8" name="Rectangle 8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9" name="Picture 8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0" name="Rectangle 9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1181100</xdr:colOff>
      <xdr:row>17</xdr:row>
      <xdr:rowOff>47625</xdr:rowOff>
    </xdr:from>
    <xdr:to>
      <xdr:col>4</xdr:col>
      <xdr:colOff>285750</xdr:colOff>
      <xdr:row>19</xdr:row>
      <xdr:rowOff>85725</xdr:rowOff>
    </xdr:to>
    <xdr:grpSp>
      <xdr:nvGrpSpPr>
        <xdr:cNvPr id="41" name="Group 101"/>
        <xdr:cNvGrpSpPr>
          <a:grpSpLocks/>
        </xdr:cNvGrpSpPr>
      </xdr:nvGrpSpPr>
      <xdr:grpSpPr>
        <a:xfrm>
          <a:off x="8239125" y="6362700"/>
          <a:ext cx="1047750" cy="390525"/>
          <a:chOff x="769" y="1"/>
          <a:chExt cx="110" cy="41"/>
        </a:xfrm>
        <a:solidFill>
          <a:srgbClr val="FFFFFF"/>
        </a:solidFill>
      </xdr:grpSpPr>
      <xdr:grpSp>
        <xdr:nvGrpSpPr>
          <xdr:cNvPr id="42" name="Group 102"/>
          <xdr:cNvGrpSpPr>
            <a:grpSpLocks/>
          </xdr:cNvGrpSpPr>
        </xdr:nvGrpSpPr>
        <xdr:grpSpPr>
          <a:xfrm>
            <a:off x="846" y="1"/>
            <a:ext cx="0" cy="41"/>
            <a:chOff x="769" y="35"/>
            <a:chExt cx="110" cy="41"/>
          </a:xfrm>
          <a:solidFill>
            <a:srgbClr val="FFFFFF"/>
          </a:solidFill>
        </xdr:grpSpPr>
        <xdr:sp>
          <xdr:nvSpPr>
            <xdr:cNvPr id="43" name="Rectangle 10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4" name="Rectangle 10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5" name="Picture 10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6" name="Rectangle 10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47" name="Rectangle 107"/>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8" name="Rectangle 108"/>
          <xdr:cNvSpPr>
            <a:spLocks/>
          </xdr:cNvSpPr>
        </xdr:nvSpPr>
        <xdr:spPr>
          <a:xfrm>
            <a:off x="769" y="13"/>
            <a:ext cx="93" cy="2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9" name="Picture 109"/>
          <xdr:cNvPicPr preferRelativeResize="1">
            <a:picLocks noChangeAspect="1"/>
          </xdr:cNvPicPr>
        </xdr:nvPicPr>
        <xdr:blipFill>
          <a:blip r:embed="rId1"/>
          <a:stretch>
            <a:fillRect/>
          </a:stretch>
        </xdr:blipFill>
        <xdr:spPr>
          <a:xfrm>
            <a:off x="772" y="1"/>
            <a:ext cx="83" cy="39"/>
          </a:xfrm>
          <a:prstGeom prst="rect">
            <a:avLst/>
          </a:prstGeom>
          <a:noFill/>
          <a:ln w="9525" cmpd="sng">
            <a:noFill/>
          </a:ln>
        </xdr:spPr>
      </xdr:pic>
      <xdr:sp>
        <xdr:nvSpPr>
          <xdr:cNvPr id="50" name="Rectangle 110"/>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771525</xdr:colOff>
      <xdr:row>0</xdr:row>
      <xdr:rowOff>9525</xdr:rowOff>
    </xdr:from>
    <xdr:to>
      <xdr:col>10</xdr:col>
      <xdr:colOff>790575</xdr:colOff>
      <xdr:row>2</xdr:row>
      <xdr:rowOff>0</xdr:rowOff>
    </xdr:to>
    <xdr:grpSp>
      <xdr:nvGrpSpPr>
        <xdr:cNvPr id="1" name="Group 2"/>
        <xdr:cNvGrpSpPr>
          <a:grpSpLocks/>
        </xdr:cNvGrpSpPr>
      </xdr:nvGrpSpPr>
      <xdr:grpSpPr>
        <a:xfrm>
          <a:off x="8515350" y="9525"/>
          <a:ext cx="828675" cy="390525"/>
          <a:chOff x="769" y="35"/>
          <a:chExt cx="110" cy="41"/>
        </a:xfrm>
        <a:solidFill>
          <a:srgbClr val="FFFFFF"/>
        </a:solidFill>
      </xdr:grpSpPr>
      <xdr:sp>
        <xdr:nvSpPr>
          <xdr:cNvPr id="2" name="Rectangle 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552450</xdr:colOff>
      <xdr:row>8</xdr:row>
      <xdr:rowOff>0</xdr:rowOff>
    </xdr:from>
    <xdr:to>
      <xdr:col>10</xdr:col>
      <xdr:colOff>771525</xdr:colOff>
      <xdr:row>8</xdr:row>
      <xdr:rowOff>0</xdr:rowOff>
    </xdr:to>
    <xdr:grpSp>
      <xdr:nvGrpSpPr>
        <xdr:cNvPr id="6" name="Group 7"/>
        <xdr:cNvGrpSpPr>
          <a:grpSpLocks/>
        </xdr:cNvGrpSpPr>
      </xdr:nvGrpSpPr>
      <xdr:grpSpPr>
        <a:xfrm>
          <a:off x="8296275" y="1400175"/>
          <a:ext cx="1028700" cy="0"/>
          <a:chOff x="769" y="35"/>
          <a:chExt cx="110" cy="41"/>
        </a:xfrm>
        <a:solidFill>
          <a:srgbClr val="FFFFFF"/>
        </a:solidFill>
      </xdr:grpSpPr>
      <xdr:sp>
        <xdr:nvSpPr>
          <xdr:cNvPr id="7" name="Rectangle 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1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1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0</xdr:row>
      <xdr:rowOff>95250</xdr:rowOff>
    </xdr:from>
    <xdr:to>
      <xdr:col>6</xdr:col>
      <xdr:colOff>704850</xdr:colOff>
      <xdr:row>2</xdr:row>
      <xdr:rowOff>85725</xdr:rowOff>
    </xdr:to>
    <xdr:grpSp>
      <xdr:nvGrpSpPr>
        <xdr:cNvPr id="1" name="Group 6"/>
        <xdr:cNvGrpSpPr>
          <a:grpSpLocks/>
        </xdr:cNvGrpSpPr>
      </xdr:nvGrpSpPr>
      <xdr:grpSpPr>
        <a:xfrm>
          <a:off x="8162925" y="95250"/>
          <a:ext cx="609600" cy="390525"/>
          <a:chOff x="769" y="35"/>
          <a:chExt cx="110" cy="41"/>
        </a:xfrm>
        <a:solidFill>
          <a:srgbClr val="FFFFFF"/>
        </a:solidFill>
      </xdr:grpSpPr>
      <xdr:sp>
        <xdr:nvSpPr>
          <xdr:cNvPr id="2" name="Rectangle 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971550</xdr:colOff>
      <xdr:row>0</xdr:row>
      <xdr:rowOff>19050</xdr:rowOff>
    </xdr:from>
    <xdr:to>
      <xdr:col>6</xdr:col>
      <xdr:colOff>923925</xdr:colOff>
      <xdr:row>2</xdr:row>
      <xdr:rowOff>9525</xdr:rowOff>
    </xdr:to>
    <xdr:grpSp>
      <xdr:nvGrpSpPr>
        <xdr:cNvPr id="1" name="Group 1"/>
        <xdr:cNvGrpSpPr>
          <a:grpSpLocks/>
        </xdr:cNvGrpSpPr>
      </xdr:nvGrpSpPr>
      <xdr:grpSpPr>
        <a:xfrm>
          <a:off x="7981950" y="19050"/>
          <a:ext cx="1143000" cy="342900"/>
          <a:chOff x="769" y="35"/>
          <a:chExt cx="110" cy="41"/>
        </a:xfrm>
        <a:solidFill>
          <a:srgbClr val="FFFFFF"/>
        </a:solidFill>
      </xdr:grpSpPr>
      <xdr:sp>
        <xdr:nvSpPr>
          <xdr:cNvPr id="2" name="Rectangle 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31</xdr:row>
      <xdr:rowOff>0</xdr:rowOff>
    </xdr:from>
    <xdr:to>
      <xdr:col>10</xdr:col>
      <xdr:colOff>0</xdr:colOff>
      <xdr:row>31</xdr:row>
      <xdr:rowOff>0</xdr:rowOff>
    </xdr:to>
    <xdr:grpSp>
      <xdr:nvGrpSpPr>
        <xdr:cNvPr id="1" name="Group 71"/>
        <xdr:cNvGrpSpPr>
          <a:grpSpLocks/>
        </xdr:cNvGrpSpPr>
      </xdr:nvGrpSpPr>
      <xdr:grpSpPr>
        <a:xfrm>
          <a:off x="8943975" y="5076825"/>
          <a:ext cx="0" cy="0"/>
          <a:chOff x="790" y="4"/>
          <a:chExt cx="90" cy="54"/>
        </a:xfrm>
        <a:solidFill>
          <a:srgbClr val="FFFFFF"/>
        </a:solidFill>
      </xdr:grpSpPr>
      <xdr:sp>
        <xdr:nvSpPr>
          <xdr:cNvPr id="2" name="Rectangle 72"/>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73"/>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 name="TextBox 74"/>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10</xdr:col>
      <xdr:colOff>0</xdr:colOff>
      <xdr:row>31</xdr:row>
      <xdr:rowOff>0</xdr:rowOff>
    </xdr:from>
    <xdr:to>
      <xdr:col>10</xdr:col>
      <xdr:colOff>0</xdr:colOff>
      <xdr:row>31</xdr:row>
      <xdr:rowOff>0</xdr:rowOff>
    </xdr:to>
    <xdr:grpSp>
      <xdr:nvGrpSpPr>
        <xdr:cNvPr id="5" name="Group 75"/>
        <xdr:cNvGrpSpPr>
          <a:grpSpLocks/>
        </xdr:cNvGrpSpPr>
      </xdr:nvGrpSpPr>
      <xdr:grpSpPr>
        <a:xfrm>
          <a:off x="8943975" y="5076825"/>
          <a:ext cx="0" cy="0"/>
          <a:chOff x="790" y="4"/>
          <a:chExt cx="90" cy="54"/>
        </a:xfrm>
        <a:solidFill>
          <a:srgbClr val="FFFFFF"/>
        </a:solidFill>
      </xdr:grpSpPr>
      <xdr:sp>
        <xdr:nvSpPr>
          <xdr:cNvPr id="6" name="Rectangle 76"/>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77"/>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8" name="TextBox 78"/>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8</xdr:col>
      <xdr:colOff>571500</xdr:colOff>
      <xdr:row>0</xdr:row>
      <xdr:rowOff>9525</xdr:rowOff>
    </xdr:from>
    <xdr:to>
      <xdr:col>10</xdr:col>
      <xdr:colOff>0</xdr:colOff>
      <xdr:row>2</xdr:row>
      <xdr:rowOff>0</xdr:rowOff>
    </xdr:to>
    <xdr:grpSp>
      <xdr:nvGrpSpPr>
        <xdr:cNvPr id="9" name="Group 131"/>
        <xdr:cNvGrpSpPr>
          <a:grpSpLocks/>
        </xdr:cNvGrpSpPr>
      </xdr:nvGrpSpPr>
      <xdr:grpSpPr>
        <a:xfrm>
          <a:off x="7286625" y="9525"/>
          <a:ext cx="1657350" cy="390525"/>
          <a:chOff x="769" y="35"/>
          <a:chExt cx="110" cy="41"/>
        </a:xfrm>
        <a:solidFill>
          <a:srgbClr val="FFFFFF"/>
        </a:solidFill>
      </xdr:grpSpPr>
      <xdr:sp>
        <xdr:nvSpPr>
          <xdr:cNvPr id="10" name="Rectangle 12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1" name="Rectangle 11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2" name="Picture 117"/>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13" name="Rectangle 12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0</xdr:colOff>
      <xdr:row>31</xdr:row>
      <xdr:rowOff>0</xdr:rowOff>
    </xdr:from>
    <xdr:to>
      <xdr:col>10</xdr:col>
      <xdr:colOff>0</xdr:colOff>
      <xdr:row>31</xdr:row>
      <xdr:rowOff>0</xdr:rowOff>
    </xdr:to>
    <xdr:grpSp>
      <xdr:nvGrpSpPr>
        <xdr:cNvPr id="14" name="Group 132"/>
        <xdr:cNvGrpSpPr>
          <a:grpSpLocks/>
        </xdr:cNvGrpSpPr>
      </xdr:nvGrpSpPr>
      <xdr:grpSpPr>
        <a:xfrm>
          <a:off x="8943975" y="5076825"/>
          <a:ext cx="0" cy="0"/>
          <a:chOff x="790" y="4"/>
          <a:chExt cx="90" cy="54"/>
        </a:xfrm>
        <a:solidFill>
          <a:srgbClr val="FFFFFF"/>
        </a:solidFill>
      </xdr:grpSpPr>
      <xdr:sp>
        <xdr:nvSpPr>
          <xdr:cNvPr id="15" name="Rectangle 133"/>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6" name="Picture 134"/>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7" name="TextBox 135"/>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10</xdr:col>
      <xdr:colOff>0</xdr:colOff>
      <xdr:row>31</xdr:row>
      <xdr:rowOff>0</xdr:rowOff>
    </xdr:from>
    <xdr:to>
      <xdr:col>10</xdr:col>
      <xdr:colOff>0</xdr:colOff>
      <xdr:row>31</xdr:row>
      <xdr:rowOff>0</xdr:rowOff>
    </xdr:to>
    <xdr:grpSp>
      <xdr:nvGrpSpPr>
        <xdr:cNvPr id="18" name="Group 136"/>
        <xdr:cNvGrpSpPr>
          <a:grpSpLocks/>
        </xdr:cNvGrpSpPr>
      </xdr:nvGrpSpPr>
      <xdr:grpSpPr>
        <a:xfrm>
          <a:off x="8943975" y="5076825"/>
          <a:ext cx="0" cy="0"/>
          <a:chOff x="790" y="4"/>
          <a:chExt cx="90" cy="54"/>
        </a:xfrm>
        <a:solidFill>
          <a:srgbClr val="FFFFFF"/>
        </a:solidFill>
      </xdr:grpSpPr>
      <xdr:sp>
        <xdr:nvSpPr>
          <xdr:cNvPr id="19" name="Rectangle 137"/>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0" name="Picture 138"/>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21" name="TextBox 139"/>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10</xdr:col>
      <xdr:colOff>0</xdr:colOff>
      <xdr:row>31</xdr:row>
      <xdr:rowOff>0</xdr:rowOff>
    </xdr:from>
    <xdr:to>
      <xdr:col>10</xdr:col>
      <xdr:colOff>0</xdr:colOff>
      <xdr:row>31</xdr:row>
      <xdr:rowOff>0</xdr:rowOff>
    </xdr:to>
    <xdr:grpSp>
      <xdr:nvGrpSpPr>
        <xdr:cNvPr id="22" name="Group 140"/>
        <xdr:cNvGrpSpPr>
          <a:grpSpLocks/>
        </xdr:cNvGrpSpPr>
      </xdr:nvGrpSpPr>
      <xdr:grpSpPr>
        <a:xfrm>
          <a:off x="8943975" y="5076825"/>
          <a:ext cx="0" cy="0"/>
          <a:chOff x="769" y="35"/>
          <a:chExt cx="110" cy="41"/>
        </a:xfrm>
        <a:solidFill>
          <a:srgbClr val="FFFFFF"/>
        </a:solidFill>
      </xdr:grpSpPr>
      <xdr:sp>
        <xdr:nvSpPr>
          <xdr:cNvPr id="23" name="Rectangle 141"/>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4" name="Rectangle 142"/>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5" name="Picture 143"/>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26" name="Rectangle 144"/>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0</xdr:colOff>
      <xdr:row>31</xdr:row>
      <xdr:rowOff>0</xdr:rowOff>
    </xdr:from>
    <xdr:to>
      <xdr:col>10</xdr:col>
      <xdr:colOff>0</xdr:colOff>
      <xdr:row>31</xdr:row>
      <xdr:rowOff>0</xdr:rowOff>
    </xdr:to>
    <xdr:grpSp>
      <xdr:nvGrpSpPr>
        <xdr:cNvPr id="27" name="Group 145"/>
        <xdr:cNvGrpSpPr>
          <a:grpSpLocks/>
        </xdr:cNvGrpSpPr>
      </xdr:nvGrpSpPr>
      <xdr:grpSpPr>
        <a:xfrm>
          <a:off x="8943975" y="5076825"/>
          <a:ext cx="0" cy="0"/>
          <a:chOff x="769" y="35"/>
          <a:chExt cx="110" cy="41"/>
        </a:xfrm>
        <a:solidFill>
          <a:srgbClr val="FFFFFF"/>
        </a:solidFill>
      </xdr:grpSpPr>
      <xdr:sp>
        <xdr:nvSpPr>
          <xdr:cNvPr id="28" name="Rectangle 14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9" name="Rectangle 14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0" name="Picture 148"/>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31" name="Rectangle 14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xdr:row>
      <xdr:rowOff>0</xdr:rowOff>
    </xdr:from>
    <xdr:to>
      <xdr:col>10</xdr:col>
      <xdr:colOff>0</xdr:colOff>
      <xdr:row>3</xdr:row>
      <xdr:rowOff>0</xdr:rowOff>
    </xdr:to>
    <xdr:grpSp>
      <xdr:nvGrpSpPr>
        <xdr:cNvPr id="1" name="Group 1"/>
        <xdr:cNvGrpSpPr>
          <a:grpSpLocks/>
        </xdr:cNvGrpSpPr>
      </xdr:nvGrpSpPr>
      <xdr:grpSpPr>
        <a:xfrm>
          <a:off x="9124950" y="561975"/>
          <a:ext cx="523875" cy="0"/>
          <a:chOff x="790" y="4"/>
          <a:chExt cx="90" cy="54"/>
        </a:xfrm>
        <a:solidFill>
          <a:srgbClr val="FFFFFF"/>
        </a:solidFill>
      </xdr:grpSpPr>
      <xdr:sp>
        <xdr:nvSpPr>
          <xdr:cNvPr id="2" name="Rectangle 2"/>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3"/>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 name="TextBox 4"/>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9</xdr:col>
      <xdr:colOff>0</xdr:colOff>
      <xdr:row>3</xdr:row>
      <xdr:rowOff>0</xdr:rowOff>
    </xdr:from>
    <xdr:to>
      <xdr:col>10</xdr:col>
      <xdr:colOff>0</xdr:colOff>
      <xdr:row>3</xdr:row>
      <xdr:rowOff>0</xdr:rowOff>
    </xdr:to>
    <xdr:grpSp>
      <xdr:nvGrpSpPr>
        <xdr:cNvPr id="5" name="Group 5"/>
        <xdr:cNvGrpSpPr>
          <a:grpSpLocks/>
        </xdr:cNvGrpSpPr>
      </xdr:nvGrpSpPr>
      <xdr:grpSpPr>
        <a:xfrm>
          <a:off x="9124950" y="561975"/>
          <a:ext cx="523875" cy="0"/>
          <a:chOff x="790" y="4"/>
          <a:chExt cx="90" cy="54"/>
        </a:xfrm>
        <a:solidFill>
          <a:srgbClr val="FFFFFF"/>
        </a:solidFill>
      </xdr:grpSpPr>
      <xdr:sp>
        <xdr:nvSpPr>
          <xdr:cNvPr id="6" name="Rectangle 6"/>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7"/>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8" name="TextBox 8"/>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7</xdr:col>
      <xdr:colOff>514350</xdr:colOff>
      <xdr:row>0</xdr:row>
      <xdr:rowOff>0</xdr:rowOff>
    </xdr:from>
    <xdr:to>
      <xdr:col>9</xdr:col>
      <xdr:colOff>0</xdr:colOff>
      <xdr:row>3</xdr:row>
      <xdr:rowOff>0</xdr:rowOff>
    </xdr:to>
    <xdr:grpSp>
      <xdr:nvGrpSpPr>
        <xdr:cNvPr id="9" name="Group 9"/>
        <xdr:cNvGrpSpPr>
          <a:grpSpLocks/>
        </xdr:cNvGrpSpPr>
      </xdr:nvGrpSpPr>
      <xdr:grpSpPr>
        <a:xfrm>
          <a:off x="7810500" y="0"/>
          <a:ext cx="1314450" cy="561975"/>
          <a:chOff x="769" y="0"/>
          <a:chExt cx="110" cy="59"/>
        </a:xfrm>
        <a:solidFill>
          <a:srgbClr val="FFFFFF"/>
        </a:solidFill>
      </xdr:grpSpPr>
      <xdr:grpSp>
        <xdr:nvGrpSpPr>
          <xdr:cNvPr id="10" name="Group 10"/>
          <xdr:cNvGrpSpPr>
            <a:grpSpLocks/>
          </xdr:cNvGrpSpPr>
        </xdr:nvGrpSpPr>
        <xdr:grpSpPr>
          <a:xfrm>
            <a:off x="797" y="0"/>
            <a:ext cx="0" cy="0"/>
            <a:chOff x="790" y="4"/>
            <a:chExt cx="90" cy="54"/>
          </a:xfrm>
          <a:solidFill>
            <a:srgbClr val="FFFFFF"/>
          </a:solidFill>
        </xdr:grpSpPr>
        <xdr:sp>
          <xdr:nvSpPr>
            <xdr:cNvPr id="11" name="Rectangle 11"/>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2" name="Picture 12"/>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3" name="TextBox 13"/>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grpSp>
        <xdr:nvGrpSpPr>
          <xdr:cNvPr id="14" name="Group 14"/>
          <xdr:cNvGrpSpPr>
            <a:grpSpLocks/>
          </xdr:cNvGrpSpPr>
        </xdr:nvGrpSpPr>
        <xdr:grpSpPr>
          <a:xfrm>
            <a:off x="797" y="0"/>
            <a:ext cx="0" cy="0"/>
            <a:chOff x="790" y="4"/>
            <a:chExt cx="90" cy="54"/>
          </a:xfrm>
          <a:solidFill>
            <a:srgbClr val="FFFFFF"/>
          </a:solidFill>
        </xdr:grpSpPr>
        <xdr:sp>
          <xdr:nvSpPr>
            <xdr:cNvPr id="15" name="Rectangle 15"/>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6" name="Picture 16"/>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7" name="TextBox 17"/>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grpSp>
        <xdr:nvGrpSpPr>
          <xdr:cNvPr id="18" name="Group 18"/>
          <xdr:cNvGrpSpPr>
            <a:grpSpLocks/>
          </xdr:cNvGrpSpPr>
        </xdr:nvGrpSpPr>
        <xdr:grpSpPr>
          <a:xfrm>
            <a:off x="797" y="0"/>
            <a:ext cx="0" cy="0"/>
            <a:chOff x="807" y="2"/>
            <a:chExt cx="83" cy="70"/>
          </a:xfrm>
          <a:solidFill>
            <a:srgbClr val="FFFFFF"/>
          </a:solidFill>
        </xdr:grpSpPr>
        <xdr:grpSp>
          <xdr:nvGrpSpPr>
            <xdr:cNvPr id="19" name="Group 19"/>
            <xdr:cNvGrpSpPr>
              <a:grpSpLocks/>
            </xdr:cNvGrpSpPr>
          </xdr:nvGrpSpPr>
          <xdr:grpSpPr>
            <a:xfrm>
              <a:off x="817" y="55"/>
              <a:ext cx="62" cy="0"/>
              <a:chOff x="790" y="4"/>
              <a:chExt cx="90" cy="54"/>
            </a:xfrm>
            <a:solidFill>
              <a:srgbClr val="FFFFFF"/>
            </a:solidFill>
          </xdr:grpSpPr>
          <xdr:sp>
            <xdr:nvSpPr>
              <xdr:cNvPr id="20" name="Rectangle 20"/>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1" name="Picture 21"/>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22" name="TextBox 22"/>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grpSp>
          <xdr:nvGrpSpPr>
            <xdr:cNvPr id="23" name="Group 23"/>
            <xdr:cNvGrpSpPr>
              <a:grpSpLocks/>
            </xdr:cNvGrpSpPr>
          </xdr:nvGrpSpPr>
          <xdr:grpSpPr>
            <a:xfrm>
              <a:off x="817" y="55"/>
              <a:ext cx="62" cy="0"/>
              <a:chOff x="790" y="4"/>
              <a:chExt cx="90" cy="54"/>
            </a:xfrm>
            <a:solidFill>
              <a:srgbClr val="FFFFFF"/>
            </a:solidFill>
          </xdr:grpSpPr>
          <xdr:sp>
            <xdr:nvSpPr>
              <xdr:cNvPr id="24" name="Rectangle 24"/>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5" name="Picture 25"/>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26" name="TextBox 26"/>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sp>
          <xdr:nvSpPr>
            <xdr:cNvPr id="27" name="Rectangle 27"/>
            <xdr:cNvSpPr>
              <a:spLocks noChangeAspect="1"/>
            </xdr:cNvSpPr>
          </xdr:nvSpPr>
          <xdr:spPr>
            <a:xfrm>
              <a:off x="808" y="11"/>
              <a:ext cx="82"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28" name="Group 28"/>
            <xdr:cNvGrpSpPr>
              <a:grpSpLocks/>
            </xdr:cNvGrpSpPr>
          </xdr:nvGrpSpPr>
          <xdr:grpSpPr>
            <a:xfrm>
              <a:off x="810" y="4"/>
              <a:ext cx="68" cy="53"/>
              <a:chOff x="809" y="5"/>
              <a:chExt cx="68" cy="53"/>
            </a:xfrm>
            <a:solidFill>
              <a:srgbClr val="FFFFFF"/>
            </a:solidFill>
          </xdr:grpSpPr>
          <xdr:pic>
            <xdr:nvPicPr>
              <xdr:cNvPr id="29" name="Picture 29"/>
              <xdr:cNvPicPr preferRelativeResize="1">
                <a:picLocks noChangeAspect="1"/>
              </xdr:cNvPicPr>
            </xdr:nvPicPr>
            <xdr:blipFill>
              <a:blip r:link="rId1"/>
              <a:stretch>
                <a:fillRect/>
              </a:stretch>
            </xdr:blipFill>
            <xdr:spPr>
              <a:xfrm>
                <a:off x="809" y="5"/>
                <a:ext cx="68" cy="53"/>
              </a:xfrm>
              <a:prstGeom prst="rect">
                <a:avLst/>
              </a:prstGeom>
              <a:noFill/>
              <a:ln w="9525" cmpd="sng">
                <a:noFill/>
              </a:ln>
            </xdr:spPr>
          </xdr:pic>
          <xdr:sp>
            <xdr:nvSpPr>
              <xdr:cNvPr id="30" name="TextBox 30"/>
              <xdr:cNvSpPr txBox="1">
                <a:spLocks noChangeAspect="1" noChangeArrowheads="1"/>
              </xdr:cNvSpPr>
            </xdr:nvSpPr>
            <xdr:spPr>
              <a:xfrm>
                <a:off x="841" y="23"/>
                <a:ext cx="12" cy="13"/>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grpSp>
          <xdr:nvGrpSpPr>
            <xdr:cNvPr id="31" name="Group 31"/>
            <xdr:cNvGrpSpPr>
              <a:grpSpLocks noChangeAspect="1"/>
            </xdr:cNvGrpSpPr>
          </xdr:nvGrpSpPr>
          <xdr:grpSpPr>
            <a:xfrm>
              <a:off x="807" y="2"/>
              <a:ext cx="71" cy="0"/>
              <a:chOff x="790" y="4"/>
              <a:chExt cx="90" cy="54"/>
            </a:xfrm>
            <a:solidFill>
              <a:srgbClr val="FFFFFF"/>
            </a:solidFill>
          </xdr:grpSpPr>
          <xdr:sp>
            <xdr:nvSpPr>
              <xdr:cNvPr id="32" name="Rectangle 32"/>
              <xdr:cNvSpPr>
                <a:spLocks noChangeAspect="1"/>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3" name="Picture 33"/>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34" name="TextBox 34"/>
              <xdr:cNvSpPr txBox="1">
                <a:spLocks noChangeAspect="1"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sp>
          <xdr:nvSpPr>
            <xdr:cNvPr id="35" name="Rectangle 35"/>
            <xdr:cNvSpPr>
              <a:spLocks/>
            </xdr:cNvSpPr>
          </xdr:nvSpPr>
          <xdr:spPr>
            <a:xfrm>
              <a:off x="823" y="64"/>
              <a:ext cx="67" cy="8"/>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grpSp>
      <xdr:grpSp>
        <xdr:nvGrpSpPr>
          <xdr:cNvPr id="36" name="Group 36"/>
          <xdr:cNvGrpSpPr>
            <a:grpSpLocks/>
          </xdr:cNvGrpSpPr>
        </xdr:nvGrpSpPr>
        <xdr:grpSpPr>
          <a:xfrm>
            <a:off x="797" y="59"/>
            <a:ext cx="0" cy="0"/>
            <a:chOff x="790" y="4"/>
            <a:chExt cx="90" cy="54"/>
          </a:xfrm>
          <a:solidFill>
            <a:srgbClr val="FFFFFF"/>
          </a:solidFill>
        </xdr:grpSpPr>
        <xdr:sp>
          <xdr:nvSpPr>
            <xdr:cNvPr id="37" name="Rectangle 37"/>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8" name="Picture 38"/>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39" name="TextBox 39"/>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grpSp>
        <xdr:nvGrpSpPr>
          <xdr:cNvPr id="40" name="Group 40"/>
          <xdr:cNvGrpSpPr>
            <a:grpSpLocks/>
          </xdr:cNvGrpSpPr>
        </xdr:nvGrpSpPr>
        <xdr:grpSpPr>
          <a:xfrm>
            <a:off x="797" y="59"/>
            <a:ext cx="0" cy="0"/>
            <a:chOff x="790" y="4"/>
            <a:chExt cx="90" cy="54"/>
          </a:xfrm>
          <a:solidFill>
            <a:srgbClr val="FFFFFF"/>
          </a:solidFill>
        </xdr:grpSpPr>
        <xdr:sp>
          <xdr:nvSpPr>
            <xdr:cNvPr id="41" name="Rectangle 41"/>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2" name="Picture 42"/>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3" name="TextBox 43"/>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sp>
        <xdr:nvSpPr>
          <xdr:cNvPr id="44" name="Rectangle 44"/>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5" name="Rectangle 45"/>
          <xdr:cNvSpPr>
            <a:spLocks/>
          </xdr:cNvSpPr>
        </xdr:nvSpPr>
        <xdr:spPr>
          <a:xfrm>
            <a:off x="769" y="13"/>
            <a:ext cx="70"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6" name="Picture 46"/>
          <xdr:cNvPicPr preferRelativeResize="1">
            <a:picLocks noChangeAspect="1"/>
          </xdr:cNvPicPr>
        </xdr:nvPicPr>
        <xdr:blipFill>
          <a:blip r:embed="rId2"/>
          <a:stretch>
            <a:fillRect/>
          </a:stretch>
        </xdr:blipFill>
        <xdr:spPr>
          <a:xfrm>
            <a:off x="772" y="1"/>
            <a:ext cx="83" cy="39"/>
          </a:xfrm>
          <a:prstGeom prst="rect">
            <a:avLst/>
          </a:prstGeom>
          <a:noFill/>
          <a:ln w="9525" cmpd="sng">
            <a:noFill/>
          </a:ln>
        </xdr:spPr>
      </xdr:pic>
      <xdr:sp>
        <xdr:nvSpPr>
          <xdr:cNvPr id="47" name="Rectangle 47"/>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8.x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Blad1"/>
  <dimension ref="A2:U410"/>
  <sheetViews>
    <sheetView zoomScale="95" zoomScaleNormal="95" workbookViewId="0" topLeftCell="A1">
      <selection activeCell="F19" sqref="F19"/>
    </sheetView>
  </sheetViews>
  <sheetFormatPr defaultColWidth="9.140625" defaultRowHeight="12.75"/>
  <cols>
    <col min="1" max="1" width="5.7109375" style="1" customWidth="1"/>
    <col min="2" max="2" width="9.7109375" style="2" customWidth="1"/>
    <col min="3" max="3" width="20.57421875" style="2" customWidth="1"/>
    <col min="4" max="4" width="10.7109375" style="3" customWidth="1"/>
    <col min="5" max="5" width="10.421875" style="2" customWidth="1"/>
    <col min="6" max="6" width="16.421875" style="2" customWidth="1"/>
    <col min="7" max="7" width="18.140625" style="4" customWidth="1"/>
    <col min="8" max="8" width="10.7109375" style="1" customWidth="1"/>
    <col min="9" max="9" width="10.7109375" style="2" customWidth="1"/>
    <col min="10" max="10" width="2.7109375" style="5" customWidth="1"/>
    <col min="11" max="13" width="2.7109375" style="2" customWidth="1"/>
    <col min="14" max="14" width="9.8515625" style="2" customWidth="1"/>
    <col min="15" max="15" width="10.28125" style="93" bestFit="1" customWidth="1"/>
    <col min="16" max="16" width="10.7109375" style="96" bestFit="1" customWidth="1"/>
    <col min="17" max="17" width="9.8515625" style="93" bestFit="1" customWidth="1"/>
    <col min="18" max="21" width="8.7109375" style="93" customWidth="1"/>
    <col min="22" max="16384" width="8.7109375" style="2" customWidth="1"/>
  </cols>
  <sheetData>
    <row r="1" ht="15.75" customHeight="1"/>
    <row r="2" spans="1:21" s="11" customFormat="1" ht="15.75" customHeight="1">
      <c r="A2" s="6" t="e">
        <f>CONCATENATE("Nacalculatie ",#REF!," Psychiatrische Ziekenhuizen en Ribw´s")</f>
        <v>#REF!</v>
      </c>
      <c r="B2" s="7"/>
      <c r="C2" s="8" t="e">
        <f>#REF!</f>
        <v>#REF!</v>
      </c>
      <c r="D2" s="8" t="e">
        <f>#REF!</f>
        <v>#REF!</v>
      </c>
      <c r="E2" s="8" t="e">
        <f>#REF!</f>
        <v>#REF!</v>
      </c>
      <c r="F2" s="8" t="e">
        <f>#REF!</f>
        <v>#REF!</v>
      </c>
      <c r="G2" s="8" t="e">
        <f>#REF!</f>
        <v>#REF!</v>
      </c>
      <c r="H2" s="8" t="e">
        <f>#REF!</f>
        <v>#REF!</v>
      </c>
      <c r="I2" s="8" t="e">
        <f>#REF!</f>
        <v>#REF!</v>
      </c>
      <c r="J2" s="8" t="e">
        <f>#REF!</f>
        <v>#REF!</v>
      </c>
      <c r="K2" s="7"/>
      <c r="L2" s="9"/>
      <c r="M2" s="10">
        <f>instructie!E22+1</f>
        <v>1</v>
      </c>
      <c r="O2" s="12"/>
      <c r="P2" s="13"/>
      <c r="Q2" s="12"/>
      <c r="R2" s="12"/>
      <c r="S2" s="12"/>
      <c r="T2" s="12"/>
      <c r="U2" s="12"/>
    </row>
    <row r="3" ht="12.75">
      <c r="M3" s="5"/>
    </row>
    <row r="4" spans="1:21" ht="12.75" customHeight="1">
      <c r="A4" s="14" t="str">
        <f>CONCATENATE("RUBRIEK 1: WERKELIJKE OPBRENGSTEN")</f>
        <v>RUBRIEK 1: WERKELIJKE OPBRENGSTEN</v>
      </c>
      <c r="B4" s="15"/>
      <c r="C4" s="15"/>
      <c r="D4" s="16"/>
      <c r="E4" s="230" t="str">
        <f>CONCATENATE("(Ribw´s alleen ",A8,", ",A34,", ",E37," en ",A42,")")</f>
        <v>(Ribw´s alleen 1.1 , 1.4, 1.6  en 1.7)</v>
      </c>
      <c r="F4" s="17"/>
      <c r="G4" s="18"/>
      <c r="H4" s="2"/>
      <c r="I4" s="17"/>
      <c r="J4" s="19"/>
      <c r="K4" s="17"/>
      <c r="L4" s="15"/>
      <c r="M4" s="96"/>
      <c r="N4" s="93"/>
      <c r="P4" s="93"/>
      <c r="S4" s="2"/>
      <c r="T4" s="2"/>
      <c r="U4" s="2"/>
    </row>
    <row r="5" spans="2:21" ht="12.75" customHeight="1">
      <c r="B5" s="20"/>
      <c r="C5" s="20"/>
      <c r="D5" s="20"/>
      <c r="E5" s="20"/>
      <c r="F5" s="20"/>
      <c r="G5" s="20"/>
      <c r="H5" s="20"/>
      <c r="I5" s="20"/>
      <c r="J5" s="20"/>
      <c r="K5" s="20"/>
      <c r="L5" s="20"/>
      <c r="M5" s="93"/>
      <c r="N5" s="93"/>
      <c r="P5" s="93"/>
      <c r="S5" s="2"/>
      <c r="T5" s="2"/>
      <c r="U5" s="2"/>
    </row>
    <row r="6" spans="1:6" s="11" customFormat="1" ht="12.75" customHeight="1">
      <c r="A6" s="21"/>
      <c r="B6" s="22" t="s">
        <v>124</v>
      </c>
      <c r="C6" s="23" t="s">
        <v>120</v>
      </c>
      <c r="D6" s="24"/>
      <c r="E6" s="197"/>
      <c r="F6" s="22" t="s">
        <v>124</v>
      </c>
    </row>
    <row r="7" spans="1:21" ht="12.75" customHeight="1">
      <c r="A7" s="20"/>
      <c r="B7" s="3"/>
      <c r="C7" s="20"/>
      <c r="D7" s="20"/>
      <c r="E7" s="20"/>
      <c r="F7" s="20"/>
      <c r="G7" s="93"/>
      <c r="H7" s="93"/>
      <c r="I7" s="93"/>
      <c r="J7" s="93"/>
      <c r="K7" s="93"/>
      <c r="O7" s="2"/>
      <c r="P7" s="2"/>
      <c r="Q7" s="2"/>
      <c r="R7" s="2"/>
      <c r="S7" s="2"/>
      <c r="T7" s="2"/>
      <c r="U7" s="2"/>
    </row>
    <row r="8" spans="1:6" s="90" customFormat="1" ht="12.75" customHeight="1">
      <c r="A8" s="26" t="s">
        <v>115</v>
      </c>
      <c r="B8" s="28"/>
      <c r="C8" s="29"/>
      <c r="D8" s="27"/>
      <c r="E8" s="26" t="s">
        <v>114</v>
      </c>
      <c r="F8" s="29"/>
    </row>
    <row r="9" spans="1:6" s="90" customFormat="1" ht="12.75" customHeight="1">
      <c r="A9" s="31">
        <f>Opbrengsten!A9</f>
        <v>901</v>
      </c>
      <c r="B9" s="267">
        <f>Opbrengsten!D9</f>
        <v>0</v>
      </c>
      <c r="C9" s="268" t="e">
        <f>Opbrengsten!#REF!</f>
        <v>#REF!</v>
      </c>
      <c r="D9" s="27"/>
      <c r="E9" s="31">
        <f>A38+1</f>
        <v>925</v>
      </c>
      <c r="F9" s="267" t="e">
        <f>Opbrengsten!#REF!</f>
        <v>#REF!</v>
      </c>
    </row>
    <row r="10" spans="1:6" s="42" customFormat="1" ht="12.75" customHeight="1">
      <c r="A10" s="32">
        <f aca="true" t="shared" si="0" ref="A10:A17">A9+1</f>
        <v>902</v>
      </c>
      <c r="B10" s="267">
        <f>Opbrengsten!D10</f>
        <v>0</v>
      </c>
      <c r="C10" s="268" t="e">
        <f>Opbrengsten!#REF!</f>
        <v>#REF!</v>
      </c>
      <c r="D10" s="33"/>
      <c r="E10" s="34">
        <f aca="true" t="shared" si="1" ref="E10:E28">E9+1</f>
        <v>926</v>
      </c>
      <c r="F10" s="267" t="e">
        <f>Opbrengsten!#REF!</f>
        <v>#REF!</v>
      </c>
    </row>
    <row r="11" spans="1:6" s="42" customFormat="1" ht="12.75" customHeight="1">
      <c r="A11" s="34">
        <f t="shared" si="0"/>
        <v>903</v>
      </c>
      <c r="B11" s="267">
        <f>Opbrengsten!D11</f>
        <v>0</v>
      </c>
      <c r="C11" s="268" t="e">
        <f>Opbrengsten!#REF!</f>
        <v>#REF!</v>
      </c>
      <c r="D11" s="33"/>
      <c r="E11" s="34">
        <f t="shared" si="1"/>
        <v>927</v>
      </c>
      <c r="F11" s="267" t="e">
        <f>Opbrengsten!#REF!</f>
        <v>#REF!</v>
      </c>
    </row>
    <row r="12" spans="1:6" s="42" customFormat="1" ht="12.75" customHeight="1">
      <c r="A12" s="34">
        <f t="shared" si="0"/>
        <v>904</v>
      </c>
      <c r="B12" s="267">
        <f>Opbrengsten!D12</f>
        <v>0</v>
      </c>
      <c r="C12" s="268" t="e">
        <f>Opbrengsten!#REF!</f>
        <v>#REF!</v>
      </c>
      <c r="D12" s="33"/>
      <c r="E12" s="34">
        <f t="shared" si="1"/>
        <v>928</v>
      </c>
      <c r="F12" s="267" t="e">
        <f>Opbrengsten!#REF!</f>
        <v>#REF!</v>
      </c>
    </row>
    <row r="13" spans="1:6" s="42" customFormat="1" ht="12.75" customHeight="1">
      <c r="A13" s="34">
        <f t="shared" si="0"/>
        <v>905</v>
      </c>
      <c r="B13" s="267" t="e">
        <f>Opbrengsten!#REF!</f>
        <v>#REF!</v>
      </c>
      <c r="C13" s="268" t="e">
        <f>Opbrengsten!#REF!</f>
        <v>#REF!</v>
      </c>
      <c r="D13" s="33"/>
      <c r="E13" s="34">
        <f t="shared" si="1"/>
        <v>929</v>
      </c>
      <c r="F13" s="267" t="e">
        <f>Opbrengsten!#REF!</f>
        <v>#REF!</v>
      </c>
    </row>
    <row r="14" spans="1:8" s="42" customFormat="1" ht="12.75" customHeight="1">
      <c r="A14" s="34">
        <f t="shared" si="0"/>
        <v>906</v>
      </c>
      <c r="B14" s="267" t="e">
        <f>Opbrengsten!#REF!</f>
        <v>#REF!</v>
      </c>
      <c r="C14" s="268" t="e">
        <f>Opbrengsten!#REF!</f>
        <v>#REF!</v>
      </c>
      <c r="D14" s="33"/>
      <c r="E14" s="34">
        <f t="shared" si="1"/>
        <v>930</v>
      </c>
      <c r="F14" s="267" t="e">
        <f>Opbrengsten!#REF!</f>
        <v>#REF!</v>
      </c>
      <c r="H14" s="90"/>
    </row>
    <row r="15" spans="1:8" s="42" customFormat="1" ht="12.75" customHeight="1">
      <c r="A15" s="35">
        <f t="shared" si="0"/>
        <v>907</v>
      </c>
      <c r="B15" s="267" t="e">
        <f>Opbrengsten!#REF!</f>
        <v>#REF!</v>
      </c>
      <c r="C15" s="269"/>
      <c r="D15" s="33"/>
      <c r="E15" s="34">
        <f t="shared" si="1"/>
        <v>931</v>
      </c>
      <c r="F15" s="267" t="e">
        <f>Opbrengsten!#REF!</f>
        <v>#REF!</v>
      </c>
      <c r="H15" s="90"/>
    </row>
    <row r="16" spans="1:8" s="42" customFormat="1" ht="12.75" customHeight="1">
      <c r="A16" s="54">
        <f t="shared" si="0"/>
        <v>908</v>
      </c>
      <c r="B16" s="270" t="e">
        <f>Opbrengsten!#REF!</f>
        <v>#REF!</v>
      </c>
      <c r="C16" s="268" t="e">
        <f>Opbrengsten!#REF!</f>
        <v>#REF!</v>
      </c>
      <c r="D16" s="33"/>
      <c r="E16" s="34">
        <f t="shared" si="1"/>
        <v>932</v>
      </c>
      <c r="F16" s="267" t="e">
        <f>Opbrengsten!#REF!</f>
        <v>#REF!</v>
      </c>
      <c r="H16" s="90"/>
    </row>
    <row r="17" spans="1:8" s="42" customFormat="1" ht="12.75" customHeight="1">
      <c r="A17" s="37">
        <f t="shared" si="0"/>
        <v>909</v>
      </c>
      <c r="B17" s="39"/>
      <c r="C17" s="40"/>
      <c r="D17" s="33"/>
      <c r="E17" s="34">
        <f t="shared" si="1"/>
        <v>933</v>
      </c>
      <c r="F17" s="267" t="str">
        <f>Opbrengsten!C32</f>
        <v>Verblijf gezonde moeder</v>
      </c>
      <c r="H17" s="90"/>
    </row>
    <row r="18" spans="1:8" s="42" customFormat="1" ht="12.75" customHeight="1">
      <c r="A18" s="41"/>
      <c r="B18" s="238"/>
      <c r="D18" s="33"/>
      <c r="E18" s="34">
        <f t="shared" si="1"/>
        <v>934</v>
      </c>
      <c r="F18" s="267" t="str">
        <f>Opbrengsten!C33</f>
        <v>Verblijf gezonde zuigeling</v>
      </c>
      <c r="H18" s="90"/>
    </row>
    <row r="19" spans="1:8" s="42" customFormat="1" ht="12.75" customHeight="1">
      <c r="A19" s="26" t="s">
        <v>116</v>
      </c>
      <c r="B19" s="28"/>
      <c r="C19" s="29"/>
      <c r="D19" s="33"/>
      <c r="E19" s="34">
        <f t="shared" si="1"/>
        <v>935</v>
      </c>
      <c r="F19" s="267" t="str">
        <f>Opbrengsten!B35</f>
        <v>A007</v>
      </c>
      <c r="H19" s="90"/>
    </row>
    <row r="20" spans="1:8" s="42" customFormat="1" ht="12.75" customHeight="1">
      <c r="A20" s="31">
        <f>A17+1</f>
        <v>910</v>
      </c>
      <c r="B20" s="267" t="e">
        <f>Opbrengsten!#REF!</f>
        <v>#REF!</v>
      </c>
      <c r="C20" s="269"/>
      <c r="D20" s="44"/>
      <c r="E20" s="34">
        <f t="shared" si="1"/>
        <v>936</v>
      </c>
      <c r="F20" s="267" t="str">
        <f>Opbrengsten!B36</f>
        <v>Totaal opbrengst vaste tarieven 918 t/m 923</v>
      </c>
      <c r="H20" s="90"/>
    </row>
    <row r="21" spans="1:8" s="42" customFormat="1" ht="12.75" customHeight="1">
      <c r="A21" s="32">
        <f>A20+1</f>
        <v>911</v>
      </c>
      <c r="B21" s="267" t="e">
        <f>Opbrengsten!#REF!</f>
        <v>#REF!</v>
      </c>
      <c r="C21" s="269"/>
      <c r="D21" s="45"/>
      <c r="E21" s="34">
        <f t="shared" si="1"/>
        <v>937</v>
      </c>
      <c r="F21" s="267" t="e">
        <f>Opbrengsten!#REF!</f>
        <v>#REF!</v>
      </c>
      <c r="H21" s="90"/>
    </row>
    <row r="22" spans="1:6" s="90" customFormat="1" ht="12.75" customHeight="1">
      <c r="A22" s="32">
        <f>A21+1</f>
        <v>912</v>
      </c>
      <c r="B22" s="267" t="e">
        <f>Opbrengsten!#REF!</f>
        <v>#REF!</v>
      </c>
      <c r="C22" s="269"/>
      <c r="D22" s="27"/>
      <c r="E22" s="34">
        <f t="shared" si="1"/>
        <v>938</v>
      </c>
      <c r="F22" s="267" t="e">
        <f>Opbrengsten!#REF!</f>
        <v>#REF!</v>
      </c>
    </row>
    <row r="23" spans="1:6" s="90" customFormat="1" ht="12.75" customHeight="1">
      <c r="A23" s="32">
        <f>A22+1</f>
        <v>913</v>
      </c>
      <c r="B23" s="267" t="e">
        <f>Opbrengsten!#REF!</f>
        <v>#REF!</v>
      </c>
      <c r="C23" s="269"/>
      <c r="D23" s="27"/>
      <c r="E23" s="34">
        <f t="shared" si="1"/>
        <v>939</v>
      </c>
      <c r="F23" s="267" t="e">
        <f>Opbrengsten!#REF!</f>
        <v>#REF!</v>
      </c>
    </row>
    <row r="24" spans="1:6" s="42" customFormat="1" ht="12.75" customHeight="1">
      <c r="A24" s="35">
        <f>A23+1</f>
        <v>914</v>
      </c>
      <c r="B24" s="267" t="e">
        <f>Opbrengsten!#REF!</f>
        <v>#REF!</v>
      </c>
      <c r="C24" s="269"/>
      <c r="D24" s="33"/>
      <c r="E24" s="34">
        <f t="shared" si="1"/>
        <v>940</v>
      </c>
      <c r="F24" s="267" t="e">
        <f>Opbrengsten!#REF!</f>
        <v>#REF!</v>
      </c>
    </row>
    <row r="25" spans="1:6" s="42" customFormat="1" ht="12.75" customHeight="1">
      <c r="A25" s="37">
        <f>A24+1</f>
        <v>915</v>
      </c>
      <c r="B25" s="39"/>
      <c r="C25" s="40"/>
      <c r="D25" s="33"/>
      <c r="E25" s="34">
        <f t="shared" si="1"/>
        <v>941</v>
      </c>
      <c r="F25" s="267" t="e">
        <f>Opbrengsten!#REF!</f>
        <v>#REF!</v>
      </c>
    </row>
    <row r="26" spans="1:6" s="42" customFormat="1" ht="12.75" customHeight="1">
      <c r="A26" s="261"/>
      <c r="B26" s="43"/>
      <c r="D26" s="33"/>
      <c r="E26" s="34">
        <f t="shared" si="1"/>
        <v>942</v>
      </c>
      <c r="F26" s="267" t="e">
        <f>Opbrengsten!#REF!</f>
        <v>#REF!</v>
      </c>
    </row>
    <row r="27" spans="1:8" s="42" customFormat="1" ht="12.75" customHeight="1">
      <c r="A27" s="26" t="s">
        <v>117</v>
      </c>
      <c r="B27" s="28"/>
      <c r="C27" s="29"/>
      <c r="D27" s="44"/>
      <c r="E27" s="34">
        <f t="shared" si="1"/>
        <v>943</v>
      </c>
      <c r="F27" s="267" t="e">
        <f>Opbrengsten!#REF!</f>
        <v>#REF!</v>
      </c>
      <c r="H27" s="90"/>
    </row>
    <row r="28" spans="1:8" s="42" customFormat="1" ht="12.75" customHeight="1">
      <c r="A28" s="31">
        <f>A25+1</f>
        <v>916</v>
      </c>
      <c r="B28" s="267">
        <f>Opbrengsten!D16</f>
        <v>0</v>
      </c>
      <c r="C28" s="268">
        <f>Opbrengsten!E16</f>
        <v>0</v>
      </c>
      <c r="D28" s="45"/>
      <c r="E28" s="34">
        <f t="shared" si="1"/>
        <v>944</v>
      </c>
      <c r="F28" s="267" t="e">
        <f>Opbrengsten!#REF!</f>
        <v>#REF!</v>
      </c>
      <c r="H28" s="90"/>
    </row>
    <row r="29" spans="1:6" s="90" customFormat="1" ht="12.75" customHeight="1">
      <c r="A29" s="32">
        <f>A28+1</f>
        <v>917</v>
      </c>
      <c r="B29" s="267">
        <f>Opbrengsten!D18</f>
        <v>0</v>
      </c>
      <c r="C29" s="268">
        <f>Opbrengsten!E18</f>
        <v>0</v>
      </c>
      <c r="D29" s="27"/>
      <c r="E29" s="34">
        <f>E25+1</f>
        <v>942</v>
      </c>
      <c r="F29" s="267">
        <f>Opbrengsten!I10</f>
        <v>0</v>
      </c>
    </row>
    <row r="30" spans="1:6" s="90" customFormat="1" ht="12.75" customHeight="1">
      <c r="A30" s="34">
        <f>A29+1</f>
        <v>918</v>
      </c>
      <c r="B30" s="267">
        <f>Opbrengsten!D19</f>
        <v>0</v>
      </c>
      <c r="C30" s="268">
        <f>Opbrengsten!E19</f>
        <v>0</v>
      </c>
      <c r="D30" s="27"/>
      <c r="E30" s="34">
        <f>E29+1</f>
        <v>943</v>
      </c>
      <c r="F30" s="267">
        <f>Opbrengsten!I11</f>
        <v>0</v>
      </c>
    </row>
    <row r="31" spans="1:6" s="42" customFormat="1" ht="12.75" customHeight="1">
      <c r="A31" s="35">
        <f>A30+1</f>
        <v>919</v>
      </c>
      <c r="B31" s="267" t="e">
        <f>Opbrengsten!#REF!</f>
        <v>#REF!</v>
      </c>
      <c r="C31" s="268" t="e">
        <f>Opbrengsten!#REF!</f>
        <v>#REF!</v>
      </c>
      <c r="D31" s="33"/>
      <c r="E31" s="34">
        <f>E30+1</f>
        <v>944</v>
      </c>
      <c r="F31" s="267" t="e">
        <f>Opbrengsten!#REF!</f>
        <v>#REF!</v>
      </c>
    </row>
    <row r="32" spans="1:6" s="42" customFormat="1" ht="12.75" customHeight="1">
      <c r="A32" s="37">
        <f>A31+1</f>
        <v>920</v>
      </c>
      <c r="B32" s="39"/>
      <c r="C32" s="46"/>
      <c r="D32" s="33"/>
      <c r="E32" s="34">
        <f>E30+1</f>
        <v>944</v>
      </c>
      <c r="F32" s="267">
        <f>Opbrengsten!I12</f>
        <v>0</v>
      </c>
    </row>
    <row r="33" spans="1:6" s="42" customFormat="1" ht="12.75" customHeight="1">
      <c r="A33" s="41"/>
      <c r="B33" s="43"/>
      <c r="D33" s="33"/>
      <c r="E33" s="34">
        <f>E31+1</f>
        <v>945</v>
      </c>
      <c r="F33" s="267" t="e">
        <f>Opbrengsten!#REF!</f>
        <v>#REF!</v>
      </c>
    </row>
    <row r="34" spans="1:6" s="42" customFormat="1" ht="12.75" customHeight="1">
      <c r="A34" s="26" t="s">
        <v>322</v>
      </c>
      <c r="B34" s="45"/>
      <c r="D34" s="48"/>
      <c r="E34" s="34">
        <f>E33+1</f>
        <v>946</v>
      </c>
      <c r="F34" s="267">
        <f>Opbrengsten!I13</f>
        <v>0</v>
      </c>
    </row>
    <row r="35" spans="1:8" s="42" customFormat="1" ht="12.75" customHeight="1">
      <c r="A35" s="31">
        <f>A32+1</f>
        <v>921</v>
      </c>
      <c r="B35" s="49"/>
      <c r="C35" s="50"/>
      <c r="E35" s="51">
        <f>E34+1</f>
        <v>947</v>
      </c>
      <c r="F35" s="52"/>
      <c r="H35" s="90"/>
    </row>
    <row r="36" spans="1:21" ht="12.75">
      <c r="A36" s="35">
        <f>A35+1</f>
        <v>922</v>
      </c>
      <c r="B36" s="49"/>
      <c r="C36" s="50"/>
      <c r="D36" s="4"/>
      <c r="E36" s="53"/>
      <c r="F36" s="5"/>
      <c r="G36" s="93"/>
      <c r="H36" s="96"/>
      <c r="I36" s="93"/>
      <c r="J36" s="93"/>
      <c r="K36" s="93"/>
      <c r="L36" s="93"/>
      <c r="M36" s="93"/>
      <c r="O36" s="2"/>
      <c r="P36" s="2"/>
      <c r="Q36" s="2"/>
      <c r="R36" s="2"/>
      <c r="S36" s="2"/>
      <c r="T36" s="2"/>
      <c r="U36" s="2"/>
    </row>
    <row r="37" spans="1:21" ht="12.75">
      <c r="A37" s="54">
        <f>A36+1</f>
        <v>923</v>
      </c>
      <c r="B37" s="55"/>
      <c r="C37" s="56"/>
      <c r="D37" s="4"/>
      <c r="E37" s="26" t="s">
        <v>118</v>
      </c>
      <c r="F37" s="57"/>
      <c r="G37" s="93"/>
      <c r="H37" s="96"/>
      <c r="I37" s="93"/>
      <c r="J37" s="93"/>
      <c r="K37" s="93"/>
      <c r="L37" s="93"/>
      <c r="M37" s="93"/>
      <c r="O37" s="2"/>
      <c r="P37" s="2"/>
      <c r="Q37" s="2"/>
      <c r="R37" s="2"/>
      <c r="S37" s="2"/>
      <c r="T37" s="2"/>
      <c r="U37" s="2"/>
    </row>
    <row r="38" spans="1:21" ht="12.75" customHeight="1">
      <c r="A38" s="51">
        <f>A37+1</f>
        <v>924</v>
      </c>
      <c r="B38" s="38"/>
      <c r="C38" s="52"/>
      <c r="D38" s="4"/>
      <c r="E38" s="37">
        <f>A38+1</f>
        <v>925</v>
      </c>
      <c r="F38" s="60"/>
      <c r="G38" s="93"/>
      <c r="H38" s="96"/>
      <c r="I38" s="93"/>
      <c r="J38" s="93"/>
      <c r="K38" s="93"/>
      <c r="L38" s="93"/>
      <c r="M38" s="93"/>
      <c r="O38" s="2"/>
      <c r="P38" s="2"/>
      <c r="Q38" s="2"/>
      <c r="R38" s="2"/>
      <c r="S38" s="2"/>
      <c r="T38" s="2"/>
      <c r="U38" s="2"/>
    </row>
    <row r="39" spans="1:6" s="11" customFormat="1" ht="12.75" customHeight="1">
      <c r="A39" s="1"/>
      <c r="B39" s="3"/>
      <c r="C39" s="2"/>
      <c r="D39" s="2"/>
      <c r="E39" s="4"/>
      <c r="F39" s="1"/>
    </row>
    <row r="40" spans="1:21" ht="12.75">
      <c r="A40" s="21"/>
      <c r="B40" s="184"/>
      <c r="C40" s="184"/>
      <c r="D40" s="25" t="s">
        <v>123</v>
      </c>
      <c r="E40" s="24"/>
      <c r="F40" s="21"/>
      <c r="G40" s="62"/>
      <c r="H40" s="62"/>
      <c r="I40" s="63"/>
      <c r="J40" s="2"/>
      <c r="K40" s="93"/>
      <c r="L40" s="96"/>
      <c r="M40" s="93"/>
      <c r="N40" s="93"/>
      <c r="P40" s="93"/>
      <c r="R40" s="2"/>
      <c r="S40" s="2"/>
      <c r="T40" s="2"/>
      <c r="U40" s="2"/>
    </row>
    <row r="41" spans="1:21" ht="12.75">
      <c r="A41" s="64"/>
      <c r="B41" s="66"/>
      <c r="C41" s="66"/>
      <c r="D41" s="67"/>
      <c r="E41" s="65"/>
      <c r="F41" s="64"/>
      <c r="G41" s="68"/>
      <c r="H41" s="68"/>
      <c r="I41" s="69"/>
      <c r="J41" s="69"/>
      <c r="K41" s="70"/>
      <c r="M41" s="93"/>
      <c r="N41" s="96"/>
      <c r="P41" s="93"/>
      <c r="T41" s="2"/>
      <c r="U41" s="2"/>
    </row>
    <row r="42" spans="1:21" ht="12.75">
      <c r="A42" s="26" t="s">
        <v>308</v>
      </c>
      <c r="B42" s="48"/>
      <c r="C42" s="48"/>
      <c r="D42" s="236" t="s">
        <v>346</v>
      </c>
      <c r="E42" s="4"/>
      <c r="F42" s="71"/>
      <c r="G42" s="72"/>
      <c r="H42" s="72"/>
      <c r="I42" s="72"/>
      <c r="J42" s="72"/>
      <c r="K42" s="73"/>
      <c r="M42" s="93"/>
      <c r="N42" s="96"/>
      <c r="P42" s="93"/>
      <c r="T42" s="2"/>
      <c r="U42" s="2"/>
    </row>
    <row r="43" spans="1:21" ht="12.75">
      <c r="A43" s="31" t="e">
        <f>Opbrengsten!#REF!</f>
        <v>#REF!</v>
      </c>
      <c r="B43" s="134"/>
      <c r="C43" s="74"/>
      <c r="D43" s="267" t="e">
        <f>Opbrengsten!#REF!</f>
        <v>#REF!</v>
      </c>
      <c r="E43" s="4"/>
      <c r="F43" s="75"/>
      <c r="G43" s="76"/>
      <c r="H43" s="76"/>
      <c r="I43" s="76"/>
      <c r="J43" s="76"/>
      <c r="K43" s="76"/>
      <c r="M43" s="93"/>
      <c r="N43" s="96"/>
      <c r="P43" s="93"/>
      <c r="T43" s="2"/>
      <c r="U43" s="2"/>
    </row>
    <row r="44" spans="1:21" ht="12.75">
      <c r="A44" s="32" t="e">
        <f>A43+1</f>
        <v>#REF!</v>
      </c>
      <c r="B44" s="134"/>
      <c r="C44" s="77"/>
      <c r="D44" s="291"/>
      <c r="E44" s="4"/>
      <c r="F44" s="1"/>
      <c r="G44" s="2"/>
      <c r="H44" s="5"/>
      <c r="J44" s="2"/>
      <c r="M44" s="93"/>
      <c r="N44" s="96"/>
      <c r="P44" s="93"/>
      <c r="T44" s="2"/>
      <c r="U44" s="2"/>
    </row>
    <row r="45" spans="1:21" ht="12.75">
      <c r="A45" s="35" t="e">
        <f>A44+1</f>
        <v>#REF!</v>
      </c>
      <c r="B45" s="78"/>
      <c r="C45" s="79"/>
      <c r="D45" s="267" t="e">
        <f>Opbrengsten!#REF!</f>
        <v>#REF!</v>
      </c>
      <c r="E45" s="4"/>
      <c r="F45" s="1"/>
      <c r="G45" s="2"/>
      <c r="H45" s="5"/>
      <c r="J45" s="2"/>
      <c r="M45" s="93"/>
      <c r="N45" s="96"/>
      <c r="P45" s="93"/>
      <c r="T45" s="2"/>
      <c r="U45" s="2"/>
    </row>
    <row r="46" spans="1:19" s="87" customFormat="1" ht="12.75">
      <c r="A46" s="37" t="e">
        <f>A45+1</f>
        <v>#REF!</v>
      </c>
      <c r="B46" s="52"/>
      <c r="C46" s="80"/>
      <c r="D46" s="292"/>
      <c r="E46" s="4"/>
      <c r="F46" s="1"/>
      <c r="G46" s="2"/>
      <c r="H46" s="5"/>
      <c r="I46" s="2"/>
      <c r="J46" s="2"/>
      <c r="K46" s="2"/>
      <c r="M46" s="293"/>
      <c r="N46" s="294"/>
      <c r="O46" s="293"/>
      <c r="P46" s="293"/>
      <c r="Q46" s="293"/>
      <c r="R46" s="293"/>
      <c r="S46" s="293"/>
    </row>
    <row r="47" spans="1:21" ht="12.75">
      <c r="A47" s="81" t="e">
        <f>A46+1</f>
        <v>#REF!</v>
      </c>
      <c r="B47" s="271"/>
      <c r="C47" s="82"/>
      <c r="D47" s="267" t="e">
        <f>Opbrengsten!#REF!</f>
        <v>#REF!</v>
      </c>
      <c r="E47" s="4"/>
      <c r="F47" s="1"/>
      <c r="G47" s="2"/>
      <c r="H47" s="5"/>
      <c r="J47" s="2"/>
      <c r="M47" s="93"/>
      <c r="N47" s="96"/>
      <c r="P47" s="93"/>
      <c r="T47" s="2"/>
      <c r="U47" s="2"/>
    </row>
    <row r="48" spans="1:21" ht="12.75">
      <c r="A48" s="37" t="e">
        <f>A47+1</f>
        <v>#REF!</v>
      </c>
      <c r="B48" s="52"/>
      <c r="C48" s="80"/>
      <c r="D48" s="292"/>
      <c r="E48" s="4"/>
      <c r="F48" s="1"/>
      <c r="G48" s="2"/>
      <c r="H48" s="5"/>
      <c r="J48" s="2"/>
      <c r="M48" s="93"/>
      <c r="N48" s="96"/>
      <c r="P48" s="93"/>
      <c r="T48" s="2"/>
      <c r="U48" s="2"/>
    </row>
    <row r="49" spans="1:21" ht="12.75">
      <c r="A49" s="83"/>
      <c r="B49" s="84"/>
      <c r="C49" s="84"/>
      <c r="D49" s="84"/>
      <c r="E49" s="85"/>
      <c r="F49" s="86"/>
      <c r="G49" s="87"/>
      <c r="H49" s="76"/>
      <c r="I49" s="87"/>
      <c r="J49" s="87"/>
      <c r="K49" s="87"/>
      <c r="M49" s="93"/>
      <c r="N49" s="96"/>
      <c r="P49" s="93"/>
      <c r="T49" s="2"/>
      <c r="U49" s="2"/>
    </row>
    <row r="50" spans="1:21" ht="12.75">
      <c r="A50" s="83" t="s">
        <v>343</v>
      </c>
      <c r="B50" s="84"/>
      <c r="C50" s="84"/>
      <c r="D50" s="236" t="s">
        <v>346</v>
      </c>
      <c r="E50" s="85"/>
      <c r="F50" s="86"/>
      <c r="G50" s="87"/>
      <c r="H50" s="76"/>
      <c r="I50" s="87"/>
      <c r="J50" s="87"/>
      <c r="K50" s="87"/>
      <c r="M50" s="93"/>
      <c r="N50" s="96"/>
      <c r="P50" s="93"/>
      <c r="T50" s="2"/>
      <c r="U50" s="2"/>
    </row>
    <row r="51" spans="1:21" ht="12.75">
      <c r="A51" s="31" t="e">
        <f>A48+1</f>
        <v>#REF!</v>
      </c>
      <c r="B51" s="134"/>
      <c r="C51" s="88"/>
      <c r="D51" s="291"/>
      <c r="E51" s="4"/>
      <c r="F51" s="1"/>
      <c r="G51" s="2"/>
      <c r="H51" s="5"/>
      <c r="J51" s="2"/>
      <c r="M51" s="93"/>
      <c r="N51" s="96"/>
      <c r="P51" s="93"/>
      <c r="T51" s="2"/>
      <c r="U51" s="2"/>
    </row>
    <row r="52" spans="1:21" ht="12.75" customHeight="1">
      <c r="A52" s="35" t="e">
        <f>A51+1</f>
        <v>#REF!</v>
      </c>
      <c r="B52" s="237"/>
      <c r="C52" s="36"/>
      <c r="D52" s="295" t="e">
        <f>Opbrengsten!#REF!</f>
        <v>#REF!</v>
      </c>
      <c r="E52" s="4"/>
      <c r="F52" s="1"/>
      <c r="G52" s="2"/>
      <c r="H52" s="5"/>
      <c r="J52" s="2"/>
      <c r="M52" s="93"/>
      <c r="N52" s="96"/>
      <c r="P52" s="93"/>
      <c r="T52" s="2"/>
      <c r="U52" s="2"/>
    </row>
    <row r="53" spans="1:21" ht="12.75">
      <c r="A53" s="81"/>
      <c r="B53" s="296"/>
      <c r="C53" s="297"/>
      <c r="D53" s="298" t="e">
        <f>Opbrengsten!#REF!</f>
        <v>#REF!</v>
      </c>
      <c r="E53" s="4"/>
      <c r="F53" s="1"/>
      <c r="G53" s="2"/>
      <c r="H53" s="5"/>
      <c r="J53" s="2"/>
      <c r="M53" s="93"/>
      <c r="N53" s="96"/>
      <c r="P53" s="93"/>
      <c r="T53" s="2"/>
      <c r="U53" s="2"/>
    </row>
    <row r="54" spans="1:21" ht="12.75">
      <c r="A54" s="37" t="e">
        <f>A52+1</f>
        <v>#REF!</v>
      </c>
      <c r="B54" s="52"/>
      <c r="C54" s="89"/>
      <c r="D54" s="292"/>
      <c r="E54" s="4"/>
      <c r="F54" s="1"/>
      <c r="G54" s="2"/>
      <c r="H54" s="5"/>
      <c r="J54" s="2"/>
      <c r="M54" s="93"/>
      <c r="N54" s="96"/>
      <c r="P54" s="93"/>
      <c r="T54" s="2"/>
      <c r="U54" s="2"/>
    </row>
    <row r="55" spans="1:21" ht="12.75">
      <c r="A55" s="81" t="e">
        <f>A54+1</f>
        <v>#REF!</v>
      </c>
      <c r="B55" s="271"/>
      <c r="C55" s="82"/>
      <c r="D55" s="267" t="e">
        <f>Opbrengsten!#REF!</f>
        <v>#REF!</v>
      </c>
      <c r="E55" s="4"/>
      <c r="F55" s="1"/>
      <c r="G55" s="2"/>
      <c r="H55" s="5"/>
      <c r="J55" s="2"/>
      <c r="M55" s="93"/>
      <c r="N55" s="96"/>
      <c r="P55" s="93"/>
      <c r="T55" s="2"/>
      <c r="U55" s="2"/>
    </row>
    <row r="56" spans="1:21" ht="12.75">
      <c r="A56" s="37" t="e">
        <f>A55+1</f>
        <v>#REF!</v>
      </c>
      <c r="B56" s="52"/>
      <c r="C56" s="80"/>
      <c r="D56" s="292"/>
      <c r="E56" s="4"/>
      <c r="F56" s="1"/>
      <c r="G56" s="2"/>
      <c r="H56" s="5"/>
      <c r="J56" s="2"/>
      <c r="M56" s="93"/>
      <c r="N56" s="96"/>
      <c r="P56" s="93"/>
      <c r="T56" s="2"/>
      <c r="U56" s="2"/>
    </row>
    <row r="58" spans="1:11" ht="12.75">
      <c r="A58" s="14" t="s">
        <v>112</v>
      </c>
      <c r="B58" s="17"/>
      <c r="C58" s="97"/>
      <c r="D58" s="17"/>
      <c r="E58" s="17"/>
      <c r="F58" s="18"/>
      <c r="G58" s="98"/>
      <c r="H58" s="17"/>
      <c r="I58" s="19"/>
      <c r="J58" s="17"/>
      <c r="K58" s="93"/>
    </row>
    <row r="59" spans="1:11" ht="12.75">
      <c r="A59" s="174"/>
      <c r="B59" s="99"/>
      <c r="C59" s="100"/>
      <c r="D59" s="101"/>
      <c r="E59" s="102"/>
      <c r="F59" s="103"/>
      <c r="G59" s="102"/>
      <c r="H59" s="103"/>
      <c r="I59" s="103"/>
      <c r="J59" s="103"/>
      <c r="K59" s="104"/>
    </row>
    <row r="60" spans="1:21" ht="12.75">
      <c r="A60" s="211"/>
      <c r="B60" s="105" t="s">
        <v>106</v>
      </c>
      <c r="C60" s="209" t="s">
        <v>305</v>
      </c>
      <c r="D60" s="299"/>
      <c r="E60" s="300" t="s">
        <v>306</v>
      </c>
      <c r="F60" s="301"/>
      <c r="G60" s="209" t="e">
        <f>CONCATENATE("Jaarrekening ",#REF!)</f>
        <v>#REF!</v>
      </c>
      <c r="H60" s="302"/>
      <c r="I60" s="303"/>
      <c r="J60" s="2"/>
      <c r="M60" s="93"/>
      <c r="N60" s="96"/>
      <c r="P60" s="93"/>
      <c r="T60" s="2"/>
      <c r="U60" s="2"/>
    </row>
    <row r="61" spans="1:21" ht="12.75">
      <c r="A61" s="211"/>
      <c r="B61" s="106" t="e">
        <f>#REF!-1</f>
        <v>#REF!</v>
      </c>
      <c r="C61" s="106" t="e">
        <f>CONCATENATE("Doorw. ",#REF!-1," ")</f>
        <v>#REF!</v>
      </c>
      <c r="D61" s="106" t="e">
        <f>#REF!</f>
        <v>#REF!</v>
      </c>
      <c r="E61" s="106" t="e">
        <f>CONCATENATE("Doorw. ",#REF!-1," ")</f>
        <v>#REF!</v>
      </c>
      <c r="F61" s="107" t="e">
        <f>CONCATENATE(#REF!,"* ")</f>
        <v>#REF!</v>
      </c>
      <c r="G61" s="108" t="s">
        <v>106</v>
      </c>
      <c r="H61" s="109" t="s">
        <v>307</v>
      </c>
      <c r="I61" s="107" t="s">
        <v>105</v>
      </c>
      <c r="J61" s="2"/>
      <c r="M61" s="93"/>
      <c r="N61" s="96"/>
      <c r="P61" s="93"/>
      <c r="T61" s="2"/>
      <c r="U61" s="2"/>
    </row>
    <row r="62" spans="1:11" ht="12.75">
      <c r="A62" s="20"/>
      <c r="B62" s="20"/>
      <c r="C62" s="20"/>
      <c r="D62" s="20"/>
      <c r="E62" s="20"/>
      <c r="F62" s="20"/>
      <c r="G62" s="20"/>
      <c r="H62" s="20"/>
      <c r="I62" s="20"/>
      <c r="J62" s="20"/>
      <c r="K62" s="42"/>
    </row>
    <row r="63" spans="1:11" ht="12.75">
      <c r="A63" s="41" t="s">
        <v>121</v>
      </c>
      <c r="B63" s="44" t="s">
        <v>122</v>
      </c>
      <c r="C63" s="110"/>
      <c r="D63" s="111"/>
      <c r="E63" s="112"/>
      <c r="F63" s="113"/>
      <c r="G63" s="112"/>
      <c r="H63" s="113"/>
      <c r="I63" s="113"/>
      <c r="J63" s="113"/>
      <c r="K63" s="47"/>
    </row>
    <row r="64" spans="1:21" ht="12.75">
      <c r="A64" s="31" t="e">
        <f>#REF!</f>
        <v>#REF!</v>
      </c>
      <c r="B64" s="267" t="e">
        <f>#REF!</f>
        <v>#REF!</v>
      </c>
      <c r="C64" s="304" t="e">
        <f>#REF!</f>
        <v>#REF!</v>
      </c>
      <c r="D64" s="304" t="e">
        <f>#REF!</f>
        <v>#REF!</v>
      </c>
      <c r="E64" s="267" t="e">
        <f>#REF!</f>
        <v>#REF!</v>
      </c>
      <c r="F64" s="267" t="e">
        <f>#REF!</f>
        <v>#REF!</v>
      </c>
      <c r="G64" s="305"/>
      <c r="H64" s="267" t="e">
        <f>#REF!</f>
        <v>#REF!</v>
      </c>
      <c r="I64" s="267" t="e">
        <f>#REF!</f>
        <v>#REF!</v>
      </c>
      <c r="J64" s="2"/>
      <c r="M64" s="93"/>
      <c r="N64" s="96"/>
      <c r="P64" s="93"/>
      <c r="T64" s="2"/>
      <c r="U64" s="2"/>
    </row>
    <row r="65" spans="1:21" ht="12.75">
      <c r="A65" s="34" t="e">
        <f aca="true" t="shared" si="2" ref="A65:A76">A64+1</f>
        <v>#REF!</v>
      </c>
      <c r="B65" s="267" t="e">
        <f>#REF!</f>
        <v>#REF!</v>
      </c>
      <c r="C65" s="304" t="e">
        <f>#REF!</f>
        <v>#REF!</v>
      </c>
      <c r="D65" s="304" t="e">
        <f>#REF!</f>
        <v>#REF!</v>
      </c>
      <c r="E65" s="267" t="e">
        <f>#REF!</f>
        <v>#REF!</v>
      </c>
      <c r="F65" s="267" t="e">
        <f>#REF!</f>
        <v>#REF!</v>
      </c>
      <c r="G65" s="305"/>
      <c r="H65" s="267" t="e">
        <f>#REF!</f>
        <v>#REF!</v>
      </c>
      <c r="I65" s="267" t="e">
        <f>#REF!</f>
        <v>#REF!</v>
      </c>
      <c r="J65" s="2"/>
      <c r="M65" s="93"/>
      <c r="N65" s="96"/>
      <c r="P65" s="93"/>
      <c r="T65" s="2"/>
      <c r="U65" s="2"/>
    </row>
    <row r="66" spans="1:21" ht="12.75">
      <c r="A66" s="34" t="e">
        <f t="shared" si="2"/>
        <v>#REF!</v>
      </c>
      <c r="B66" s="267" t="e">
        <f>#REF!</f>
        <v>#REF!</v>
      </c>
      <c r="C66" s="304" t="e">
        <f>#REF!</f>
        <v>#REF!</v>
      </c>
      <c r="D66" s="304" t="e">
        <f>#REF!</f>
        <v>#REF!</v>
      </c>
      <c r="E66" s="267" t="e">
        <f>#REF!</f>
        <v>#REF!</v>
      </c>
      <c r="F66" s="267" t="e">
        <f>#REF!</f>
        <v>#REF!</v>
      </c>
      <c r="G66" s="305"/>
      <c r="H66" s="267" t="e">
        <f>#REF!</f>
        <v>#REF!</v>
      </c>
      <c r="I66" s="267" t="e">
        <f>#REF!</f>
        <v>#REF!</v>
      </c>
      <c r="J66" s="2"/>
      <c r="M66" s="93"/>
      <c r="N66" s="96"/>
      <c r="P66" s="93"/>
      <c r="T66" s="2"/>
      <c r="U66" s="2"/>
    </row>
    <row r="67" spans="1:21" ht="12.75">
      <c r="A67" s="34" t="e">
        <f t="shared" si="2"/>
        <v>#REF!</v>
      </c>
      <c r="B67" s="267" t="e">
        <f>#REF!</f>
        <v>#REF!</v>
      </c>
      <c r="C67" s="304" t="e">
        <f>#REF!</f>
        <v>#REF!</v>
      </c>
      <c r="D67" s="304" t="e">
        <f>#REF!</f>
        <v>#REF!</v>
      </c>
      <c r="E67" s="267" t="e">
        <f>#REF!</f>
        <v>#REF!</v>
      </c>
      <c r="F67" s="267" t="e">
        <f>#REF!</f>
        <v>#REF!</v>
      </c>
      <c r="G67" s="305"/>
      <c r="H67" s="267" t="e">
        <f>#REF!</f>
        <v>#REF!</v>
      </c>
      <c r="I67" s="267" t="e">
        <f>#REF!</f>
        <v>#REF!</v>
      </c>
      <c r="J67" s="2"/>
      <c r="M67" s="93"/>
      <c r="N67" s="96"/>
      <c r="P67" s="93"/>
      <c r="T67" s="2"/>
      <c r="U67" s="2"/>
    </row>
    <row r="68" spans="1:21" ht="12.75">
      <c r="A68" s="34" t="e">
        <f t="shared" si="2"/>
        <v>#REF!</v>
      </c>
      <c r="B68" s="267" t="e">
        <f>#REF!</f>
        <v>#REF!</v>
      </c>
      <c r="C68" s="304" t="e">
        <f>#REF!</f>
        <v>#REF!</v>
      </c>
      <c r="D68" s="304" t="e">
        <f>#REF!</f>
        <v>#REF!</v>
      </c>
      <c r="E68" s="267" t="e">
        <f>#REF!</f>
        <v>#REF!</v>
      </c>
      <c r="F68" s="267" t="e">
        <f>#REF!</f>
        <v>#REF!</v>
      </c>
      <c r="G68" s="305"/>
      <c r="H68" s="267" t="e">
        <f>#REF!</f>
        <v>#REF!</v>
      </c>
      <c r="I68" s="267" t="e">
        <f>#REF!</f>
        <v>#REF!</v>
      </c>
      <c r="J68" s="2"/>
      <c r="M68" s="93"/>
      <c r="N68" s="96"/>
      <c r="P68" s="93"/>
      <c r="T68" s="2"/>
      <c r="U68" s="2"/>
    </row>
    <row r="69" spans="1:21" ht="12.75">
      <c r="A69" s="34" t="e">
        <f t="shared" si="2"/>
        <v>#REF!</v>
      </c>
      <c r="B69" s="267" t="e">
        <f>#REF!</f>
        <v>#REF!</v>
      </c>
      <c r="C69" s="304" t="e">
        <f>#REF!</f>
        <v>#REF!</v>
      </c>
      <c r="D69" s="304" t="e">
        <f>#REF!</f>
        <v>#REF!</v>
      </c>
      <c r="E69" s="267" t="e">
        <f>#REF!</f>
        <v>#REF!</v>
      </c>
      <c r="F69" s="267" t="e">
        <f>#REF!</f>
        <v>#REF!</v>
      </c>
      <c r="G69" s="305"/>
      <c r="H69" s="267" t="e">
        <f>#REF!</f>
        <v>#REF!</v>
      </c>
      <c r="I69" s="267" t="e">
        <f>#REF!</f>
        <v>#REF!</v>
      </c>
      <c r="J69" s="2"/>
      <c r="M69" s="93"/>
      <c r="N69" s="96"/>
      <c r="P69" s="93"/>
      <c r="T69" s="2"/>
      <c r="U69" s="2"/>
    </row>
    <row r="70" spans="1:21" ht="12.75">
      <c r="A70" s="34" t="e">
        <f t="shared" si="2"/>
        <v>#REF!</v>
      </c>
      <c r="B70" s="267" t="e">
        <f>#REF!</f>
        <v>#REF!</v>
      </c>
      <c r="C70" s="304" t="e">
        <f>#REF!</f>
        <v>#REF!</v>
      </c>
      <c r="D70" s="304" t="e">
        <f>#REF!</f>
        <v>#REF!</v>
      </c>
      <c r="E70" s="267" t="e">
        <f>#REF!</f>
        <v>#REF!</v>
      </c>
      <c r="F70" s="267" t="e">
        <f>#REF!</f>
        <v>#REF!</v>
      </c>
      <c r="G70" s="305"/>
      <c r="H70" s="267" t="e">
        <f>#REF!</f>
        <v>#REF!</v>
      </c>
      <c r="I70" s="267" t="e">
        <f>#REF!</f>
        <v>#REF!</v>
      </c>
      <c r="J70" s="2"/>
      <c r="M70" s="93"/>
      <c r="N70" s="96"/>
      <c r="P70" s="93"/>
      <c r="T70" s="2"/>
      <c r="U70" s="2"/>
    </row>
    <row r="71" spans="1:21" ht="12.75">
      <c r="A71" s="34" t="e">
        <f t="shared" si="2"/>
        <v>#REF!</v>
      </c>
      <c r="B71" s="267" t="e">
        <f>#REF!</f>
        <v>#REF!</v>
      </c>
      <c r="C71" s="304" t="e">
        <f>#REF!</f>
        <v>#REF!</v>
      </c>
      <c r="D71" s="304" t="e">
        <f>#REF!</f>
        <v>#REF!</v>
      </c>
      <c r="E71" s="267" t="e">
        <f>#REF!</f>
        <v>#REF!</v>
      </c>
      <c r="F71" s="267" t="e">
        <f>#REF!</f>
        <v>#REF!</v>
      </c>
      <c r="G71" s="305"/>
      <c r="H71" s="267" t="e">
        <f>#REF!</f>
        <v>#REF!</v>
      </c>
      <c r="I71" s="267" t="e">
        <f>#REF!</f>
        <v>#REF!</v>
      </c>
      <c r="J71" s="2"/>
      <c r="M71" s="93"/>
      <c r="N71" s="96"/>
      <c r="P71" s="93"/>
      <c r="T71" s="2"/>
      <c r="U71" s="2"/>
    </row>
    <row r="72" spans="1:21" ht="12.75">
      <c r="A72" s="34" t="e">
        <f t="shared" si="2"/>
        <v>#REF!</v>
      </c>
      <c r="B72" s="267" t="e">
        <f>#REF!</f>
        <v>#REF!</v>
      </c>
      <c r="C72" s="304" t="e">
        <f>#REF!</f>
        <v>#REF!</v>
      </c>
      <c r="D72" s="304" t="e">
        <f>#REF!</f>
        <v>#REF!</v>
      </c>
      <c r="E72" s="267" t="e">
        <f>#REF!</f>
        <v>#REF!</v>
      </c>
      <c r="F72" s="267" t="e">
        <f>#REF!</f>
        <v>#REF!</v>
      </c>
      <c r="G72" s="305"/>
      <c r="H72" s="267" t="e">
        <f>#REF!</f>
        <v>#REF!</v>
      </c>
      <c r="I72" s="267" t="e">
        <f>#REF!</f>
        <v>#REF!</v>
      </c>
      <c r="J72" s="2"/>
      <c r="M72" s="93"/>
      <c r="N72" s="96"/>
      <c r="P72" s="93"/>
      <c r="T72" s="2"/>
      <c r="U72" s="2"/>
    </row>
    <row r="73" spans="1:21" ht="12.75">
      <c r="A73" s="54" t="e">
        <f t="shared" si="2"/>
        <v>#REF!</v>
      </c>
      <c r="B73" s="267" t="e">
        <f>#REF!</f>
        <v>#REF!</v>
      </c>
      <c r="C73" s="306" t="e">
        <f>#REF!</f>
        <v>#REF!</v>
      </c>
      <c r="D73" s="306" t="e">
        <f>#REF!</f>
        <v>#REF!</v>
      </c>
      <c r="E73" s="267" t="e">
        <f>#REF!</f>
        <v>#REF!</v>
      </c>
      <c r="F73" s="267" t="e">
        <f>#REF!</f>
        <v>#REF!</v>
      </c>
      <c r="G73" s="305"/>
      <c r="H73" s="267" t="e">
        <f>#REF!</f>
        <v>#REF!</v>
      </c>
      <c r="I73" s="267" t="e">
        <f>#REF!</f>
        <v>#REF!</v>
      </c>
      <c r="J73" s="2"/>
      <c r="M73" s="93"/>
      <c r="N73" s="96"/>
      <c r="P73" s="93"/>
      <c r="T73" s="2"/>
      <c r="U73" s="2"/>
    </row>
    <row r="74" spans="1:21" ht="12.75">
      <c r="A74" s="37" t="e">
        <f t="shared" si="2"/>
        <v>#REF!</v>
      </c>
      <c r="B74" s="307"/>
      <c r="C74" s="308"/>
      <c r="D74" s="308"/>
      <c r="E74" s="307"/>
      <c r="F74" s="307"/>
      <c r="G74" s="292"/>
      <c r="H74" s="292"/>
      <c r="I74" s="292"/>
      <c r="J74" s="2"/>
      <c r="M74" s="93"/>
      <c r="N74" s="96"/>
      <c r="P74" s="93"/>
      <c r="T74" s="2"/>
      <c r="U74" s="2"/>
    </row>
    <row r="75" spans="1:21" ht="12.75">
      <c r="A75" s="81" t="e">
        <f t="shared" si="2"/>
        <v>#REF!</v>
      </c>
      <c r="B75" s="309"/>
      <c r="C75" s="309"/>
      <c r="D75" s="310"/>
      <c r="E75" s="309"/>
      <c r="F75" s="309"/>
      <c r="G75" s="267" t="e">
        <f>#REF!</f>
        <v>#REF!</v>
      </c>
      <c r="H75" s="267" t="e">
        <f>#REF!</f>
        <v>#REF!</v>
      </c>
      <c r="I75" s="267" t="e">
        <f>#REF!</f>
        <v>#REF!</v>
      </c>
      <c r="J75" s="2"/>
      <c r="M75" s="93"/>
      <c r="N75" s="96"/>
      <c r="P75" s="93"/>
      <c r="T75" s="2"/>
      <c r="U75" s="2"/>
    </row>
    <row r="76" spans="1:21" ht="12.75">
      <c r="A76" s="37" t="e">
        <f t="shared" si="2"/>
        <v>#REF!</v>
      </c>
      <c r="B76" s="311"/>
      <c r="C76" s="311"/>
      <c r="D76" s="311"/>
      <c r="E76" s="311"/>
      <c r="F76" s="311"/>
      <c r="G76" s="292" t="e">
        <f>G74-G75</f>
        <v>#REF!</v>
      </c>
      <c r="H76" s="292" t="e">
        <f>H74-H75</f>
        <v>#REF!</v>
      </c>
      <c r="I76" s="292" t="e">
        <f>I74-I75</f>
        <v>#REF!</v>
      </c>
      <c r="J76" s="2"/>
      <c r="M76" s="93"/>
      <c r="N76" s="96"/>
      <c r="P76" s="93"/>
      <c r="T76" s="2"/>
      <c r="U76" s="2"/>
    </row>
    <row r="77" spans="1:11" ht="12.75">
      <c r="A77" s="114" t="e">
        <f>CONCATENATE("* zie ",Uitvoer!#REF!," ",Uitvoer!#REF!," op volgende pagina.")</f>
        <v>#REF!</v>
      </c>
      <c r="B77" s="115"/>
      <c r="C77" s="100"/>
      <c r="D77" s="101"/>
      <c r="E77" s="101"/>
      <c r="F77" s="103"/>
      <c r="G77" s="103"/>
      <c r="H77" s="103"/>
      <c r="I77" s="116"/>
      <c r="J77" s="117"/>
      <c r="K77" s="118"/>
    </row>
    <row r="78" spans="1:11" ht="12.75">
      <c r="A78" s="312"/>
      <c r="B78" s="115"/>
      <c r="C78" s="100"/>
      <c r="D78" s="101"/>
      <c r="E78" s="101"/>
      <c r="F78" s="103"/>
      <c r="G78" s="103"/>
      <c r="H78" s="103"/>
      <c r="I78" s="116"/>
      <c r="J78" s="117"/>
      <c r="K78" s="118"/>
    </row>
    <row r="79" spans="1:11" ht="12.75">
      <c r="A79" s="41" t="s">
        <v>125</v>
      </c>
      <c r="B79" s="45" t="s">
        <v>126</v>
      </c>
      <c r="C79" s="110"/>
      <c r="D79" s="119"/>
      <c r="E79" s="112"/>
      <c r="F79" s="90"/>
      <c r="G79" s="113"/>
      <c r="H79" s="120"/>
      <c r="I79" s="90"/>
      <c r="J79" s="84"/>
      <c r="K79" s="90"/>
    </row>
    <row r="80" spans="1:21" ht="12.75">
      <c r="A80" s="262" t="e">
        <f>A76+1</f>
        <v>#REF!</v>
      </c>
      <c r="B80" s="267" t="e">
        <f>#REF!</f>
        <v>#REF!</v>
      </c>
      <c r="C80" s="304" t="e">
        <f>#REF!</f>
        <v>#REF!</v>
      </c>
      <c r="D80" s="304" t="e">
        <f>#REF!</f>
        <v>#REF!</v>
      </c>
      <c r="E80" s="267" t="e">
        <f>#REF!</f>
        <v>#REF!</v>
      </c>
      <c r="F80" s="267" t="e">
        <f>#REF!</f>
        <v>#REF!</v>
      </c>
      <c r="G80" s="305" t="e">
        <f aca="true" t="shared" si="3" ref="G80:G85">B80+F80</f>
        <v>#REF!</v>
      </c>
      <c r="H80" s="267" t="e">
        <f>#REF!</f>
        <v>#REF!</v>
      </c>
      <c r="I80" s="267" t="e">
        <f>#REF!</f>
        <v>#REF!</v>
      </c>
      <c r="J80" s="2"/>
      <c r="M80" s="93"/>
      <c r="N80" s="96"/>
      <c r="P80" s="93"/>
      <c r="T80" s="2"/>
      <c r="U80" s="2"/>
    </row>
    <row r="81" spans="1:21" ht="12.75">
      <c r="A81" s="34" t="e">
        <f aca="true" t="shared" si="4" ref="A81:A86">A80+1</f>
        <v>#REF!</v>
      </c>
      <c r="B81" s="267" t="e">
        <f>#REF!</f>
        <v>#REF!</v>
      </c>
      <c r="C81" s="304" t="e">
        <f>#REF!</f>
        <v>#REF!</v>
      </c>
      <c r="D81" s="304" t="e">
        <f>#REF!</f>
        <v>#REF!</v>
      </c>
      <c r="E81" s="267" t="e">
        <f>#REF!</f>
        <v>#REF!</v>
      </c>
      <c r="F81" s="267" t="e">
        <f>#REF!</f>
        <v>#REF!</v>
      </c>
      <c r="G81" s="305" t="e">
        <f t="shared" si="3"/>
        <v>#REF!</v>
      </c>
      <c r="H81" s="267" t="e">
        <f>#REF!</f>
        <v>#REF!</v>
      </c>
      <c r="I81" s="267" t="e">
        <f>#REF!</f>
        <v>#REF!</v>
      </c>
      <c r="J81" s="2"/>
      <c r="M81" s="93"/>
      <c r="N81" s="96"/>
      <c r="P81" s="93"/>
      <c r="T81" s="2"/>
      <c r="U81" s="2"/>
    </row>
    <row r="82" spans="1:21" ht="12.75">
      <c r="A82" s="34" t="e">
        <f t="shared" si="4"/>
        <v>#REF!</v>
      </c>
      <c r="B82" s="267" t="e">
        <f>#REF!</f>
        <v>#REF!</v>
      </c>
      <c r="C82" s="304" t="e">
        <f>#REF!</f>
        <v>#REF!</v>
      </c>
      <c r="D82" s="304" t="e">
        <f>#REF!</f>
        <v>#REF!</v>
      </c>
      <c r="E82" s="267" t="e">
        <f>#REF!</f>
        <v>#REF!</v>
      </c>
      <c r="F82" s="267" t="e">
        <f>#REF!</f>
        <v>#REF!</v>
      </c>
      <c r="G82" s="305" t="e">
        <f t="shared" si="3"/>
        <v>#REF!</v>
      </c>
      <c r="H82" s="267" t="e">
        <f>#REF!</f>
        <v>#REF!</v>
      </c>
      <c r="I82" s="267" t="e">
        <f>#REF!</f>
        <v>#REF!</v>
      </c>
      <c r="J82" s="2"/>
      <c r="M82" s="93"/>
      <c r="N82" s="96"/>
      <c r="P82" s="93"/>
      <c r="T82" s="2"/>
      <c r="U82" s="2"/>
    </row>
    <row r="83" spans="1:21" ht="12.75">
      <c r="A83" s="34" t="e">
        <f t="shared" si="4"/>
        <v>#REF!</v>
      </c>
      <c r="B83" s="267" t="e">
        <f>#REF!</f>
        <v>#REF!</v>
      </c>
      <c r="C83" s="304" t="e">
        <f>#REF!</f>
        <v>#REF!</v>
      </c>
      <c r="D83" s="304" t="e">
        <f>#REF!</f>
        <v>#REF!</v>
      </c>
      <c r="E83" s="267" t="e">
        <f>#REF!</f>
        <v>#REF!</v>
      </c>
      <c r="F83" s="267" t="e">
        <f>#REF!</f>
        <v>#REF!</v>
      </c>
      <c r="G83" s="305" t="e">
        <f t="shared" si="3"/>
        <v>#REF!</v>
      </c>
      <c r="H83" s="267" t="e">
        <f>#REF!</f>
        <v>#REF!</v>
      </c>
      <c r="I83" s="267" t="e">
        <f>#REF!</f>
        <v>#REF!</v>
      </c>
      <c r="J83" s="2"/>
      <c r="M83" s="93"/>
      <c r="N83" s="96"/>
      <c r="P83" s="93"/>
      <c r="T83" s="2"/>
      <c r="U83" s="2"/>
    </row>
    <row r="84" spans="1:21" ht="12.75">
      <c r="A84" s="34" t="e">
        <f t="shared" si="4"/>
        <v>#REF!</v>
      </c>
      <c r="B84" s="267" t="e">
        <f>#REF!</f>
        <v>#REF!</v>
      </c>
      <c r="C84" s="304" t="e">
        <f>#REF!</f>
        <v>#REF!</v>
      </c>
      <c r="D84" s="304" t="e">
        <f>#REF!</f>
        <v>#REF!</v>
      </c>
      <c r="E84" s="267" t="e">
        <f>#REF!</f>
        <v>#REF!</v>
      </c>
      <c r="F84" s="267" t="e">
        <f>#REF!</f>
        <v>#REF!</v>
      </c>
      <c r="G84" s="305" t="e">
        <f t="shared" si="3"/>
        <v>#REF!</v>
      </c>
      <c r="H84" s="267" t="e">
        <f>#REF!</f>
        <v>#REF!</v>
      </c>
      <c r="I84" s="267" t="e">
        <f>#REF!</f>
        <v>#REF!</v>
      </c>
      <c r="J84" s="2"/>
      <c r="M84" s="93"/>
      <c r="N84" s="96"/>
      <c r="P84" s="93"/>
      <c r="T84" s="2"/>
      <c r="U84" s="2"/>
    </row>
    <row r="85" spans="1:21" ht="12.75">
      <c r="A85" s="54" t="e">
        <f t="shared" si="4"/>
        <v>#REF!</v>
      </c>
      <c r="B85" s="267" t="e">
        <f>#REF!</f>
        <v>#REF!</v>
      </c>
      <c r="C85" s="306" t="e">
        <f>#REF!</f>
        <v>#REF!</v>
      </c>
      <c r="D85" s="306" t="e">
        <f>#REF!</f>
        <v>#REF!</v>
      </c>
      <c r="E85" s="267" t="e">
        <f>#REF!</f>
        <v>#REF!</v>
      </c>
      <c r="F85" s="267" t="e">
        <f>#REF!</f>
        <v>#REF!</v>
      </c>
      <c r="G85" s="305" t="e">
        <f t="shared" si="3"/>
        <v>#REF!</v>
      </c>
      <c r="H85" s="267" t="e">
        <f>#REF!</f>
        <v>#REF!</v>
      </c>
      <c r="I85" s="267" t="e">
        <f>#REF!</f>
        <v>#REF!</v>
      </c>
      <c r="J85" s="2"/>
      <c r="M85" s="93"/>
      <c r="N85" s="96"/>
      <c r="P85" s="93"/>
      <c r="T85" s="2"/>
      <c r="U85" s="2"/>
    </row>
    <row r="86" spans="1:21" ht="12.75">
      <c r="A86" s="37" t="e">
        <f t="shared" si="4"/>
        <v>#REF!</v>
      </c>
      <c r="B86" s="307"/>
      <c r="C86" s="308"/>
      <c r="D86" s="308"/>
      <c r="E86" s="307"/>
      <c r="F86" s="307"/>
      <c r="G86" s="307"/>
      <c r="H86" s="307"/>
      <c r="I86" s="307"/>
      <c r="J86" s="2"/>
      <c r="M86" s="93"/>
      <c r="N86" s="96"/>
      <c r="P86" s="93"/>
      <c r="T86" s="2"/>
      <c r="U86" s="2"/>
    </row>
    <row r="87" spans="3:10" ht="12.75">
      <c r="C87" s="122"/>
      <c r="D87" s="2"/>
      <c r="G87" s="2"/>
      <c r="H87" s="2"/>
      <c r="J87" s="2"/>
    </row>
    <row r="89" spans="1:21" ht="12.75">
      <c r="A89" s="21"/>
      <c r="B89" s="199"/>
      <c r="C89" s="25" t="s">
        <v>129</v>
      </c>
      <c r="D89" s="25" t="s">
        <v>130</v>
      </c>
      <c r="E89" s="62"/>
      <c r="F89" s="24"/>
      <c r="G89" s="21"/>
      <c r="H89" s="25" t="s">
        <v>123</v>
      </c>
      <c r="J89" s="2"/>
      <c r="M89" s="93"/>
      <c r="N89" s="96"/>
      <c r="P89" s="93"/>
      <c r="T89" s="2"/>
      <c r="U89" s="2"/>
    </row>
    <row r="90" spans="1:21" ht="12.75">
      <c r="A90" s="26"/>
      <c r="B90" s="27"/>
      <c r="C90" s="28"/>
      <c r="D90" s="29"/>
      <c r="E90" s="30"/>
      <c r="F90" s="27"/>
      <c r="G90" s="90"/>
      <c r="H90" s="29"/>
      <c r="J90" s="2"/>
      <c r="M90" s="93"/>
      <c r="N90" s="96"/>
      <c r="P90" s="93"/>
      <c r="T90" s="2"/>
      <c r="U90" s="2"/>
    </row>
    <row r="91" spans="1:21" ht="12.75">
      <c r="A91" s="124" t="s">
        <v>132</v>
      </c>
      <c r="B91" s="45" t="s">
        <v>127</v>
      </c>
      <c r="C91" s="313"/>
      <c r="D91" s="314"/>
      <c r="E91" s="314"/>
      <c r="F91" s="41" t="s">
        <v>337</v>
      </c>
      <c r="G91" s="315" t="s">
        <v>131</v>
      </c>
      <c r="H91" s="314"/>
      <c r="J91" s="2"/>
      <c r="M91" s="93"/>
      <c r="N91" s="96"/>
      <c r="P91" s="93"/>
      <c r="T91" s="2"/>
      <c r="U91" s="2"/>
    </row>
    <row r="92" spans="1:21" ht="12.75">
      <c r="A92" s="125" t="e">
        <f>#REF!</f>
        <v>#REF!</v>
      </c>
      <c r="B92" s="316"/>
      <c r="C92" s="317" t="e">
        <f>#REF!</f>
        <v>#REF!</v>
      </c>
      <c r="D92" s="267" t="e">
        <f>#REF!</f>
        <v>#REF!</v>
      </c>
      <c r="E92" s="318"/>
      <c r="F92" s="133" t="e">
        <f>#REF!</f>
        <v>#REF!</v>
      </c>
      <c r="G92" s="264" t="e">
        <f>#REF!</f>
        <v>#REF!</v>
      </c>
      <c r="H92" s="267" t="e">
        <f>#REF!</f>
        <v>#REF!</v>
      </c>
      <c r="J92" s="2"/>
      <c r="M92" s="93"/>
      <c r="N92" s="96"/>
      <c r="P92" s="93"/>
      <c r="T92" s="2"/>
      <c r="U92" s="2"/>
    </row>
    <row r="93" spans="1:21" ht="12.75">
      <c r="A93" s="126" t="e">
        <f aca="true" t="shared" si="5" ref="A93:A98">A92+1</f>
        <v>#REF!</v>
      </c>
      <c r="B93" s="316"/>
      <c r="C93" s="304" t="e">
        <f>#REF!</f>
        <v>#REF!</v>
      </c>
      <c r="D93" s="319" t="e">
        <f>#REF!</f>
        <v>#REF!</v>
      </c>
      <c r="E93" s="318"/>
      <c r="F93" s="135" t="e">
        <f aca="true" t="shared" si="6" ref="F93:F115">F92+1</f>
        <v>#REF!</v>
      </c>
      <c r="G93" s="264" t="e">
        <f>#REF!</f>
        <v>#REF!</v>
      </c>
      <c r="H93" s="267" t="e">
        <f>#REF!</f>
        <v>#REF!</v>
      </c>
      <c r="J93" s="2"/>
      <c r="M93" s="93"/>
      <c r="N93" s="96"/>
      <c r="P93" s="93"/>
      <c r="T93" s="2"/>
      <c r="U93" s="2"/>
    </row>
    <row r="94" spans="1:21" ht="12.75">
      <c r="A94" s="126" t="e">
        <f t="shared" si="5"/>
        <v>#REF!</v>
      </c>
      <c r="B94" s="316"/>
      <c r="C94" s="267" t="e">
        <f>#REF!</f>
        <v>#REF!</v>
      </c>
      <c r="D94" s="267" t="e">
        <f>#REF!</f>
        <v>#REF!</v>
      </c>
      <c r="E94" s="127"/>
      <c r="F94" s="135" t="e">
        <f t="shared" si="6"/>
        <v>#REF!</v>
      </c>
      <c r="G94" s="264" t="e">
        <f>#REF!</f>
        <v>#REF!</v>
      </c>
      <c r="H94" s="267" t="e">
        <f>#REF!</f>
        <v>#REF!</v>
      </c>
      <c r="J94" s="2"/>
      <c r="M94" s="93"/>
      <c r="N94" s="96"/>
      <c r="P94" s="93"/>
      <c r="T94" s="2"/>
      <c r="U94" s="2"/>
    </row>
    <row r="95" spans="1:21" ht="12.75">
      <c r="A95" s="128" t="e">
        <f t="shared" si="5"/>
        <v>#REF!</v>
      </c>
      <c r="B95" s="320"/>
      <c r="C95" s="321"/>
      <c r="D95" s="319" t="e">
        <f>#REF!</f>
        <v>#REF!</v>
      </c>
      <c r="E95" s="318"/>
      <c r="F95" s="135" t="e">
        <f t="shared" si="6"/>
        <v>#REF!</v>
      </c>
      <c r="G95" s="264" t="e">
        <f>#REF!</f>
        <v>#REF!</v>
      </c>
      <c r="H95" s="267" t="e">
        <f>#REF!</f>
        <v>#REF!</v>
      </c>
      <c r="J95" s="2"/>
      <c r="M95" s="93"/>
      <c r="N95" s="96"/>
      <c r="P95" s="93"/>
      <c r="T95" s="2"/>
      <c r="U95" s="2"/>
    </row>
    <row r="96" spans="1:21" ht="12.75">
      <c r="A96" s="129" t="e">
        <f t="shared" si="5"/>
        <v>#REF!</v>
      </c>
      <c r="B96" s="292"/>
      <c r="C96" s="292"/>
      <c r="D96" s="292"/>
      <c r="E96" s="318"/>
      <c r="F96" s="135" t="e">
        <f t="shared" si="6"/>
        <v>#REF!</v>
      </c>
      <c r="G96" s="264" t="e">
        <f>#REF!</f>
        <v>#REF!</v>
      </c>
      <c r="H96" s="267" t="e">
        <f>#REF!</f>
        <v>#REF!</v>
      </c>
      <c r="J96" s="2"/>
      <c r="M96" s="93"/>
      <c r="N96" s="96"/>
      <c r="P96" s="93"/>
      <c r="T96" s="2"/>
      <c r="U96" s="2"/>
    </row>
    <row r="97" spans="1:21" ht="12.75">
      <c r="A97" s="129" t="e">
        <f t="shared" si="5"/>
        <v>#REF!</v>
      </c>
      <c r="B97" s="320"/>
      <c r="C97" s="305"/>
      <c r="D97" s="322"/>
      <c r="E97" s="318"/>
      <c r="F97" s="135" t="e">
        <f t="shared" si="6"/>
        <v>#REF!</v>
      </c>
      <c r="G97" s="264" t="e">
        <f>#REF!</f>
        <v>#REF!</v>
      </c>
      <c r="H97" s="267" t="e">
        <f>#REF!</f>
        <v>#REF!</v>
      </c>
      <c r="J97" s="2"/>
      <c r="M97" s="93"/>
      <c r="N97" s="96"/>
      <c r="P97" s="93"/>
      <c r="T97" s="2"/>
      <c r="U97" s="2"/>
    </row>
    <row r="98" spans="1:21" ht="12.75">
      <c r="A98" s="129" t="e">
        <f t="shared" si="5"/>
        <v>#REF!</v>
      </c>
      <c r="B98" s="323"/>
      <c r="C98" s="307"/>
      <c r="D98" s="292"/>
      <c r="E98" s="318"/>
      <c r="F98" s="135" t="e">
        <f t="shared" si="6"/>
        <v>#REF!</v>
      </c>
      <c r="G98" s="264" t="e">
        <f>#REF!</f>
        <v>#REF!</v>
      </c>
      <c r="H98" s="267" t="e">
        <f>#REF!</f>
        <v>#REF!</v>
      </c>
      <c r="J98" s="2"/>
      <c r="M98" s="93"/>
      <c r="N98" s="96"/>
      <c r="P98" s="93"/>
      <c r="T98" s="2"/>
      <c r="U98" s="2"/>
    </row>
    <row r="99" spans="1:21" ht="12.75">
      <c r="A99" s="131"/>
      <c r="B99" s="314"/>
      <c r="C99" s="314"/>
      <c r="D99" s="314"/>
      <c r="E99" s="318"/>
      <c r="F99" s="135" t="e">
        <f t="shared" si="6"/>
        <v>#REF!</v>
      </c>
      <c r="G99" s="264" t="e">
        <f>#REF!</f>
        <v>#REF!</v>
      </c>
      <c r="H99" s="267" t="e">
        <f>#REF!</f>
        <v>#REF!</v>
      </c>
      <c r="J99" s="2"/>
      <c r="M99" s="93"/>
      <c r="N99" s="96"/>
      <c r="P99" s="93"/>
      <c r="T99" s="2"/>
      <c r="U99" s="2"/>
    </row>
    <row r="100" spans="1:21" ht="12.75">
      <c r="A100" s="83"/>
      <c r="B100" s="132"/>
      <c r="C100" s="132"/>
      <c r="D100" s="119"/>
      <c r="E100" s="314"/>
      <c r="F100" s="135" t="e">
        <f t="shared" si="6"/>
        <v>#REF!</v>
      </c>
      <c r="G100" s="264" t="e">
        <f>#REF!</f>
        <v>#REF!</v>
      </c>
      <c r="H100" s="267" t="e">
        <f>#REF!</f>
        <v>#REF!</v>
      </c>
      <c r="J100" s="2"/>
      <c r="M100" s="93"/>
      <c r="N100" s="96"/>
      <c r="P100" s="93"/>
      <c r="T100" s="2"/>
      <c r="U100" s="2"/>
    </row>
    <row r="101" spans="1:21" ht="12.75">
      <c r="A101" s="284"/>
      <c r="B101" s="324"/>
      <c r="C101" s="324"/>
      <c r="D101" s="324"/>
      <c r="E101" s="314"/>
      <c r="F101" s="135" t="e">
        <f t="shared" si="6"/>
        <v>#REF!</v>
      </c>
      <c r="G101" s="264" t="e">
        <f>#REF!</f>
        <v>#REF!</v>
      </c>
      <c r="H101" s="267" t="e">
        <f>#REF!</f>
        <v>#REF!</v>
      </c>
      <c r="J101" s="2"/>
      <c r="M101" s="93"/>
      <c r="N101" s="96"/>
      <c r="P101" s="93"/>
      <c r="T101" s="2"/>
      <c r="U101" s="2"/>
    </row>
    <row r="102" spans="1:21" ht="12.75">
      <c r="A102" s="83"/>
      <c r="B102" s="132"/>
      <c r="C102" s="325"/>
      <c r="D102" s="285"/>
      <c r="E102" s="119"/>
      <c r="F102" s="135" t="e">
        <f t="shared" si="6"/>
        <v>#REF!</v>
      </c>
      <c r="G102" s="264" t="e">
        <f>#REF!</f>
        <v>#REF!</v>
      </c>
      <c r="H102" s="267" t="e">
        <f>#REF!</f>
        <v>#REF!</v>
      </c>
      <c r="J102" s="2"/>
      <c r="M102" s="93"/>
      <c r="N102" s="96"/>
      <c r="P102" s="93"/>
      <c r="T102" s="2"/>
      <c r="U102" s="2"/>
    </row>
    <row r="103" spans="1:21" ht="12.75">
      <c r="A103" s="286"/>
      <c r="B103" s="84"/>
      <c r="C103" s="282"/>
      <c r="D103" s="326"/>
      <c r="E103" s="314"/>
      <c r="F103" s="135" t="e">
        <f t="shared" si="6"/>
        <v>#REF!</v>
      </c>
      <c r="G103" s="264" t="e">
        <f>#REF!</f>
        <v>#REF!</v>
      </c>
      <c r="H103" s="267" t="e">
        <f>#REF!</f>
        <v>#REF!</v>
      </c>
      <c r="J103" s="2"/>
      <c r="M103" s="93"/>
      <c r="N103" s="96"/>
      <c r="P103" s="93"/>
      <c r="T103" s="2"/>
      <c r="U103" s="2"/>
    </row>
    <row r="104" spans="1:21" ht="12.75">
      <c r="A104" s="286"/>
      <c r="B104" s="84"/>
      <c r="C104" s="84"/>
      <c r="D104" s="326"/>
      <c r="E104" s="314"/>
      <c r="F104" s="135" t="e">
        <f t="shared" si="6"/>
        <v>#REF!</v>
      </c>
      <c r="G104" s="264" t="e">
        <f>#REF!</f>
        <v>#REF!</v>
      </c>
      <c r="H104" s="267" t="e">
        <f>#REF!</f>
        <v>#REF!</v>
      </c>
      <c r="J104" s="2"/>
      <c r="M104" s="93"/>
      <c r="N104" s="96"/>
      <c r="P104" s="93"/>
      <c r="T104" s="2"/>
      <c r="U104" s="2"/>
    </row>
    <row r="105" spans="1:21" ht="12.75">
      <c r="A105" s="286"/>
      <c r="B105" s="84"/>
      <c r="C105" s="84"/>
      <c r="D105" s="326"/>
      <c r="E105" s="314"/>
      <c r="F105" s="135" t="e">
        <f t="shared" si="6"/>
        <v>#REF!</v>
      </c>
      <c r="G105" s="264" t="e">
        <f>#REF!</f>
        <v>#REF!</v>
      </c>
      <c r="H105" s="267" t="e">
        <f>#REF!</f>
        <v>#REF!</v>
      </c>
      <c r="J105" s="2"/>
      <c r="M105" s="93"/>
      <c r="N105" s="96"/>
      <c r="P105" s="93"/>
      <c r="T105" s="2"/>
      <c r="U105" s="2"/>
    </row>
    <row r="106" spans="1:21" ht="12.75">
      <c r="A106" s="286"/>
      <c r="B106" s="84"/>
      <c r="C106" s="84"/>
      <c r="D106" s="326"/>
      <c r="E106" s="314"/>
      <c r="F106" s="135" t="e">
        <f t="shared" si="6"/>
        <v>#REF!</v>
      </c>
      <c r="G106" s="264" t="e">
        <f>#REF!</f>
        <v>#REF!</v>
      </c>
      <c r="H106" s="267" t="e">
        <f>#REF!</f>
        <v>#REF!</v>
      </c>
      <c r="J106" s="2"/>
      <c r="M106" s="93"/>
      <c r="N106" s="96"/>
      <c r="P106" s="93"/>
      <c r="T106" s="2"/>
      <c r="U106" s="2"/>
    </row>
    <row r="107" spans="1:21" ht="12.75">
      <c r="A107" s="286"/>
      <c r="B107" s="84"/>
      <c r="C107" s="84"/>
      <c r="D107" s="326"/>
      <c r="E107" s="314"/>
      <c r="F107" s="135" t="e">
        <f t="shared" si="6"/>
        <v>#REF!</v>
      </c>
      <c r="G107" s="264" t="e">
        <f>#REF!</f>
        <v>#REF!</v>
      </c>
      <c r="H107" s="267" t="e">
        <f>#REF!</f>
        <v>#REF!</v>
      </c>
      <c r="J107" s="2"/>
      <c r="M107" s="93"/>
      <c r="N107" s="96"/>
      <c r="P107" s="93"/>
      <c r="T107" s="2"/>
      <c r="U107" s="2"/>
    </row>
    <row r="108" spans="1:21" ht="12.75">
      <c r="A108" s="286"/>
      <c r="B108" s="84"/>
      <c r="C108" s="309"/>
      <c r="D108" s="326"/>
      <c r="E108" s="314"/>
      <c r="F108" s="135" t="e">
        <f t="shared" si="6"/>
        <v>#REF!</v>
      </c>
      <c r="G108" s="264" t="e">
        <f>#REF!</f>
        <v>#REF!</v>
      </c>
      <c r="H108" s="267" t="e">
        <f>#REF!</f>
        <v>#REF!</v>
      </c>
      <c r="J108" s="2"/>
      <c r="M108" s="93"/>
      <c r="N108" s="96"/>
      <c r="P108" s="93"/>
      <c r="T108" s="2"/>
      <c r="U108" s="2"/>
    </row>
    <row r="109" spans="1:21" ht="12.75">
      <c r="A109" s="286"/>
      <c r="B109" s="327"/>
      <c r="C109" s="132"/>
      <c r="D109" s="328"/>
      <c r="E109" s="314"/>
      <c r="F109" s="135" t="e">
        <f t="shared" si="6"/>
        <v>#REF!</v>
      </c>
      <c r="G109" s="264" t="e">
        <f>#REF!</f>
        <v>#REF!</v>
      </c>
      <c r="H109" s="267" t="e">
        <f>#REF!</f>
        <v>#REF!</v>
      </c>
      <c r="J109" s="2"/>
      <c r="M109" s="93"/>
      <c r="N109" s="96"/>
      <c r="P109" s="93"/>
      <c r="T109" s="2"/>
      <c r="U109" s="2"/>
    </row>
    <row r="110" spans="1:21" ht="12.75">
      <c r="A110" s="287"/>
      <c r="B110" s="84"/>
      <c r="C110" s="325"/>
      <c r="D110" s="325"/>
      <c r="E110" s="314"/>
      <c r="F110" s="135" t="e">
        <f t="shared" si="6"/>
        <v>#REF!</v>
      </c>
      <c r="G110" s="264" t="e">
        <f>#REF!</f>
        <v>#REF!</v>
      </c>
      <c r="H110" s="267" t="e">
        <f>#REF!</f>
        <v>#REF!</v>
      </c>
      <c r="J110" s="2"/>
      <c r="M110" s="93"/>
      <c r="N110" s="96"/>
      <c r="P110" s="93"/>
      <c r="T110" s="2"/>
      <c r="U110" s="2"/>
    </row>
    <row r="111" spans="1:21" ht="12.75">
      <c r="A111" s="99"/>
      <c r="B111" s="84"/>
      <c r="C111" s="282"/>
      <c r="D111" s="326"/>
      <c r="E111" s="314"/>
      <c r="F111" s="135" t="e">
        <f t="shared" si="6"/>
        <v>#REF!</v>
      </c>
      <c r="G111" s="264" t="e">
        <f>#REF!</f>
        <v>#REF!</v>
      </c>
      <c r="H111" s="267" t="e">
        <f>#REF!</f>
        <v>#REF!</v>
      </c>
      <c r="J111" s="2"/>
      <c r="M111" s="93"/>
      <c r="N111" s="96"/>
      <c r="P111" s="93"/>
      <c r="T111" s="2"/>
      <c r="U111" s="2"/>
    </row>
    <row r="112" spans="1:21" ht="12.75">
      <c r="A112" s="286"/>
      <c r="B112" s="84"/>
      <c r="C112" s="84"/>
      <c r="D112" s="326"/>
      <c r="E112" s="314"/>
      <c r="F112" s="135" t="e">
        <f t="shared" si="6"/>
        <v>#REF!</v>
      </c>
      <c r="G112" s="264" t="e">
        <f>#REF!</f>
        <v>#REF!</v>
      </c>
      <c r="H112" s="267" t="e">
        <f>#REF!</f>
        <v>#REF!</v>
      </c>
      <c r="J112" s="2"/>
      <c r="M112" s="93"/>
      <c r="N112" s="96"/>
      <c r="P112" s="93"/>
      <c r="T112" s="2"/>
      <c r="U112" s="2"/>
    </row>
    <row r="113" spans="1:21" ht="12.75">
      <c r="A113" s="286"/>
      <c r="B113" s="327"/>
      <c r="C113" s="132"/>
      <c r="D113" s="328"/>
      <c r="E113" s="314"/>
      <c r="F113" s="130" t="e">
        <f t="shared" si="6"/>
        <v>#REF!</v>
      </c>
      <c r="G113" s="323"/>
      <c r="H113" s="292"/>
      <c r="J113" s="2"/>
      <c r="M113" s="93"/>
      <c r="N113" s="96"/>
      <c r="P113" s="93"/>
      <c r="T113" s="2"/>
      <c r="U113" s="2"/>
    </row>
    <row r="114" spans="1:21" ht="12.75">
      <c r="A114" s="84"/>
      <c r="B114" s="84"/>
      <c r="C114" s="325"/>
      <c r="D114" s="325"/>
      <c r="E114" s="42"/>
      <c r="F114" s="135" t="e">
        <f t="shared" si="6"/>
        <v>#REF!</v>
      </c>
      <c r="G114" s="226"/>
      <c r="H114" s="270" t="e">
        <f>#REF!</f>
        <v>#REF!</v>
      </c>
      <c r="J114" s="2"/>
      <c r="M114" s="93"/>
      <c r="N114" s="96"/>
      <c r="P114" s="93"/>
      <c r="T114" s="2"/>
      <c r="U114" s="2"/>
    </row>
    <row r="115" spans="1:21" ht="12.75">
      <c r="A115" s="286"/>
      <c r="B115" s="225"/>
      <c r="C115" s="132"/>
      <c r="D115" s="328"/>
      <c r="E115" s="42"/>
      <c r="F115" s="130" t="e">
        <f t="shared" si="6"/>
        <v>#REF!</v>
      </c>
      <c r="G115" s="323"/>
      <c r="H115" s="329"/>
      <c r="J115" s="2"/>
      <c r="M115" s="93"/>
      <c r="N115" s="96"/>
      <c r="P115" s="93"/>
      <c r="T115" s="2"/>
      <c r="U115" s="2"/>
    </row>
    <row r="116" spans="1:21" ht="12.75">
      <c r="A116" s="286"/>
      <c r="B116" s="330"/>
      <c r="C116" s="84"/>
      <c r="D116" s="326"/>
      <c r="E116" s="42"/>
      <c r="F116" s="318"/>
      <c r="G116" s="318"/>
      <c r="H116" s="318"/>
      <c r="J116" s="2"/>
      <c r="M116" s="93"/>
      <c r="N116" s="96"/>
      <c r="P116" s="93"/>
      <c r="T116" s="2"/>
      <c r="U116" s="2"/>
    </row>
    <row r="117" spans="1:21" ht="12.75">
      <c r="A117" s="287"/>
      <c r="B117" s="84"/>
      <c r="C117" s="325"/>
      <c r="D117" s="325"/>
      <c r="E117" s="42"/>
      <c r="F117" s="41" t="s">
        <v>137</v>
      </c>
      <c r="G117" s="315" t="s">
        <v>138</v>
      </c>
      <c r="H117" s="314"/>
      <c r="J117" s="2"/>
      <c r="M117" s="93"/>
      <c r="N117" s="96"/>
      <c r="P117" s="93"/>
      <c r="T117" s="2"/>
      <c r="U117" s="2"/>
    </row>
    <row r="118" spans="1:21" ht="12.75">
      <c r="A118" s="286"/>
      <c r="B118" s="84"/>
      <c r="C118" s="282"/>
      <c r="D118" s="326"/>
      <c r="E118" s="42"/>
      <c r="F118" s="133" t="e">
        <f>F115+1</f>
        <v>#REF!</v>
      </c>
      <c r="G118" s="264" t="e">
        <f>#REF!</f>
        <v>#REF!</v>
      </c>
      <c r="H118" s="267" t="e">
        <f>#REF!</f>
        <v>#REF!</v>
      </c>
      <c r="J118" s="2"/>
      <c r="M118" s="93"/>
      <c r="N118" s="96"/>
      <c r="P118" s="93"/>
      <c r="T118" s="2"/>
      <c r="U118" s="2"/>
    </row>
    <row r="119" spans="1:21" ht="12.75">
      <c r="A119" s="286"/>
      <c r="B119" s="84"/>
      <c r="C119" s="84"/>
      <c r="D119" s="326"/>
      <c r="E119" s="42"/>
      <c r="F119" s="133" t="e">
        <f>F118+1</f>
        <v>#REF!</v>
      </c>
      <c r="G119" s="264" t="e">
        <f>#REF!</f>
        <v>#REF!</v>
      </c>
      <c r="H119" s="267" t="e">
        <f>#REF!</f>
        <v>#REF!</v>
      </c>
      <c r="J119" s="2"/>
      <c r="M119" s="93"/>
      <c r="N119" s="96"/>
      <c r="P119" s="93"/>
      <c r="T119" s="2"/>
      <c r="U119" s="2"/>
    </row>
    <row r="120" spans="1:21" ht="12.75">
      <c r="A120" s="286"/>
      <c r="B120" s="327"/>
      <c r="C120" s="132"/>
      <c r="D120" s="328"/>
      <c r="E120" s="42"/>
      <c r="F120" s="133" t="e">
        <f>F119+1</f>
        <v>#REF!</v>
      </c>
      <c r="G120" s="264" t="e">
        <f>#REF!</f>
        <v>#REF!</v>
      </c>
      <c r="H120" s="267" t="e">
        <f>#REF!</f>
        <v>#REF!</v>
      </c>
      <c r="J120" s="2"/>
      <c r="M120" s="93"/>
      <c r="N120" s="96"/>
      <c r="P120" s="93"/>
      <c r="T120" s="2"/>
      <c r="U120" s="2"/>
    </row>
    <row r="121" spans="1:21" ht="12.75">
      <c r="A121" s="286"/>
      <c r="B121" s="330"/>
      <c r="C121" s="84"/>
      <c r="D121" s="331"/>
      <c r="E121" s="42"/>
      <c r="F121" s="133" t="e">
        <f>F120+1</f>
        <v>#REF!</v>
      </c>
      <c r="G121" s="264" t="e">
        <f>#REF!</f>
        <v>#REF!</v>
      </c>
      <c r="H121" s="267" t="e">
        <f>#REF!</f>
        <v>#REF!</v>
      </c>
      <c r="J121" s="2"/>
      <c r="M121" s="93"/>
      <c r="N121" s="96"/>
      <c r="P121" s="93"/>
      <c r="T121" s="2"/>
      <c r="U121" s="2"/>
    </row>
    <row r="122" spans="1:21" ht="12.75">
      <c r="A122" s="286"/>
      <c r="B122" s="84"/>
      <c r="C122" s="283"/>
      <c r="D122" s="331"/>
      <c r="E122" s="42"/>
      <c r="F122" s="135" t="e">
        <f>F121+1</f>
        <v>#REF!</v>
      </c>
      <c r="G122" s="264" t="e">
        <f>#REF!</f>
        <v>#REF!</v>
      </c>
      <c r="H122" s="267" t="e">
        <f>#REF!</f>
        <v>#REF!</v>
      </c>
      <c r="J122" s="2"/>
      <c r="M122" s="93"/>
      <c r="N122" s="96"/>
      <c r="P122" s="93"/>
      <c r="T122" s="2"/>
      <c r="U122" s="2"/>
    </row>
    <row r="123" spans="1:21" ht="12.75">
      <c r="A123" s="286"/>
      <c r="B123" s="327"/>
      <c r="C123" s="132"/>
      <c r="D123" s="328"/>
      <c r="E123" s="42"/>
      <c r="F123" s="130" t="e">
        <f>F122+1</f>
        <v>#REF!</v>
      </c>
      <c r="G123" s="323"/>
      <c r="H123" s="292"/>
      <c r="J123" s="2"/>
      <c r="M123" s="93"/>
      <c r="N123" s="96"/>
      <c r="P123" s="93"/>
      <c r="T123" s="2"/>
      <c r="U123" s="2"/>
    </row>
    <row r="124" spans="1:10" ht="12.75">
      <c r="A124" s="41"/>
      <c r="B124" s="42"/>
      <c r="C124" s="43"/>
      <c r="D124" s="42"/>
      <c r="E124" s="42"/>
      <c r="F124" s="45"/>
      <c r="G124" s="41"/>
      <c r="H124" s="42"/>
      <c r="I124" s="42"/>
      <c r="J124" s="42"/>
    </row>
    <row r="125" spans="1:21" ht="12.75">
      <c r="A125" s="21"/>
      <c r="B125" s="105" t="s">
        <v>146</v>
      </c>
      <c r="D125" s="2"/>
      <c r="G125" s="93"/>
      <c r="H125" s="96"/>
      <c r="I125" s="93"/>
      <c r="J125" s="93"/>
      <c r="K125" s="93"/>
      <c r="L125" s="93"/>
      <c r="M125" s="93"/>
      <c r="O125" s="2"/>
      <c r="P125" s="2"/>
      <c r="Q125" s="2"/>
      <c r="R125" s="2"/>
      <c r="S125" s="2"/>
      <c r="T125" s="2"/>
      <c r="U125" s="2"/>
    </row>
    <row r="126" spans="1:21" ht="12.75">
      <c r="A126" s="21"/>
      <c r="B126" s="106" t="e">
        <f>#REF!</f>
        <v>#REF!</v>
      </c>
      <c r="D126" s="2"/>
      <c r="G126" s="93"/>
      <c r="H126" s="96"/>
      <c r="I126" s="93"/>
      <c r="J126" s="93"/>
      <c r="K126" s="93"/>
      <c r="L126" s="93"/>
      <c r="M126" s="93"/>
      <c r="O126" s="2"/>
      <c r="P126" s="2"/>
      <c r="Q126" s="2"/>
      <c r="R126" s="2"/>
      <c r="S126" s="2"/>
      <c r="T126" s="2"/>
      <c r="U126" s="2"/>
    </row>
    <row r="127" spans="1:21" ht="12.75">
      <c r="A127" s="26"/>
      <c r="B127" s="29"/>
      <c r="D127" s="2"/>
      <c r="G127" s="93"/>
      <c r="H127" s="96"/>
      <c r="I127" s="93"/>
      <c r="J127" s="93"/>
      <c r="K127" s="93"/>
      <c r="L127" s="93"/>
      <c r="M127" s="93"/>
      <c r="O127" s="2"/>
      <c r="P127" s="2"/>
      <c r="Q127" s="2"/>
      <c r="R127" s="2"/>
      <c r="S127" s="2"/>
      <c r="T127" s="2"/>
      <c r="U127" s="2"/>
    </row>
    <row r="128" spans="1:21" ht="12.75">
      <c r="A128" s="159" t="s">
        <v>338</v>
      </c>
      <c r="B128" s="95"/>
      <c r="D128" s="2"/>
      <c r="G128" s="93"/>
      <c r="H128" s="96"/>
      <c r="I128" s="93"/>
      <c r="J128" s="93"/>
      <c r="K128" s="93"/>
      <c r="L128" s="93"/>
      <c r="M128" s="93"/>
      <c r="O128" s="2"/>
      <c r="P128" s="2"/>
      <c r="Q128" s="2"/>
      <c r="R128" s="2"/>
      <c r="S128" s="2"/>
      <c r="T128" s="2"/>
      <c r="U128" s="2"/>
    </row>
    <row r="129" spans="1:21" ht="12.75">
      <c r="A129" s="31">
        <f>Instandhouding!A8</f>
        <v>1301</v>
      </c>
      <c r="B129" s="332" t="e">
        <f>Instandhouding!#REF!</f>
        <v>#REF!</v>
      </c>
      <c r="D129" s="2"/>
      <c r="G129" s="93"/>
      <c r="H129" s="96"/>
      <c r="I129" s="93"/>
      <c r="J129" s="93"/>
      <c r="K129" s="93"/>
      <c r="L129" s="93"/>
      <c r="M129" s="93"/>
      <c r="O129" s="2"/>
      <c r="P129" s="2"/>
      <c r="Q129" s="2"/>
      <c r="R129" s="2"/>
      <c r="S129" s="2"/>
      <c r="T129" s="2"/>
      <c r="U129" s="2"/>
    </row>
    <row r="130" spans="1:21" ht="12.75">
      <c r="A130" s="34">
        <f aca="true" t="shared" si="7" ref="A130:A149">A129+1</f>
        <v>1302</v>
      </c>
      <c r="B130" s="332" t="e">
        <f>Instandhouding!#REF!</f>
        <v>#REF!</v>
      </c>
      <c r="D130" s="2"/>
      <c r="G130" s="93"/>
      <c r="H130" s="96"/>
      <c r="I130" s="93"/>
      <c r="J130" s="93"/>
      <c r="K130" s="93"/>
      <c r="L130" s="93"/>
      <c r="M130" s="93"/>
      <c r="O130" s="2"/>
      <c r="P130" s="2"/>
      <c r="Q130" s="2"/>
      <c r="R130" s="2"/>
      <c r="S130" s="2"/>
      <c r="T130" s="2"/>
      <c r="U130" s="2"/>
    </row>
    <row r="131" spans="1:21" ht="12.75">
      <c r="A131" s="34">
        <f t="shared" si="7"/>
        <v>1303</v>
      </c>
      <c r="B131" s="332" t="e">
        <f>Instandhouding!#REF!</f>
        <v>#REF!</v>
      </c>
      <c r="D131" s="2"/>
      <c r="G131" s="93"/>
      <c r="H131" s="96"/>
      <c r="I131" s="93"/>
      <c r="J131" s="93"/>
      <c r="K131" s="93"/>
      <c r="L131" s="93"/>
      <c r="M131" s="93"/>
      <c r="O131" s="2"/>
      <c r="P131" s="2"/>
      <c r="Q131" s="2"/>
      <c r="R131" s="2"/>
      <c r="S131" s="2"/>
      <c r="T131" s="2"/>
      <c r="U131" s="2"/>
    </row>
    <row r="132" spans="1:21" ht="12.75">
      <c r="A132" s="34">
        <f t="shared" si="7"/>
        <v>1304</v>
      </c>
      <c r="B132" s="332" t="e">
        <f>Instandhouding!#REF!</f>
        <v>#REF!</v>
      </c>
      <c r="D132" s="2"/>
      <c r="G132" s="93"/>
      <c r="H132" s="96"/>
      <c r="I132" s="93"/>
      <c r="J132" s="93"/>
      <c r="K132" s="93"/>
      <c r="L132" s="93"/>
      <c r="M132" s="93"/>
      <c r="O132" s="2"/>
      <c r="P132" s="2"/>
      <c r="Q132" s="2"/>
      <c r="R132" s="2"/>
      <c r="S132" s="2"/>
      <c r="T132" s="2"/>
      <c r="U132" s="2"/>
    </row>
    <row r="133" spans="1:21" ht="12.75">
      <c r="A133" s="34">
        <f t="shared" si="7"/>
        <v>1305</v>
      </c>
      <c r="B133" s="332" t="e">
        <f>Instandhouding!#REF!</f>
        <v>#REF!</v>
      </c>
      <c r="D133" s="2"/>
      <c r="G133" s="93"/>
      <c r="H133" s="96"/>
      <c r="I133" s="93"/>
      <c r="J133" s="93"/>
      <c r="K133" s="93"/>
      <c r="L133" s="93"/>
      <c r="M133" s="93"/>
      <c r="O133" s="2"/>
      <c r="P133" s="2"/>
      <c r="Q133" s="2"/>
      <c r="R133" s="2"/>
      <c r="S133" s="2"/>
      <c r="T133" s="2"/>
      <c r="U133" s="2"/>
    </row>
    <row r="134" spans="1:21" ht="12.75">
      <c r="A134" s="34">
        <f t="shared" si="7"/>
        <v>1306</v>
      </c>
      <c r="B134" s="332" t="e">
        <f>Instandhouding!#REF!</f>
        <v>#REF!</v>
      </c>
      <c r="D134" s="2"/>
      <c r="G134" s="93"/>
      <c r="H134" s="96"/>
      <c r="I134" s="93"/>
      <c r="J134" s="93"/>
      <c r="K134" s="93"/>
      <c r="L134" s="93"/>
      <c r="M134" s="93"/>
      <c r="O134" s="2"/>
      <c r="P134" s="2"/>
      <c r="Q134" s="2"/>
      <c r="R134" s="2"/>
      <c r="S134" s="2"/>
      <c r="T134" s="2"/>
      <c r="U134" s="2"/>
    </row>
    <row r="135" spans="1:21" ht="12.75">
      <c r="A135" s="34">
        <f t="shared" si="7"/>
        <v>1307</v>
      </c>
      <c r="B135" s="332" t="e">
        <f>Instandhouding!#REF!</f>
        <v>#REF!</v>
      </c>
      <c r="D135" s="2"/>
      <c r="G135" s="93"/>
      <c r="H135" s="96"/>
      <c r="I135" s="93"/>
      <c r="J135" s="93"/>
      <c r="K135" s="93"/>
      <c r="L135" s="93"/>
      <c r="M135" s="93"/>
      <c r="O135" s="2"/>
      <c r="P135" s="2"/>
      <c r="Q135" s="2"/>
      <c r="R135" s="2"/>
      <c r="S135" s="2"/>
      <c r="T135" s="2"/>
      <c r="U135" s="2"/>
    </row>
    <row r="136" spans="1:21" ht="12.75">
      <c r="A136" s="34">
        <f t="shared" si="7"/>
        <v>1308</v>
      </c>
      <c r="B136" s="332" t="e">
        <f>Instandhouding!#REF!</f>
        <v>#REF!</v>
      </c>
      <c r="D136" s="2"/>
      <c r="G136" s="93"/>
      <c r="H136" s="96"/>
      <c r="I136" s="93"/>
      <c r="J136" s="93"/>
      <c r="K136" s="93"/>
      <c r="L136" s="93"/>
      <c r="M136" s="93"/>
      <c r="O136" s="2"/>
      <c r="P136" s="2"/>
      <c r="Q136" s="2"/>
      <c r="R136" s="2"/>
      <c r="S136" s="2"/>
      <c r="T136" s="2"/>
      <c r="U136" s="2"/>
    </row>
    <row r="137" spans="1:21" ht="12.75">
      <c r="A137" s="34">
        <f t="shared" si="7"/>
        <v>1309</v>
      </c>
      <c r="B137" s="332" t="e">
        <f>Instandhouding!#REF!</f>
        <v>#REF!</v>
      </c>
      <c r="D137" s="2"/>
      <c r="G137" s="93"/>
      <c r="H137" s="96"/>
      <c r="I137" s="93"/>
      <c r="J137" s="93"/>
      <c r="K137" s="93"/>
      <c r="L137" s="93"/>
      <c r="M137" s="93"/>
      <c r="O137" s="2"/>
      <c r="P137" s="2"/>
      <c r="Q137" s="2"/>
      <c r="R137" s="2"/>
      <c r="S137" s="2"/>
      <c r="T137" s="2"/>
      <c r="U137" s="2"/>
    </row>
    <row r="138" spans="1:21" ht="12.75">
      <c r="A138" s="34">
        <f t="shared" si="7"/>
        <v>1310</v>
      </c>
      <c r="B138" s="332" t="e">
        <f>Instandhouding!#REF!</f>
        <v>#REF!</v>
      </c>
      <c r="D138" s="2"/>
      <c r="G138" s="93"/>
      <c r="H138" s="96"/>
      <c r="I138" s="93"/>
      <c r="J138" s="93"/>
      <c r="K138" s="93"/>
      <c r="L138" s="93"/>
      <c r="M138" s="93"/>
      <c r="O138" s="2"/>
      <c r="P138" s="2"/>
      <c r="Q138" s="2"/>
      <c r="R138" s="2"/>
      <c r="S138" s="2"/>
      <c r="T138" s="2"/>
      <c r="U138" s="2"/>
    </row>
    <row r="139" spans="1:21" ht="12.75">
      <c r="A139" s="34">
        <f t="shared" si="7"/>
        <v>1311</v>
      </c>
      <c r="B139" s="332" t="e">
        <f>Instandhouding!#REF!</f>
        <v>#REF!</v>
      </c>
      <c r="D139" s="2"/>
      <c r="G139" s="93"/>
      <c r="H139" s="96"/>
      <c r="I139" s="93"/>
      <c r="J139" s="93"/>
      <c r="K139" s="93"/>
      <c r="L139" s="93"/>
      <c r="M139" s="93"/>
      <c r="O139" s="2"/>
      <c r="P139" s="2"/>
      <c r="Q139" s="2"/>
      <c r="R139" s="2"/>
      <c r="S139" s="2"/>
      <c r="T139" s="2"/>
      <c r="U139" s="2"/>
    </row>
    <row r="140" spans="1:21" ht="12.75">
      <c r="A140" s="34">
        <f t="shared" si="7"/>
        <v>1312</v>
      </c>
      <c r="B140" s="332" t="e">
        <f>Instandhouding!#REF!</f>
        <v>#REF!</v>
      </c>
      <c r="D140" s="2"/>
      <c r="G140" s="93"/>
      <c r="H140" s="96"/>
      <c r="I140" s="93"/>
      <c r="J140" s="93"/>
      <c r="K140" s="93"/>
      <c r="L140" s="93"/>
      <c r="M140" s="93"/>
      <c r="O140" s="2"/>
      <c r="P140" s="2"/>
      <c r="Q140" s="2"/>
      <c r="R140" s="2"/>
      <c r="S140" s="2"/>
      <c r="T140" s="2"/>
      <c r="U140" s="2"/>
    </row>
    <row r="141" spans="1:21" ht="12.75">
      <c r="A141" s="34">
        <f t="shared" si="7"/>
        <v>1313</v>
      </c>
      <c r="B141" s="332" t="e">
        <f>Instandhouding!#REF!</f>
        <v>#REF!</v>
      </c>
      <c r="D141" s="2"/>
      <c r="G141" s="93"/>
      <c r="H141" s="96"/>
      <c r="I141" s="93"/>
      <c r="J141" s="93"/>
      <c r="K141" s="93"/>
      <c r="L141" s="93"/>
      <c r="M141" s="93"/>
      <c r="O141" s="2"/>
      <c r="P141" s="2"/>
      <c r="Q141" s="2"/>
      <c r="R141" s="2"/>
      <c r="S141" s="2"/>
      <c r="T141" s="2"/>
      <c r="U141" s="2"/>
    </row>
    <row r="142" spans="1:21" ht="12.75">
      <c r="A142" s="34">
        <f t="shared" si="7"/>
        <v>1314</v>
      </c>
      <c r="B142" s="332" t="e">
        <f>Instandhouding!#REF!</f>
        <v>#REF!</v>
      </c>
      <c r="D142" s="2"/>
      <c r="G142" s="93"/>
      <c r="H142" s="96"/>
      <c r="I142" s="93"/>
      <c r="J142" s="93"/>
      <c r="K142" s="93"/>
      <c r="L142" s="93"/>
      <c r="M142" s="93"/>
      <c r="O142" s="2"/>
      <c r="P142" s="2"/>
      <c r="Q142" s="2"/>
      <c r="R142" s="2"/>
      <c r="S142" s="2"/>
      <c r="T142" s="2"/>
      <c r="U142" s="2"/>
    </row>
    <row r="143" spans="1:21" ht="12.75">
      <c r="A143" s="34">
        <f t="shared" si="7"/>
        <v>1315</v>
      </c>
      <c r="B143" s="332" t="e">
        <f>Instandhouding!#REF!</f>
        <v>#REF!</v>
      </c>
      <c r="D143" s="2"/>
      <c r="G143" s="93"/>
      <c r="H143" s="96"/>
      <c r="I143" s="93"/>
      <c r="J143" s="93"/>
      <c r="K143" s="93"/>
      <c r="L143" s="93"/>
      <c r="M143" s="93"/>
      <c r="O143" s="2"/>
      <c r="P143" s="2"/>
      <c r="Q143" s="2"/>
      <c r="R143" s="2"/>
      <c r="S143" s="2"/>
      <c r="T143" s="2"/>
      <c r="U143" s="2"/>
    </row>
    <row r="144" spans="1:21" ht="12.75">
      <c r="A144" s="34">
        <f t="shared" si="7"/>
        <v>1316</v>
      </c>
      <c r="B144" s="332" t="e">
        <f>Instandhouding!#REF!</f>
        <v>#REF!</v>
      </c>
      <c r="D144" s="2"/>
      <c r="G144" s="93"/>
      <c r="H144" s="96"/>
      <c r="I144" s="93"/>
      <c r="J144" s="93"/>
      <c r="K144" s="93"/>
      <c r="L144" s="93"/>
      <c r="M144" s="93"/>
      <c r="O144" s="2"/>
      <c r="P144" s="2"/>
      <c r="Q144" s="2"/>
      <c r="R144" s="2"/>
      <c r="S144" s="2"/>
      <c r="T144" s="2"/>
      <c r="U144" s="2"/>
    </row>
    <row r="145" spans="1:21" ht="12.75">
      <c r="A145" s="34">
        <f t="shared" si="7"/>
        <v>1317</v>
      </c>
      <c r="B145" s="332" t="e">
        <f>Instandhouding!#REF!</f>
        <v>#REF!</v>
      </c>
      <c r="D145" s="2"/>
      <c r="G145" s="93"/>
      <c r="H145" s="96"/>
      <c r="I145" s="93"/>
      <c r="J145" s="93"/>
      <c r="K145" s="93"/>
      <c r="L145" s="93"/>
      <c r="M145" s="93"/>
      <c r="O145" s="2"/>
      <c r="P145" s="2"/>
      <c r="Q145" s="2"/>
      <c r="R145" s="2"/>
      <c r="S145" s="2"/>
      <c r="T145" s="2"/>
      <c r="U145" s="2"/>
    </row>
    <row r="146" spans="1:21" ht="12.75">
      <c r="A146" s="34">
        <f t="shared" si="7"/>
        <v>1318</v>
      </c>
      <c r="B146" s="332" t="e">
        <f>Instandhouding!#REF!</f>
        <v>#REF!</v>
      </c>
      <c r="D146" s="2"/>
      <c r="G146" s="93"/>
      <c r="H146" s="96"/>
      <c r="I146" s="93"/>
      <c r="J146" s="93"/>
      <c r="K146" s="93"/>
      <c r="L146" s="93"/>
      <c r="M146" s="93"/>
      <c r="O146" s="2"/>
      <c r="P146" s="2"/>
      <c r="Q146" s="2"/>
      <c r="R146" s="2"/>
      <c r="S146" s="2"/>
      <c r="T146" s="2"/>
      <c r="U146" s="2"/>
    </row>
    <row r="147" spans="1:21" ht="12.75">
      <c r="A147" s="34">
        <f t="shared" si="7"/>
        <v>1319</v>
      </c>
      <c r="B147" s="332" t="e">
        <f>Instandhouding!#REF!</f>
        <v>#REF!</v>
      </c>
      <c r="D147" s="2"/>
      <c r="G147" s="93"/>
      <c r="H147" s="96"/>
      <c r="I147" s="93"/>
      <c r="J147" s="93"/>
      <c r="K147" s="93"/>
      <c r="L147" s="93"/>
      <c r="M147" s="93"/>
      <c r="O147" s="2"/>
      <c r="P147" s="2"/>
      <c r="Q147" s="2"/>
      <c r="R147" s="2"/>
      <c r="S147" s="2"/>
      <c r="T147" s="2"/>
      <c r="U147" s="2"/>
    </row>
    <row r="148" spans="1:21" ht="12.75">
      <c r="A148" s="54">
        <f t="shared" si="7"/>
        <v>1320</v>
      </c>
      <c r="B148" s="332" t="e">
        <f>Instandhouding!#REF!</f>
        <v>#REF!</v>
      </c>
      <c r="D148" s="2"/>
      <c r="G148" s="93"/>
      <c r="H148" s="96"/>
      <c r="I148" s="93"/>
      <c r="J148" s="93"/>
      <c r="K148" s="93"/>
      <c r="L148" s="93"/>
      <c r="M148" s="93"/>
      <c r="O148" s="2"/>
      <c r="P148" s="2"/>
      <c r="Q148" s="2"/>
      <c r="R148" s="2"/>
      <c r="S148" s="2"/>
      <c r="T148" s="2"/>
      <c r="U148" s="2"/>
    </row>
    <row r="149" spans="1:21" ht="12.75">
      <c r="A149" s="37">
        <f t="shared" si="7"/>
        <v>1321</v>
      </c>
      <c r="B149" s="292"/>
      <c r="D149" s="2"/>
      <c r="G149" s="93"/>
      <c r="H149" s="96"/>
      <c r="I149" s="93"/>
      <c r="J149" s="93"/>
      <c r="K149" s="93"/>
      <c r="L149" s="93"/>
      <c r="M149" s="93"/>
      <c r="O149" s="2"/>
      <c r="P149" s="2"/>
      <c r="Q149" s="2"/>
      <c r="R149" s="2"/>
      <c r="S149" s="2"/>
      <c r="T149" s="2"/>
      <c r="U149" s="2"/>
    </row>
    <row r="150" spans="1:10" ht="12.75">
      <c r="A150" s="41"/>
      <c r="B150" s="42"/>
      <c r="C150" s="42"/>
      <c r="D150" s="42"/>
      <c r="E150" s="42"/>
      <c r="F150" s="42"/>
      <c r="G150" s="42"/>
      <c r="H150" s="42"/>
      <c r="I150" s="42"/>
      <c r="J150" s="42"/>
    </row>
    <row r="151" spans="1:10" ht="12.75">
      <c r="A151" s="14" t="s">
        <v>323</v>
      </c>
      <c r="B151" s="15"/>
      <c r="C151" s="137"/>
      <c r="D151" s="15"/>
      <c r="E151" s="5"/>
      <c r="F151" s="138"/>
      <c r="G151" s="15"/>
      <c r="H151" s="15"/>
      <c r="J151" s="2"/>
    </row>
    <row r="152" spans="2:8" ht="12.75">
      <c r="B152" s="15"/>
      <c r="C152" s="15"/>
      <c r="D152" s="15"/>
      <c r="E152" s="139"/>
      <c r="F152" s="140"/>
      <c r="G152" s="139"/>
      <c r="H152" s="139"/>
    </row>
    <row r="153" spans="1:8" ht="12.75">
      <c r="A153" s="200"/>
      <c r="B153" s="201"/>
      <c r="C153" s="202" t="s">
        <v>135</v>
      </c>
      <c r="D153" s="276" t="s">
        <v>69</v>
      </c>
      <c r="E153" s="277"/>
      <c r="F153" s="198" t="s">
        <v>139</v>
      </c>
      <c r="G153" s="203"/>
      <c r="H153" s="200"/>
    </row>
    <row r="154" spans="1:8" ht="12.75">
      <c r="A154" s="201"/>
      <c r="B154" s="204"/>
      <c r="C154" s="205" t="s">
        <v>136</v>
      </c>
      <c r="D154" s="206" t="s">
        <v>61</v>
      </c>
      <c r="E154" s="108" t="s">
        <v>92</v>
      </c>
      <c r="F154" s="109"/>
      <c r="G154" s="203"/>
      <c r="H154" s="203"/>
    </row>
    <row r="155" spans="1:8" ht="12.75">
      <c r="A155" s="64"/>
      <c r="B155" s="65"/>
      <c r="C155" s="66"/>
      <c r="D155" s="162" t="s">
        <v>83</v>
      </c>
      <c r="E155" s="67"/>
      <c r="F155" s="65"/>
      <c r="G155" s="64"/>
      <c r="H155" s="68"/>
    </row>
    <row r="156" spans="1:8" ht="12.75">
      <c r="A156" s="47" t="s">
        <v>348</v>
      </c>
      <c r="B156" s="14" t="s">
        <v>82</v>
      </c>
      <c r="C156" s="90"/>
      <c r="D156" s="333"/>
      <c r="E156" s="146"/>
      <c r="F156" s="84"/>
      <c r="G156" s="84"/>
      <c r="H156" s="45"/>
    </row>
    <row r="157" spans="1:8" ht="12.75">
      <c r="A157" s="31" t="e">
        <f>#REF!</f>
        <v>#REF!</v>
      </c>
      <c r="B157" s="334"/>
      <c r="C157" s="335"/>
      <c r="D157" s="141"/>
      <c r="E157" s="332" t="e">
        <f>#REF!</f>
        <v>#REF!</v>
      </c>
      <c r="F157" s="336"/>
      <c r="G157" s="58"/>
      <c r="H157" s="337" t="s">
        <v>55</v>
      </c>
    </row>
    <row r="158" spans="1:8" ht="12.75">
      <c r="A158" s="34" t="e">
        <f aca="true" t="shared" si="8" ref="A158:A171">A157+1</f>
        <v>#REF!</v>
      </c>
      <c r="B158" s="334"/>
      <c r="C158" s="335"/>
      <c r="D158" s="143"/>
      <c r="E158" s="338"/>
      <c r="F158" s="336"/>
      <c r="G158" s="58"/>
      <c r="H158" s="225"/>
    </row>
    <row r="159" spans="1:8" ht="12.75">
      <c r="A159" s="81" t="e">
        <f t="shared" si="8"/>
        <v>#REF!</v>
      </c>
      <c r="B159" s="334"/>
      <c r="C159" s="336"/>
      <c r="D159" s="141"/>
      <c r="E159" s="267" t="e">
        <f>#REF!</f>
        <v>#REF!</v>
      </c>
      <c r="F159" s="336"/>
      <c r="G159" s="309"/>
      <c r="H159" s="337" t="s">
        <v>56</v>
      </c>
    </row>
    <row r="160" spans="1:8" ht="12.75">
      <c r="A160" s="34" t="e">
        <f t="shared" si="8"/>
        <v>#REF!</v>
      </c>
      <c r="B160" s="339"/>
      <c r="C160" s="239"/>
      <c r="D160" s="141"/>
      <c r="E160" s="340" t="e">
        <f>#REF!</f>
        <v>#REF!</v>
      </c>
      <c r="F160" s="341"/>
      <c r="G160" s="58"/>
      <c r="H160" s="337" t="s">
        <v>57</v>
      </c>
    </row>
    <row r="161" spans="1:8" ht="12.75">
      <c r="A161" s="34" t="e">
        <f t="shared" si="8"/>
        <v>#REF!</v>
      </c>
      <c r="B161" s="334"/>
      <c r="C161" s="335"/>
      <c r="D161" s="142"/>
      <c r="E161" s="332" t="e">
        <f>#REF!</f>
        <v>#REF!</v>
      </c>
      <c r="F161" s="336"/>
      <c r="G161" s="58"/>
      <c r="H161" s="337" t="s">
        <v>58</v>
      </c>
    </row>
    <row r="162" spans="1:8" ht="12.75">
      <c r="A162" s="35" t="e">
        <f t="shared" si="8"/>
        <v>#REF!</v>
      </c>
      <c r="B162" s="342"/>
      <c r="C162" s="239"/>
      <c r="D162" s="142"/>
      <c r="E162" s="340" t="e">
        <f>#REF!</f>
        <v>#REF!</v>
      </c>
      <c r="F162" s="341"/>
      <c r="G162" s="58"/>
      <c r="H162" s="337" t="s">
        <v>341</v>
      </c>
    </row>
    <row r="163" spans="1:8" ht="12.75">
      <c r="A163" s="34" t="e">
        <f t="shared" si="8"/>
        <v>#REF!</v>
      </c>
      <c r="B163" s="334"/>
      <c r="C163" s="343" t="e">
        <f>#REF!</f>
        <v>#REF!</v>
      </c>
      <c r="D163" s="143"/>
      <c r="E163" s="338"/>
      <c r="F163" s="336"/>
      <c r="G163" s="58"/>
      <c r="H163" s="337" t="s">
        <v>59</v>
      </c>
    </row>
    <row r="164" spans="1:8" ht="12.75">
      <c r="A164" s="34" t="e">
        <f t="shared" si="8"/>
        <v>#REF!</v>
      </c>
      <c r="B164" s="334"/>
      <c r="C164" s="343" t="e">
        <f>#REF!</f>
        <v>#REF!</v>
      </c>
      <c r="D164" s="142"/>
      <c r="E164" s="332" t="e">
        <f>#REF!</f>
        <v>#REF!</v>
      </c>
      <c r="F164" s="336"/>
      <c r="G164" s="58"/>
      <c r="H164" s="337" t="s">
        <v>66</v>
      </c>
    </row>
    <row r="165" spans="1:8" ht="12.75">
      <c r="A165" s="34" t="e">
        <f t="shared" si="8"/>
        <v>#REF!</v>
      </c>
      <c r="B165" s="334"/>
      <c r="C165" s="343" t="e">
        <f>#REF!</f>
        <v>#REF!</v>
      </c>
      <c r="D165" s="141"/>
      <c r="E165" s="332" t="e">
        <f>#REF!</f>
        <v>#REF!</v>
      </c>
      <c r="F165" s="336"/>
      <c r="G165" s="58"/>
      <c r="H165" s="337" t="s">
        <v>60</v>
      </c>
    </row>
    <row r="166" spans="1:8" ht="12.75">
      <c r="A166" s="35" t="e">
        <f t="shared" si="8"/>
        <v>#REF!</v>
      </c>
      <c r="B166" s="177"/>
      <c r="C166" s="343" t="e">
        <f>#REF!</f>
        <v>#REF!</v>
      </c>
      <c r="D166" s="144"/>
      <c r="E166" s="338"/>
      <c r="F166" s="336"/>
      <c r="G166" s="58"/>
      <c r="H166" s="45"/>
    </row>
    <row r="167" spans="1:8" ht="12.75">
      <c r="A167" s="37" t="e">
        <f t="shared" si="8"/>
        <v>#REF!</v>
      </c>
      <c r="B167" s="61"/>
      <c r="C167" s="344"/>
      <c r="D167" s="186"/>
      <c r="E167" s="344"/>
      <c r="F167" s="344"/>
      <c r="G167" s="345"/>
      <c r="H167" s="45"/>
    </row>
    <row r="168" spans="1:8" ht="12.75">
      <c r="A168" s="188" t="e">
        <f t="shared" si="8"/>
        <v>#REF!</v>
      </c>
      <c r="B168" s="84"/>
      <c r="C168" s="346"/>
      <c r="D168" s="187"/>
      <c r="E168" s="280" t="e">
        <f>#REF!</f>
        <v>#REF!</v>
      </c>
      <c r="F168" s="281" t="e">
        <f>#REF!</f>
        <v>#REF!</v>
      </c>
      <c r="G168" s="345"/>
      <c r="H168" s="45"/>
    </row>
    <row r="169" spans="1:8" ht="12.75">
      <c r="A169" s="37" t="e">
        <f t="shared" si="8"/>
        <v>#REF!</v>
      </c>
      <c r="B169" s="60"/>
      <c r="C169" s="347"/>
      <c r="D169" s="145"/>
      <c r="E169" s="347"/>
      <c r="F169" s="348"/>
      <c r="G169" s="345"/>
      <c r="H169" s="45"/>
    </row>
    <row r="170" spans="1:8" ht="12.75">
      <c r="A170" s="188" t="e">
        <f t="shared" si="8"/>
        <v>#REF!</v>
      </c>
      <c r="B170" s="134"/>
      <c r="C170" s="349"/>
      <c r="D170" s="189"/>
      <c r="E170" s="350"/>
      <c r="F170" s="336"/>
      <c r="G170" s="345"/>
      <c r="H170" s="45"/>
    </row>
    <row r="171" spans="1:8" ht="12.75">
      <c r="A171" s="188" t="e">
        <f t="shared" si="8"/>
        <v>#REF!</v>
      </c>
      <c r="B171" s="134"/>
      <c r="C171" s="349"/>
      <c r="D171" s="189"/>
      <c r="E171" s="350"/>
      <c r="F171" s="341"/>
      <c r="G171" s="345"/>
      <c r="H171" s="337" t="s">
        <v>345</v>
      </c>
    </row>
    <row r="172" spans="1:8" ht="12.75">
      <c r="A172" s="90"/>
      <c r="B172" s="90"/>
      <c r="C172" s="146"/>
      <c r="D172" s="147"/>
      <c r="E172" s="163"/>
      <c r="F172" s="163"/>
      <c r="G172" s="90"/>
      <c r="H172" s="45"/>
    </row>
    <row r="173" spans="1:8" s="11" customFormat="1" ht="12.75" customHeight="1">
      <c r="A173" s="260"/>
      <c r="B173" s="232"/>
      <c r="C173" s="233" t="s">
        <v>141</v>
      </c>
      <c r="D173" s="278" t="s">
        <v>142</v>
      </c>
      <c r="E173" s="279"/>
      <c r="F173" s="108" t="s">
        <v>139</v>
      </c>
      <c r="G173" s="234"/>
      <c r="H173" s="235"/>
    </row>
    <row r="174" spans="1:8" s="42" customFormat="1" ht="12.75" customHeight="1">
      <c r="A174" s="21"/>
      <c r="B174" s="232"/>
      <c r="C174" s="241"/>
      <c r="D174" s="242"/>
      <c r="E174" s="242"/>
      <c r="F174" s="243"/>
      <c r="G174" s="234"/>
      <c r="H174" s="235"/>
    </row>
    <row r="175" spans="1:8" s="42" customFormat="1" ht="12.75" customHeight="1">
      <c r="A175" s="47" t="s">
        <v>349</v>
      </c>
      <c r="B175" s="14" t="s">
        <v>87</v>
      </c>
      <c r="C175" s="90"/>
      <c r="D175" s="147"/>
      <c r="E175" s="90"/>
      <c r="F175" s="90"/>
      <c r="G175" s="90"/>
      <c r="H175" s="45"/>
    </row>
    <row r="176" spans="1:8" s="42" customFormat="1" ht="12.75" customHeight="1">
      <c r="A176" s="31" t="e">
        <f>A171+1</f>
        <v>#REF!</v>
      </c>
      <c r="B176" s="121"/>
      <c r="C176" s="239"/>
      <c r="D176" s="351"/>
      <c r="E176" s="352"/>
      <c r="F176" s="341"/>
      <c r="G176" s="84"/>
      <c r="H176" s="337" t="e">
        <f>CONCATENATE("IJ",RIGHT(#REF!,2))</f>
        <v>#REF!</v>
      </c>
    </row>
    <row r="177" spans="1:8" s="42" customFormat="1" ht="12.75" customHeight="1">
      <c r="A177" s="34" t="e">
        <f>A176+1</f>
        <v>#REF!</v>
      </c>
      <c r="B177" s="121"/>
      <c r="C177" s="148"/>
      <c r="D177" s="149"/>
      <c r="E177" s="353"/>
      <c r="F177" s="354"/>
      <c r="G177" s="84"/>
      <c r="H177" s="337" t="e">
        <f>CONCATENATE("IV",RIGHT(#REF!,2))</f>
        <v>#REF!</v>
      </c>
    </row>
    <row r="178" spans="1:8" s="42" customFormat="1" ht="12.75" customHeight="1">
      <c r="A178" s="54" t="e">
        <f>A177+1</f>
        <v>#REF!</v>
      </c>
      <c r="B178" s="121"/>
      <c r="C178" s="239"/>
      <c r="D178" s="351"/>
      <c r="E178" s="239"/>
      <c r="F178" s="341"/>
      <c r="G178" s="84"/>
      <c r="H178" s="337" t="e">
        <f>CONCATENATE("IT",RIGHT(#REF!,2))</f>
        <v>#REF!</v>
      </c>
    </row>
    <row r="179" spans="1:8" s="42" customFormat="1" ht="12.75" customHeight="1">
      <c r="A179" s="14"/>
      <c r="B179" s="90"/>
      <c r="C179" s="150"/>
      <c r="D179" s="151"/>
      <c r="E179" s="355"/>
      <c r="F179" s="355"/>
      <c r="G179" s="84"/>
      <c r="H179" s="225"/>
    </row>
    <row r="180" spans="1:8" ht="12.75">
      <c r="A180" s="47" t="s">
        <v>350</v>
      </c>
      <c r="B180" s="41" t="s">
        <v>302</v>
      </c>
      <c r="C180" s="157"/>
      <c r="D180" s="42"/>
      <c r="E180" s="42"/>
      <c r="F180" s="356"/>
      <c r="G180" s="356"/>
      <c r="H180" s="47"/>
    </row>
    <row r="181" spans="1:8" ht="12.75">
      <c r="A181" s="31" t="e">
        <f>A178+1</f>
        <v>#REF!</v>
      </c>
      <c r="B181" s="357"/>
      <c r="C181" s="152"/>
      <c r="D181" s="358"/>
      <c r="E181" s="359"/>
      <c r="F181" s="332" t="e">
        <f>#REF!</f>
        <v>#REF!</v>
      </c>
      <c r="G181" s="84"/>
      <c r="H181" s="337" t="s">
        <v>85</v>
      </c>
    </row>
    <row r="182" spans="1:8" ht="12.75">
      <c r="A182" s="35" t="e">
        <f>A181+1</f>
        <v>#REF!</v>
      </c>
      <c r="B182" s="357"/>
      <c r="C182" s="153"/>
      <c r="D182" s="360"/>
      <c r="E182" s="361"/>
      <c r="F182" s="336"/>
      <c r="G182" s="84"/>
      <c r="H182" s="337" t="s">
        <v>85</v>
      </c>
    </row>
    <row r="183" spans="1:8" ht="12.75">
      <c r="A183" s="37" t="e">
        <f>A182+1</f>
        <v>#REF!</v>
      </c>
      <c r="B183" s="362"/>
      <c r="C183" s="154"/>
      <c r="D183" s="363"/>
      <c r="E183" s="364"/>
      <c r="F183" s="365"/>
      <c r="G183" s="225"/>
      <c r="H183" s="225"/>
    </row>
    <row r="184" spans="1:8" ht="12.75">
      <c r="A184" s="41"/>
      <c r="B184" s="42"/>
      <c r="C184" s="147"/>
      <c r="D184" s="42"/>
      <c r="E184" s="42"/>
      <c r="F184" s="42"/>
      <c r="G184" s="42"/>
      <c r="H184" s="47"/>
    </row>
    <row r="185" spans="1:8" ht="12.75">
      <c r="A185" s="37" t="e">
        <f>A183+1</f>
        <v>#REF!</v>
      </c>
      <c r="B185" s="362"/>
      <c r="C185" s="154"/>
      <c r="D185" s="363"/>
      <c r="E185" s="364"/>
      <c r="F185" s="365">
        <f>F167-F171+F183</f>
        <v>0</v>
      </c>
      <c r="G185" s="42"/>
      <c r="H185" s="47"/>
    </row>
    <row r="186" spans="1:8" ht="12.75">
      <c r="A186" s="41"/>
      <c r="B186" s="42"/>
      <c r="C186" s="42"/>
      <c r="D186" s="147"/>
      <c r="E186" s="42"/>
      <c r="F186" s="42"/>
      <c r="G186" s="42"/>
      <c r="H186" s="47"/>
    </row>
    <row r="187" spans="1:8" ht="12.75">
      <c r="A187" s="41"/>
      <c r="B187" s="42"/>
      <c r="C187" s="42"/>
      <c r="D187" s="147"/>
      <c r="E187" s="42"/>
      <c r="F187" s="42"/>
      <c r="G187" s="42"/>
      <c r="H187" s="47"/>
    </row>
    <row r="188" spans="1:8" ht="12.75">
      <c r="A188" s="14" t="s">
        <v>334</v>
      </c>
      <c r="B188" s="15"/>
      <c r="C188" s="15"/>
      <c r="D188" s="137"/>
      <c r="E188" s="5"/>
      <c r="F188" s="138"/>
      <c r="G188" s="42"/>
      <c r="H188" s="47"/>
    </row>
    <row r="189" spans="2:6" ht="12.75">
      <c r="B189" s="15"/>
      <c r="C189" s="15"/>
      <c r="D189" s="15"/>
      <c r="E189" s="139"/>
      <c r="F189" s="140"/>
    </row>
    <row r="190" spans="1:6" ht="12.75">
      <c r="A190" s="64"/>
      <c r="B190" s="366"/>
      <c r="C190" s="118"/>
      <c r="D190" s="207" t="e">
        <f>CONCATENATE("Jaarrekening ",#REF!-1," ")</f>
        <v>#REF!</v>
      </c>
      <c r="E190" s="207" t="e">
        <f>CONCATENATE("Jaarrekening ",#REF!," ")</f>
        <v>#REF!</v>
      </c>
      <c r="F190" s="207" t="s">
        <v>139</v>
      </c>
    </row>
    <row r="191" spans="1:6" ht="12.75">
      <c r="A191" s="83"/>
      <c r="B191" s="325"/>
      <c r="C191" s="156"/>
      <c r="D191" s="111"/>
      <c r="E191" s="156"/>
      <c r="F191" s="113"/>
    </row>
    <row r="192" spans="1:6" ht="12.75">
      <c r="A192" s="47" t="s">
        <v>140</v>
      </c>
      <c r="B192" s="14" t="s">
        <v>84</v>
      </c>
      <c r="C192" s="147"/>
      <c r="D192" s="90"/>
      <c r="E192" s="90"/>
      <c r="F192" s="90"/>
    </row>
    <row r="193" spans="1:6" ht="12.75">
      <c r="A193" s="31" t="e">
        <f>'Rentecalc.'!#REF!</f>
        <v>#REF!</v>
      </c>
      <c r="B193" s="357"/>
      <c r="C193" s="158"/>
      <c r="D193" s="358"/>
      <c r="E193" s="359"/>
      <c r="F193" s="367">
        <f>Uitvoer!F169</f>
        <v>0</v>
      </c>
    </row>
    <row r="194" spans="1:6" ht="12.75">
      <c r="A194" s="34" t="e">
        <f>A193+1</f>
        <v>#REF!</v>
      </c>
      <c r="B194" s="368"/>
      <c r="C194" s="158"/>
      <c r="D194" s="358"/>
      <c r="E194" s="267" t="e">
        <f>'Rentecalc.'!#REF!</f>
        <v>#REF!</v>
      </c>
      <c r="F194" s="369"/>
    </row>
    <row r="195" spans="1:6" ht="12.75">
      <c r="A195" s="34" t="e">
        <f>A194+1</f>
        <v>#REF!</v>
      </c>
      <c r="B195" s="368"/>
      <c r="C195" s="158"/>
      <c r="D195" s="358"/>
      <c r="E195" s="336"/>
      <c r="F195" s="369"/>
    </row>
    <row r="196" spans="1:6" ht="12.75">
      <c r="A196" s="35" t="e">
        <f>A195+1</f>
        <v>#REF!</v>
      </c>
      <c r="B196" s="370"/>
      <c r="C196" s="224"/>
      <c r="D196" s="371"/>
      <c r="E196" s="372"/>
      <c r="F196" s="244"/>
    </row>
    <row r="197" spans="1:6" ht="12.75">
      <c r="A197" s="37" t="e">
        <f>A196+1</f>
        <v>#REF!</v>
      </c>
      <c r="B197" s="362"/>
      <c r="C197" s="154"/>
      <c r="D197" s="373"/>
      <c r="E197" s="374"/>
      <c r="F197" s="292"/>
    </row>
    <row r="198" spans="1:6" ht="12.75">
      <c r="A198" s="41"/>
      <c r="B198" s="42"/>
      <c r="C198" s="147"/>
      <c r="D198" s="42"/>
      <c r="E198" s="42"/>
      <c r="F198" s="42"/>
    </row>
    <row r="199" spans="1:6" ht="12.75">
      <c r="A199" s="47" t="s">
        <v>300</v>
      </c>
      <c r="B199" s="14"/>
      <c r="C199" s="147"/>
      <c r="D199" s="42"/>
      <c r="E199" s="42"/>
      <c r="F199" s="42"/>
    </row>
    <row r="200" spans="1:6" ht="12.75">
      <c r="A200" s="31" t="e">
        <f>A197+1</f>
        <v>#REF!</v>
      </c>
      <c r="B200" s="357"/>
      <c r="C200" s="375"/>
      <c r="D200" s="270" t="e">
        <f>'Rentecalc.'!#REF!</f>
        <v>#REF!</v>
      </c>
      <c r="E200" s="270" t="e">
        <f>'Rentecalc.'!#REF!</f>
        <v>#REF!</v>
      </c>
      <c r="F200" s="367"/>
    </row>
    <row r="201" spans="1:6" ht="12.75">
      <c r="A201" s="34" t="e">
        <f aca="true" t="shared" si="9" ref="A201:A208">A200+1</f>
        <v>#REF!</v>
      </c>
      <c r="B201" s="357"/>
      <c r="C201" s="375"/>
      <c r="D201" s="270" t="e">
        <f>'Rentecalc.'!#REF!</f>
        <v>#REF!</v>
      </c>
      <c r="E201" s="270" t="e">
        <f>'Rentecalc.'!#REF!</f>
        <v>#REF!</v>
      </c>
      <c r="F201" s="367"/>
    </row>
    <row r="202" spans="1:6" ht="12.75">
      <c r="A202" s="34" t="e">
        <f t="shared" si="9"/>
        <v>#REF!</v>
      </c>
      <c r="B202" s="357"/>
      <c r="C202" s="375"/>
      <c r="D202" s="270" t="e">
        <f>'Rentecalc.'!#REF!</f>
        <v>#REF!</v>
      </c>
      <c r="E202" s="270" t="e">
        <f>'Rentecalc.'!#REF!</f>
        <v>#REF!</v>
      </c>
      <c r="F202" s="367"/>
    </row>
    <row r="203" spans="1:6" ht="12.75">
      <c r="A203" s="34" t="e">
        <f t="shared" si="9"/>
        <v>#REF!</v>
      </c>
      <c r="B203" s="357"/>
      <c r="C203" s="375"/>
      <c r="D203" s="270" t="e">
        <f>'Rentecalc.'!#REF!</f>
        <v>#REF!</v>
      </c>
      <c r="E203" s="270" t="e">
        <f>'Rentecalc.'!#REF!</f>
        <v>#REF!</v>
      </c>
      <c r="F203" s="367"/>
    </row>
    <row r="204" spans="1:6" ht="12.75">
      <c r="A204" s="35" t="e">
        <f t="shared" si="9"/>
        <v>#REF!</v>
      </c>
      <c r="B204" s="240"/>
      <c r="C204" s="265"/>
      <c r="D204" s="270" t="e">
        <f>'Rentecalc.'!#REF!</f>
        <v>#REF!</v>
      </c>
      <c r="E204" s="270" t="e">
        <f>'Rentecalc.'!#REF!</f>
        <v>#REF!</v>
      </c>
      <c r="F204" s="367"/>
    </row>
    <row r="205" spans="1:6" ht="12.75">
      <c r="A205" s="37" t="e">
        <f t="shared" si="9"/>
        <v>#REF!</v>
      </c>
      <c r="B205" s="362"/>
      <c r="C205" s="154"/>
      <c r="D205" s="373"/>
      <c r="E205" s="374"/>
      <c r="F205" s="365"/>
    </row>
    <row r="206" spans="1:6" ht="12.75">
      <c r="A206" s="34" t="e">
        <f t="shared" si="9"/>
        <v>#REF!</v>
      </c>
      <c r="B206" s="357"/>
      <c r="C206" s="376"/>
      <c r="D206" s="377"/>
      <c r="E206" s="378"/>
      <c r="F206" s="367"/>
    </row>
    <row r="207" spans="1:6" ht="12.75">
      <c r="A207" s="35" t="e">
        <f t="shared" si="9"/>
        <v>#REF!</v>
      </c>
      <c r="B207" s="240"/>
      <c r="C207" s="265"/>
      <c r="D207" s="379"/>
      <c r="E207" s="380"/>
      <c r="F207" s="270">
        <f>'Rentecalc.'!F25</f>
        <v>0</v>
      </c>
    </row>
    <row r="208" spans="1:6" ht="12.75">
      <c r="A208" s="37" t="e">
        <f t="shared" si="9"/>
        <v>#REF!</v>
      </c>
      <c r="B208" s="362"/>
      <c r="C208" s="154"/>
      <c r="D208" s="373"/>
      <c r="E208" s="374"/>
      <c r="F208" s="365">
        <f>F197</f>
        <v>0</v>
      </c>
    </row>
    <row r="209" spans="2:6" ht="12.75">
      <c r="B209" s="93"/>
      <c r="C209" s="155"/>
      <c r="D209" s="93"/>
      <c r="E209" s="93"/>
      <c r="F209" s="93"/>
    </row>
    <row r="210" spans="1:6" ht="12.75">
      <c r="A210" s="47" t="s">
        <v>301</v>
      </c>
      <c r="B210" s="231" t="s">
        <v>344</v>
      </c>
      <c r="C210" s="147"/>
      <c r="D210" s="90"/>
      <c r="E210" s="90"/>
      <c r="F210" s="90"/>
    </row>
    <row r="211" spans="1:6" ht="12.75">
      <c r="A211" s="31" t="e">
        <f>A208+1</f>
        <v>#REF!</v>
      </c>
      <c r="B211" s="381"/>
      <c r="C211" s="158"/>
      <c r="D211" s="270" t="e">
        <f>'Rentecalc.'!#REF!</f>
        <v>#REF!</v>
      </c>
      <c r="E211" s="270" t="e">
        <f>'Rentecalc.'!#REF!</f>
        <v>#REF!</v>
      </c>
      <c r="F211" s="336"/>
    </row>
    <row r="212" spans="1:6" ht="12.75">
      <c r="A212" s="34" t="e">
        <f>A211+1</f>
        <v>#REF!</v>
      </c>
      <c r="B212" s="382"/>
      <c r="C212" s="158"/>
      <c r="D212" s="267" t="e">
        <f>'Rentecalc.'!#REF!</f>
        <v>#REF!</v>
      </c>
      <c r="E212" s="383"/>
      <c r="F212" s="42"/>
    </row>
    <row r="213" spans="1:6" ht="12.75">
      <c r="A213" s="81" t="e">
        <f>A212+1</f>
        <v>#REF!</v>
      </c>
      <c r="B213" s="382"/>
      <c r="C213" s="228"/>
      <c r="D213" s="384"/>
      <c r="E213" s="90"/>
      <c r="F213" s="42"/>
    </row>
    <row r="214" spans="1:6" ht="12.75">
      <c r="A214" s="37" t="e">
        <f>A213+1</f>
        <v>#REF!</v>
      </c>
      <c r="B214" s="385"/>
      <c r="C214" s="154"/>
      <c r="D214" s="229"/>
      <c r="E214" s="386"/>
      <c r="F214" s="263"/>
    </row>
    <row r="215" spans="1:6" ht="12.75">
      <c r="A215" s="227"/>
      <c r="B215" s="93"/>
      <c r="C215" s="155"/>
      <c r="D215" s="93"/>
      <c r="E215" s="93"/>
      <c r="F215" s="93"/>
    </row>
    <row r="216" spans="2:6" ht="12.75">
      <c r="B216" s="93"/>
      <c r="C216" s="155"/>
      <c r="D216" s="93"/>
      <c r="E216" s="93"/>
      <c r="F216" s="93"/>
    </row>
    <row r="217" spans="1:8" ht="12.75">
      <c r="A217" s="14" t="s">
        <v>351</v>
      </c>
      <c r="B217" s="42"/>
      <c r="C217" s="42"/>
      <c r="D217" s="42"/>
      <c r="E217" s="42"/>
      <c r="F217" s="42"/>
      <c r="G217" s="42"/>
      <c r="H217" s="42"/>
    </row>
    <row r="218" spans="1:8" ht="12.75">
      <c r="A218" s="41"/>
      <c r="B218" s="42"/>
      <c r="C218" s="42"/>
      <c r="D218" s="42"/>
      <c r="E218" s="42"/>
      <c r="F218" s="42"/>
      <c r="G218" s="42"/>
      <c r="H218" s="42"/>
    </row>
    <row r="219" spans="1:21" ht="12.75" customHeight="1">
      <c r="A219" s="21"/>
      <c r="B219" s="208"/>
      <c r="C219" s="105" t="s">
        <v>143</v>
      </c>
      <c r="D219" s="209" t="s">
        <v>144</v>
      </c>
      <c r="E219" s="299"/>
      <c r="G219" s="5"/>
      <c r="H219" s="2"/>
      <c r="J219" s="2"/>
      <c r="L219" s="93"/>
      <c r="M219" s="96"/>
      <c r="N219" s="93"/>
      <c r="P219" s="93"/>
      <c r="S219" s="2"/>
      <c r="T219" s="2"/>
      <c r="U219" s="2"/>
    </row>
    <row r="220" spans="1:21" ht="12.75">
      <c r="A220" s="21"/>
      <c r="B220" s="208"/>
      <c r="C220" s="109"/>
      <c r="D220" s="109" t="e">
        <f>CONCATENATE(#REF!-1,"* ")</f>
        <v>#REF!</v>
      </c>
      <c r="E220" s="109" t="e">
        <f>CONCATENATE("Mutaties ",#REF!," ")</f>
        <v>#REF!</v>
      </c>
      <c r="G220" s="5"/>
      <c r="H220" s="2"/>
      <c r="J220" s="2"/>
      <c r="L220" s="93"/>
      <c r="M220" s="96"/>
      <c r="N220" s="93"/>
      <c r="P220" s="93"/>
      <c r="S220" s="2"/>
      <c r="T220" s="2"/>
      <c r="U220" s="2"/>
    </row>
    <row r="221" spans="1:21" ht="12.75">
      <c r="A221" s="26"/>
      <c r="B221" s="27"/>
      <c r="C221" s="29"/>
      <c r="D221" s="29"/>
      <c r="E221" s="29"/>
      <c r="G221" s="5"/>
      <c r="H221" s="2"/>
      <c r="J221" s="2"/>
      <c r="L221" s="93"/>
      <c r="M221" s="96"/>
      <c r="N221" s="93"/>
      <c r="P221" s="93"/>
      <c r="S221" s="2"/>
      <c r="T221" s="2"/>
      <c r="U221" s="2"/>
    </row>
    <row r="222" spans="1:21" ht="12.75">
      <c r="A222" s="159" t="s">
        <v>148</v>
      </c>
      <c r="B222" s="94" t="s">
        <v>304</v>
      </c>
      <c r="C222" s="387"/>
      <c r="D222" s="95"/>
      <c r="E222" s="95"/>
      <c r="G222" s="5"/>
      <c r="H222" s="2"/>
      <c r="J222" s="2"/>
      <c r="L222" s="93"/>
      <c r="M222" s="96"/>
      <c r="N222" s="93"/>
      <c r="P222" s="93"/>
      <c r="S222" s="2"/>
      <c r="T222" s="2"/>
      <c r="U222" s="2"/>
    </row>
    <row r="223" spans="1:21" ht="12.75">
      <c r="A223" s="31">
        <f>'A-G'!A9</f>
        <v>1701</v>
      </c>
      <c r="B223" s="388"/>
      <c r="C223" s="389">
        <f>'A-G'!C9</f>
        <v>0</v>
      </c>
      <c r="D223" s="390" t="e">
        <f>'A-G'!#REF!</f>
        <v>#REF!</v>
      </c>
      <c r="E223" s="391"/>
      <c r="G223" s="5"/>
      <c r="H223" s="2"/>
      <c r="J223" s="2"/>
      <c r="L223" s="93"/>
      <c r="M223" s="96"/>
      <c r="N223" s="93"/>
      <c r="P223" s="93"/>
      <c r="S223" s="2"/>
      <c r="T223" s="2"/>
      <c r="U223" s="2"/>
    </row>
    <row r="224" spans="1:21" ht="12.75">
      <c r="A224" s="34">
        <f aca="true" t="shared" si="10" ref="A224:A236">A223+1</f>
        <v>1702</v>
      </c>
      <c r="B224" s="388"/>
      <c r="C224" s="389">
        <f>'A-G'!C10</f>
        <v>0</v>
      </c>
      <c r="D224" s="239"/>
      <c r="E224" s="392">
        <f>'A-G'!D10</f>
        <v>0</v>
      </c>
      <c r="G224" s="5"/>
      <c r="H224" s="2"/>
      <c r="J224" s="2"/>
      <c r="L224" s="93"/>
      <c r="M224" s="96"/>
      <c r="N224" s="93"/>
      <c r="P224" s="93"/>
      <c r="S224" s="2"/>
      <c r="T224" s="2"/>
      <c r="U224" s="2"/>
    </row>
    <row r="225" spans="1:21" ht="12.75">
      <c r="A225" s="34">
        <f t="shared" si="10"/>
        <v>1703</v>
      </c>
      <c r="B225" s="388"/>
      <c r="C225" s="389" t="e">
        <f>'A-G'!#REF!</f>
        <v>#REF!</v>
      </c>
      <c r="D225" s="239"/>
      <c r="E225" s="392" t="e">
        <f>'A-G'!#REF!</f>
        <v>#REF!</v>
      </c>
      <c r="G225" s="5"/>
      <c r="H225" s="2"/>
      <c r="J225" s="2"/>
      <c r="L225" s="93"/>
      <c r="M225" s="96"/>
      <c r="N225" s="93"/>
      <c r="P225" s="93"/>
      <c r="S225" s="2"/>
      <c r="T225" s="2"/>
      <c r="U225" s="2"/>
    </row>
    <row r="226" spans="1:21" ht="12.75">
      <c r="A226" s="34">
        <f t="shared" si="10"/>
        <v>1704</v>
      </c>
      <c r="B226" s="388"/>
      <c r="C226" s="389" t="e">
        <f>'A-G'!#REF!</f>
        <v>#REF!</v>
      </c>
      <c r="D226" s="239"/>
      <c r="E226" s="392" t="e">
        <f>'A-G'!#REF!</f>
        <v>#REF!</v>
      </c>
      <c r="G226" s="5"/>
      <c r="H226" s="2"/>
      <c r="J226" s="2"/>
      <c r="L226" s="93"/>
      <c r="M226" s="96"/>
      <c r="N226" s="93"/>
      <c r="P226" s="93"/>
      <c r="S226" s="2"/>
      <c r="T226" s="2"/>
      <c r="U226" s="2"/>
    </row>
    <row r="227" spans="1:21" ht="12.75">
      <c r="A227" s="34">
        <f t="shared" si="10"/>
        <v>1705</v>
      </c>
      <c r="B227" s="388"/>
      <c r="C227" s="389" t="e">
        <f>'A-G'!#REF!</f>
        <v>#REF!</v>
      </c>
      <c r="D227" s="239"/>
      <c r="E227" s="392" t="e">
        <f>'A-G'!#REF!</f>
        <v>#REF!</v>
      </c>
      <c r="G227" s="5"/>
      <c r="H227" s="2"/>
      <c r="J227" s="2"/>
      <c r="L227" s="93"/>
      <c r="M227" s="96"/>
      <c r="N227" s="93"/>
      <c r="P227" s="93"/>
      <c r="S227" s="2"/>
      <c r="T227" s="2"/>
      <c r="U227" s="2"/>
    </row>
    <row r="228" spans="1:21" ht="12.75">
      <c r="A228" s="34">
        <f t="shared" si="10"/>
        <v>1706</v>
      </c>
      <c r="B228" s="388"/>
      <c r="C228" s="389" t="e">
        <f>'A-G'!#REF!</f>
        <v>#REF!</v>
      </c>
      <c r="D228" s="239"/>
      <c r="E228" s="392" t="e">
        <f>'A-G'!#REF!</f>
        <v>#REF!</v>
      </c>
      <c r="G228" s="5"/>
      <c r="H228" s="2"/>
      <c r="J228" s="2"/>
      <c r="L228" s="93"/>
      <c r="M228" s="96"/>
      <c r="N228" s="93"/>
      <c r="P228" s="93"/>
      <c r="S228" s="2"/>
      <c r="T228" s="2"/>
      <c r="U228" s="2"/>
    </row>
    <row r="229" spans="1:21" ht="12.75">
      <c r="A229" s="34">
        <f t="shared" si="10"/>
        <v>1707</v>
      </c>
      <c r="B229" s="388"/>
      <c r="C229" s="389" t="e">
        <f>'A-G'!#REF!</f>
        <v>#REF!</v>
      </c>
      <c r="D229" s="239"/>
      <c r="E229" s="392" t="e">
        <f>'A-G'!#REF!</f>
        <v>#REF!</v>
      </c>
      <c r="G229" s="5"/>
      <c r="H229" s="2"/>
      <c r="J229" s="2"/>
      <c r="L229" s="93"/>
      <c r="M229" s="96"/>
      <c r="N229" s="93"/>
      <c r="P229" s="93"/>
      <c r="S229" s="2"/>
      <c r="T229" s="2"/>
      <c r="U229" s="2"/>
    </row>
    <row r="230" spans="1:21" ht="12.75">
      <c r="A230" s="34">
        <f t="shared" si="10"/>
        <v>1708</v>
      </c>
      <c r="B230" s="388"/>
      <c r="C230" s="389" t="e">
        <f>'A-G'!#REF!</f>
        <v>#REF!</v>
      </c>
      <c r="D230" s="239"/>
      <c r="E230" s="392" t="e">
        <f>'A-G'!#REF!</f>
        <v>#REF!</v>
      </c>
      <c r="G230" s="5"/>
      <c r="H230" s="2"/>
      <c r="J230" s="2"/>
      <c r="L230" s="93"/>
      <c r="M230" s="96"/>
      <c r="N230" s="93"/>
      <c r="P230" s="93"/>
      <c r="S230" s="2"/>
      <c r="T230" s="2"/>
      <c r="U230" s="2"/>
    </row>
    <row r="231" spans="1:21" ht="12.75">
      <c r="A231" s="34">
        <f t="shared" si="10"/>
        <v>1709</v>
      </c>
      <c r="B231" s="388"/>
      <c r="C231" s="389" t="e">
        <f>'A-G'!#REF!</f>
        <v>#REF!</v>
      </c>
      <c r="D231" s="239"/>
      <c r="E231" s="392" t="e">
        <f>'A-G'!#REF!</f>
        <v>#REF!</v>
      </c>
      <c r="G231" s="5"/>
      <c r="H231" s="2"/>
      <c r="J231" s="2"/>
      <c r="L231" s="93"/>
      <c r="M231" s="96"/>
      <c r="N231" s="93"/>
      <c r="P231" s="93"/>
      <c r="S231" s="2"/>
      <c r="T231" s="2"/>
      <c r="U231" s="2"/>
    </row>
    <row r="232" spans="1:21" ht="12.75">
      <c r="A232" s="34">
        <f t="shared" si="10"/>
        <v>1710</v>
      </c>
      <c r="B232" s="388"/>
      <c r="C232" s="389" t="e">
        <f>'A-G'!#REF!</f>
        <v>#REF!</v>
      </c>
      <c r="D232" s="239"/>
      <c r="E232" s="392" t="e">
        <f>'A-G'!#REF!</f>
        <v>#REF!</v>
      </c>
      <c r="G232" s="5"/>
      <c r="H232" s="2"/>
      <c r="J232" s="2"/>
      <c r="L232" s="93"/>
      <c r="M232" s="96"/>
      <c r="N232" s="93"/>
      <c r="P232" s="93"/>
      <c r="S232" s="2"/>
      <c r="T232" s="2"/>
      <c r="U232" s="2"/>
    </row>
    <row r="233" spans="1:21" ht="12.75">
      <c r="A233" s="34">
        <f t="shared" si="10"/>
        <v>1711</v>
      </c>
      <c r="B233" s="388"/>
      <c r="C233" s="389" t="e">
        <f>'A-G'!#REF!</f>
        <v>#REF!</v>
      </c>
      <c r="D233" s="239"/>
      <c r="E233" s="392" t="e">
        <f>'A-G'!#REF!</f>
        <v>#REF!</v>
      </c>
      <c r="G233" s="5"/>
      <c r="H233" s="2"/>
      <c r="J233" s="2"/>
      <c r="L233" s="93"/>
      <c r="M233" s="96"/>
      <c r="N233" s="93"/>
      <c r="P233" s="93"/>
      <c r="S233" s="2"/>
      <c r="T233" s="2"/>
      <c r="U233" s="2"/>
    </row>
    <row r="234" spans="1:21" ht="12.75">
      <c r="A234" s="34">
        <f t="shared" si="10"/>
        <v>1712</v>
      </c>
      <c r="B234" s="388"/>
      <c r="C234" s="389" t="e">
        <f>'A-G'!#REF!</f>
        <v>#REF!</v>
      </c>
      <c r="D234" s="239"/>
      <c r="E234" s="392" t="e">
        <f>'A-G'!#REF!</f>
        <v>#REF!</v>
      </c>
      <c r="G234" s="5"/>
      <c r="H234" s="2"/>
      <c r="J234" s="2"/>
      <c r="L234" s="93"/>
      <c r="M234" s="96"/>
      <c r="N234" s="93"/>
      <c r="P234" s="93"/>
      <c r="S234" s="2"/>
      <c r="T234" s="2"/>
      <c r="U234" s="2"/>
    </row>
    <row r="235" spans="1:21" ht="12.75">
      <c r="A235" s="54">
        <f t="shared" si="10"/>
        <v>1713</v>
      </c>
      <c r="B235" s="393"/>
      <c r="C235" s="389" t="e">
        <f>'A-G'!#REF!</f>
        <v>#REF!</v>
      </c>
      <c r="D235" s="239"/>
      <c r="E235" s="392" t="e">
        <f>'A-G'!#REF!</f>
        <v>#REF!</v>
      </c>
      <c r="G235" s="5"/>
      <c r="H235" s="2"/>
      <c r="J235" s="2"/>
      <c r="L235" s="93"/>
      <c r="M235" s="96"/>
      <c r="N235" s="93"/>
      <c r="P235" s="93"/>
      <c r="S235" s="2"/>
      <c r="T235" s="2"/>
      <c r="U235" s="2"/>
    </row>
    <row r="236" spans="1:21" ht="12.75">
      <c r="A236" s="37">
        <f t="shared" si="10"/>
        <v>1714</v>
      </c>
      <c r="B236" s="38"/>
      <c r="C236" s="394"/>
      <c r="D236" s="395"/>
      <c r="E236" s="396"/>
      <c r="F236" s="5"/>
      <c r="G236" s="5"/>
      <c r="H236" s="5"/>
      <c r="J236" s="2"/>
      <c r="L236" s="93"/>
      <c r="M236" s="96"/>
      <c r="N236" s="93"/>
      <c r="P236" s="93"/>
      <c r="S236" s="2"/>
      <c r="T236" s="2"/>
      <c r="U236" s="2"/>
    </row>
    <row r="237" spans="1:8" ht="12.75">
      <c r="A237" s="118" t="e">
        <f>CONCATENATE("* mutaties ",#REF!-1," (regel ",Uitvoer!A74,") exlusief niet-nacalculeerbare afschrijvingen (regel ",Uitvoer!A75,")")</f>
        <v>#REF!</v>
      </c>
      <c r="B237" s="42"/>
      <c r="C237" s="42"/>
      <c r="D237" s="185"/>
      <c r="E237" s="42"/>
      <c r="F237" s="160"/>
      <c r="G237" s="90"/>
      <c r="H237" s="119"/>
    </row>
    <row r="238" spans="1:8" ht="12.75">
      <c r="A238" s="118" t="str">
        <f>CONCATENATE("** regel ",A223," t/m ",A235,)</f>
        <v>** regel 1701 t/m 1713</v>
      </c>
      <c r="B238" s="42"/>
      <c r="C238" s="42"/>
      <c r="D238" s="185"/>
      <c r="E238" s="42"/>
      <c r="F238" s="160"/>
      <c r="G238" s="42"/>
      <c r="H238" s="119"/>
    </row>
    <row r="239" spans="1:8" ht="12.75">
      <c r="A239" s="118"/>
      <c r="B239" s="42"/>
      <c r="C239" s="42"/>
      <c r="D239" s="185"/>
      <c r="E239" s="42"/>
      <c r="F239" s="160"/>
      <c r="G239" s="42"/>
      <c r="H239" s="119"/>
    </row>
    <row r="240" spans="1:21" ht="12.75" customHeight="1">
      <c r="A240" s="21"/>
      <c r="B240" s="208"/>
      <c r="C240" s="105" t="s">
        <v>102</v>
      </c>
      <c r="D240" s="105" t="s">
        <v>110</v>
      </c>
      <c r="E240" s="1"/>
      <c r="G240" s="5"/>
      <c r="H240" s="2"/>
      <c r="J240" s="2"/>
      <c r="L240" s="93"/>
      <c r="M240" s="96"/>
      <c r="N240" s="93"/>
      <c r="P240" s="93"/>
      <c r="S240" s="2"/>
      <c r="T240" s="2"/>
      <c r="U240" s="2"/>
    </row>
    <row r="241" spans="1:21" ht="12.75">
      <c r="A241" s="21"/>
      <c r="B241" s="208"/>
      <c r="C241" s="210" t="s">
        <v>109</v>
      </c>
      <c r="D241" s="210" t="s">
        <v>103</v>
      </c>
      <c r="E241" s="1"/>
      <c r="G241" s="5"/>
      <c r="H241" s="2"/>
      <c r="J241" s="2"/>
      <c r="L241" s="93"/>
      <c r="M241" s="96"/>
      <c r="N241" s="93"/>
      <c r="P241" s="93"/>
      <c r="S241" s="2"/>
      <c r="T241" s="2"/>
      <c r="U241" s="2"/>
    </row>
    <row r="242" spans="1:21" ht="12.75">
      <c r="A242" s="21"/>
      <c r="B242" s="208"/>
      <c r="C242" s="109" t="s">
        <v>104</v>
      </c>
      <c r="D242" s="109" t="s">
        <v>108</v>
      </c>
      <c r="E242" s="1"/>
      <c r="G242" s="5"/>
      <c r="H242" s="2"/>
      <c r="J242" s="2"/>
      <c r="L242" s="93"/>
      <c r="M242" s="96"/>
      <c r="N242" s="93"/>
      <c r="P242" s="93"/>
      <c r="S242" s="2"/>
      <c r="T242" s="2"/>
      <c r="U242" s="2"/>
    </row>
    <row r="243" spans="1:21" ht="12.75">
      <c r="A243" s="26"/>
      <c r="B243" s="27"/>
      <c r="C243" s="29"/>
      <c r="D243" s="29"/>
      <c r="E243" s="1"/>
      <c r="G243" s="5"/>
      <c r="H243" s="2"/>
      <c r="J243" s="2"/>
      <c r="L243" s="93"/>
      <c r="M243" s="96"/>
      <c r="N243" s="93"/>
      <c r="P243" s="93"/>
      <c r="S243" s="2"/>
      <c r="T243" s="2"/>
      <c r="U243" s="2"/>
    </row>
    <row r="244" spans="1:21" ht="12.75">
      <c r="A244" s="14" t="s">
        <v>149</v>
      </c>
      <c r="B244" s="27" t="s">
        <v>147</v>
      </c>
      <c r="C244" s="387"/>
      <c r="D244" s="95"/>
      <c r="E244" s="1"/>
      <c r="G244" s="5"/>
      <c r="H244" s="2"/>
      <c r="J244" s="2"/>
      <c r="L244" s="93"/>
      <c r="M244" s="96"/>
      <c r="N244" s="93"/>
      <c r="P244" s="93"/>
      <c r="S244" s="2"/>
      <c r="T244" s="2"/>
      <c r="U244" s="2"/>
    </row>
    <row r="245" spans="1:21" ht="12.75">
      <c r="A245" s="31">
        <f>'A-G'!A32</f>
        <v>1718</v>
      </c>
      <c r="B245" s="388"/>
      <c r="C245" s="389">
        <f>'A-G'!C32</f>
        <v>0</v>
      </c>
      <c r="D245" s="397"/>
      <c r="E245" s="1"/>
      <c r="G245" s="5"/>
      <c r="H245" s="2"/>
      <c r="J245" s="2"/>
      <c r="L245" s="93"/>
      <c r="M245" s="96"/>
      <c r="N245" s="93"/>
      <c r="P245" s="93"/>
      <c r="S245" s="2"/>
      <c r="T245" s="2"/>
      <c r="U245" s="2"/>
    </row>
    <row r="246" spans="1:21" ht="12.75">
      <c r="A246" s="34">
        <f aca="true" t="shared" si="11" ref="A246:A260">A245+1</f>
        <v>1719</v>
      </c>
      <c r="B246" s="388"/>
      <c r="C246" s="390" t="e">
        <f>'A-G'!#REF!</f>
        <v>#REF!</v>
      </c>
      <c r="D246" s="398"/>
      <c r="E246" s="1"/>
      <c r="G246" s="5"/>
      <c r="H246" s="2"/>
      <c r="J246" s="2"/>
      <c r="L246" s="93"/>
      <c r="M246" s="96"/>
      <c r="N246" s="93"/>
      <c r="P246" s="93"/>
      <c r="S246" s="2"/>
      <c r="T246" s="2"/>
      <c r="U246" s="2"/>
    </row>
    <row r="247" spans="1:21" ht="12.75">
      <c r="A247" s="34">
        <f t="shared" si="11"/>
        <v>1720</v>
      </c>
      <c r="B247" s="388"/>
      <c r="C247" s="389" t="e">
        <f>'A-G'!#REF!</f>
        <v>#REF!</v>
      </c>
      <c r="D247" s="390" t="e">
        <f>'A-G'!#REF!</f>
        <v>#REF!</v>
      </c>
      <c r="E247" s="1"/>
      <c r="G247" s="5"/>
      <c r="H247" s="2"/>
      <c r="J247" s="2"/>
      <c r="L247" s="93"/>
      <c r="M247" s="96"/>
      <c r="N247" s="93"/>
      <c r="P247" s="93"/>
      <c r="S247" s="2"/>
      <c r="T247" s="2"/>
      <c r="U247" s="2"/>
    </row>
    <row r="248" spans="1:21" ht="12.75">
      <c r="A248" s="34">
        <f t="shared" si="11"/>
        <v>1721</v>
      </c>
      <c r="B248" s="388"/>
      <c r="C248" s="389" t="e">
        <f>'A-G'!#REF!</f>
        <v>#REF!</v>
      </c>
      <c r="D248" s="390" t="e">
        <f>'A-G'!#REF!</f>
        <v>#REF!</v>
      </c>
      <c r="E248" s="1"/>
      <c r="G248" s="5"/>
      <c r="H248" s="2"/>
      <c r="J248" s="2"/>
      <c r="L248" s="93"/>
      <c r="M248" s="96"/>
      <c r="N248" s="93"/>
      <c r="P248" s="93"/>
      <c r="S248" s="2"/>
      <c r="T248" s="2"/>
      <c r="U248" s="2"/>
    </row>
    <row r="249" spans="1:21" ht="12.75">
      <c r="A249" s="34">
        <f t="shared" si="11"/>
        <v>1722</v>
      </c>
      <c r="B249" s="388"/>
      <c r="C249" s="389" t="e">
        <f>'A-G'!#REF!</f>
        <v>#REF!</v>
      </c>
      <c r="D249" s="390" t="e">
        <f>'A-G'!#REF!</f>
        <v>#REF!</v>
      </c>
      <c r="E249" s="1"/>
      <c r="G249" s="5"/>
      <c r="H249" s="2"/>
      <c r="J249" s="2"/>
      <c r="L249" s="93"/>
      <c r="M249" s="96"/>
      <c r="N249" s="93"/>
      <c r="P249" s="93"/>
      <c r="S249" s="2"/>
      <c r="T249" s="2"/>
      <c r="U249" s="2"/>
    </row>
    <row r="250" spans="1:21" ht="12.75">
      <c r="A250" s="34">
        <f t="shared" si="11"/>
        <v>1723</v>
      </c>
      <c r="B250" s="388"/>
      <c r="C250" s="389" t="e">
        <f>'A-G'!#REF!</f>
        <v>#REF!</v>
      </c>
      <c r="D250" s="390" t="e">
        <f>'A-G'!#REF!</f>
        <v>#REF!</v>
      </c>
      <c r="E250" s="1"/>
      <c r="G250" s="5"/>
      <c r="H250" s="2"/>
      <c r="J250" s="2"/>
      <c r="L250" s="93"/>
      <c r="M250" s="96"/>
      <c r="N250" s="93"/>
      <c r="P250" s="93"/>
      <c r="S250" s="2"/>
      <c r="T250" s="2"/>
      <c r="U250" s="2"/>
    </row>
    <row r="251" spans="1:21" ht="12.75">
      <c r="A251" s="34">
        <f t="shared" si="11"/>
        <v>1724</v>
      </c>
      <c r="B251" s="388"/>
      <c r="C251" s="389" t="e">
        <f>'A-G'!#REF!</f>
        <v>#REF!</v>
      </c>
      <c r="D251" s="390" t="e">
        <f>'A-G'!#REF!</f>
        <v>#REF!</v>
      </c>
      <c r="E251" s="1"/>
      <c r="G251" s="5"/>
      <c r="H251" s="2"/>
      <c r="J251" s="2"/>
      <c r="L251" s="93"/>
      <c r="M251" s="96"/>
      <c r="N251" s="93"/>
      <c r="P251" s="93"/>
      <c r="S251" s="2"/>
      <c r="T251" s="2"/>
      <c r="U251" s="2"/>
    </row>
    <row r="252" spans="1:21" ht="12.75">
      <c r="A252" s="34">
        <f t="shared" si="11"/>
        <v>1725</v>
      </c>
      <c r="B252" s="388"/>
      <c r="C252" s="389" t="e">
        <f>'A-G'!#REF!</f>
        <v>#REF!</v>
      </c>
      <c r="D252" s="390" t="e">
        <f>'A-G'!#REF!</f>
        <v>#REF!</v>
      </c>
      <c r="E252" s="1"/>
      <c r="G252" s="5"/>
      <c r="H252" s="2"/>
      <c r="J252" s="2"/>
      <c r="L252" s="93"/>
      <c r="M252" s="96"/>
      <c r="N252" s="93"/>
      <c r="P252" s="93"/>
      <c r="S252" s="2"/>
      <c r="T252" s="2"/>
      <c r="U252" s="2"/>
    </row>
    <row r="253" spans="1:21" ht="12.75">
      <c r="A253" s="34">
        <f t="shared" si="11"/>
        <v>1726</v>
      </c>
      <c r="B253" s="388"/>
      <c r="C253" s="389" t="e">
        <f>'A-G'!#REF!</f>
        <v>#REF!</v>
      </c>
      <c r="D253" s="390" t="e">
        <f>'A-G'!#REF!</f>
        <v>#REF!</v>
      </c>
      <c r="E253" s="1"/>
      <c r="G253" s="5"/>
      <c r="H253" s="2"/>
      <c r="J253" s="2"/>
      <c r="L253" s="93"/>
      <c r="M253" s="96"/>
      <c r="N253" s="93"/>
      <c r="P253" s="93"/>
      <c r="S253" s="2"/>
      <c r="T253" s="2"/>
      <c r="U253" s="2"/>
    </row>
    <row r="254" spans="1:21" ht="12.75">
      <c r="A254" s="34">
        <f t="shared" si="11"/>
        <v>1727</v>
      </c>
      <c r="B254" s="388"/>
      <c r="C254" s="389" t="e">
        <f>'A-G'!#REF!</f>
        <v>#REF!</v>
      </c>
      <c r="D254" s="390" t="e">
        <f>'A-G'!#REF!</f>
        <v>#REF!</v>
      </c>
      <c r="E254" s="1"/>
      <c r="G254" s="5"/>
      <c r="H254" s="2"/>
      <c r="J254" s="2"/>
      <c r="L254" s="93"/>
      <c r="M254" s="96"/>
      <c r="N254" s="93"/>
      <c r="P254" s="93"/>
      <c r="S254" s="2"/>
      <c r="T254" s="2"/>
      <c r="U254" s="2"/>
    </row>
    <row r="255" spans="1:21" ht="12.75">
      <c r="A255" s="34">
        <f t="shared" si="11"/>
        <v>1728</v>
      </c>
      <c r="B255" s="388"/>
      <c r="C255" s="389" t="e">
        <f>'A-G'!#REF!</f>
        <v>#REF!</v>
      </c>
      <c r="D255" s="390" t="e">
        <f>'A-G'!#REF!</f>
        <v>#REF!</v>
      </c>
      <c r="E255" s="1"/>
      <c r="G255" s="5"/>
      <c r="H255" s="2"/>
      <c r="J255" s="2"/>
      <c r="L255" s="93"/>
      <c r="M255" s="96"/>
      <c r="N255" s="93"/>
      <c r="P255" s="93"/>
      <c r="S255" s="2"/>
      <c r="T255" s="2"/>
      <c r="U255" s="2"/>
    </row>
    <row r="256" spans="1:21" ht="12.75">
      <c r="A256" s="34">
        <f t="shared" si="11"/>
        <v>1729</v>
      </c>
      <c r="B256" s="388"/>
      <c r="C256" s="389" t="e">
        <f>'A-G'!#REF!</f>
        <v>#REF!</v>
      </c>
      <c r="D256" s="390" t="e">
        <f>'A-G'!#REF!</f>
        <v>#REF!</v>
      </c>
      <c r="E256" s="1"/>
      <c r="G256" s="5"/>
      <c r="H256" s="2"/>
      <c r="J256" s="2"/>
      <c r="L256" s="93"/>
      <c r="M256" s="96"/>
      <c r="N256" s="93"/>
      <c r="P256" s="93"/>
      <c r="S256" s="2"/>
      <c r="T256" s="2"/>
      <c r="U256" s="2"/>
    </row>
    <row r="257" spans="1:21" ht="12.75">
      <c r="A257" s="34">
        <f t="shared" si="11"/>
        <v>1730</v>
      </c>
      <c r="B257" s="388"/>
      <c r="C257" s="389" t="e">
        <f>'A-G'!#REF!</f>
        <v>#REF!</v>
      </c>
      <c r="D257" s="390" t="e">
        <f>'A-G'!#REF!</f>
        <v>#REF!</v>
      </c>
      <c r="E257" s="1"/>
      <c r="G257" s="5"/>
      <c r="H257" s="2"/>
      <c r="J257" s="2"/>
      <c r="L257" s="93"/>
      <c r="M257" s="96"/>
      <c r="N257" s="93"/>
      <c r="P257" s="93"/>
      <c r="S257" s="2"/>
      <c r="T257" s="2"/>
      <c r="U257" s="2"/>
    </row>
    <row r="258" spans="1:21" ht="12.75">
      <c r="A258" s="34">
        <f t="shared" si="11"/>
        <v>1731</v>
      </c>
      <c r="B258" s="388"/>
      <c r="C258" s="389" t="e">
        <f>'A-G'!#REF!</f>
        <v>#REF!</v>
      </c>
      <c r="D258" s="390" t="e">
        <f>'A-G'!#REF!</f>
        <v>#REF!</v>
      </c>
      <c r="E258" s="1"/>
      <c r="G258" s="5"/>
      <c r="H258" s="2"/>
      <c r="J258" s="2"/>
      <c r="L258" s="93"/>
      <c r="M258" s="96"/>
      <c r="N258" s="93"/>
      <c r="P258" s="93"/>
      <c r="S258" s="2"/>
      <c r="T258" s="2"/>
      <c r="U258" s="2"/>
    </row>
    <row r="259" spans="1:21" ht="12.75">
      <c r="A259" s="35">
        <f t="shared" si="11"/>
        <v>1732</v>
      </c>
      <c r="B259" s="388"/>
      <c r="C259" s="389" t="e">
        <f>'A-G'!#REF!</f>
        <v>#REF!</v>
      </c>
      <c r="D259" s="398"/>
      <c r="E259" s="1"/>
      <c r="G259" s="5"/>
      <c r="H259" s="2"/>
      <c r="J259" s="2"/>
      <c r="L259" s="93"/>
      <c r="M259" s="96"/>
      <c r="N259" s="93"/>
      <c r="P259" s="93"/>
      <c r="S259" s="2"/>
      <c r="T259" s="2"/>
      <c r="U259" s="2"/>
    </row>
    <row r="260" spans="1:21" ht="12.75">
      <c r="A260" s="37">
        <f t="shared" si="11"/>
        <v>1733</v>
      </c>
      <c r="B260" s="38"/>
      <c r="C260" s="292" t="e">
        <f>C245-C246+SUM(C247:C259)</f>
        <v>#REF!</v>
      </c>
      <c r="D260" s="308" t="e">
        <f>SUM(D247:D258)</f>
        <v>#REF!</v>
      </c>
      <c r="E260" s="1"/>
      <c r="G260" s="5"/>
      <c r="H260" s="2"/>
      <c r="J260" s="2"/>
      <c r="L260" s="93"/>
      <c r="M260" s="96"/>
      <c r="N260" s="93"/>
      <c r="P260" s="93"/>
      <c r="S260" s="2"/>
      <c r="T260" s="2"/>
      <c r="U260" s="2"/>
    </row>
    <row r="261" spans="1:7" ht="12.75">
      <c r="A261" s="26"/>
      <c r="B261" s="90"/>
      <c r="C261" s="90"/>
      <c r="D261" s="90"/>
      <c r="E261" s="90"/>
      <c r="F261" s="42"/>
      <c r="G261" s="42"/>
    </row>
    <row r="262" spans="1:7" ht="12.75">
      <c r="A262" s="37">
        <f>A260+1</f>
        <v>1734</v>
      </c>
      <c r="B262" s="59"/>
      <c r="C262" s="399"/>
      <c r="D262" s="400"/>
      <c r="E262" s="399"/>
      <c r="F262" s="401"/>
      <c r="G262" s="402" t="e">
        <f>'A-G'!#REF!</f>
        <v>#REF!</v>
      </c>
    </row>
    <row r="263" spans="1:7" ht="12.75">
      <c r="A263" s="41"/>
      <c r="B263" s="42"/>
      <c r="C263" s="42"/>
      <c r="D263" s="42"/>
      <c r="E263" s="42"/>
      <c r="F263" s="42"/>
      <c r="G263" s="42"/>
    </row>
    <row r="264" spans="1:21" ht="12.75" customHeight="1">
      <c r="A264" s="21"/>
      <c r="B264" s="208"/>
      <c r="C264" s="105" t="s">
        <v>143</v>
      </c>
      <c r="D264" s="105" t="s">
        <v>144</v>
      </c>
      <c r="E264" s="1"/>
      <c r="G264" s="5"/>
      <c r="H264" s="2"/>
      <c r="J264" s="2"/>
      <c r="L264" s="93"/>
      <c r="M264" s="96"/>
      <c r="N264" s="93"/>
      <c r="P264" s="93"/>
      <c r="S264" s="2"/>
      <c r="T264" s="2"/>
      <c r="U264" s="2"/>
    </row>
    <row r="265" spans="1:21" ht="12.75">
      <c r="A265" s="21"/>
      <c r="B265" s="208"/>
      <c r="C265" s="109"/>
      <c r="D265" s="109"/>
      <c r="E265" s="1"/>
      <c r="G265" s="5"/>
      <c r="H265" s="2"/>
      <c r="J265" s="2"/>
      <c r="L265" s="93"/>
      <c r="M265" s="96"/>
      <c r="N265" s="93"/>
      <c r="P265" s="93"/>
      <c r="S265" s="2"/>
      <c r="T265" s="2"/>
      <c r="U265" s="2"/>
    </row>
    <row r="266" spans="1:21" ht="12.75">
      <c r="A266" s="26"/>
      <c r="B266" s="90"/>
      <c r="C266" s="42"/>
      <c r="D266" s="42"/>
      <c r="E266" s="1"/>
      <c r="G266" s="5"/>
      <c r="H266" s="2"/>
      <c r="J266" s="2"/>
      <c r="L266" s="93"/>
      <c r="M266" s="96"/>
      <c r="N266" s="93"/>
      <c r="P266" s="93"/>
      <c r="S266" s="2"/>
      <c r="T266" s="2"/>
      <c r="U266" s="2"/>
    </row>
    <row r="267" spans="1:21" ht="12.75">
      <c r="A267" s="159" t="s">
        <v>150</v>
      </c>
      <c r="B267" s="94" t="s">
        <v>151</v>
      </c>
      <c r="C267" s="387"/>
      <c r="D267" s="95"/>
      <c r="E267" s="1"/>
      <c r="G267" s="5"/>
      <c r="H267" s="2"/>
      <c r="J267" s="2"/>
      <c r="L267" s="93"/>
      <c r="M267" s="96"/>
      <c r="N267" s="93"/>
      <c r="P267" s="93"/>
      <c r="S267" s="2"/>
      <c r="T267" s="2"/>
      <c r="U267" s="2"/>
    </row>
    <row r="268" spans="1:21" ht="12.75">
      <c r="A268" s="31">
        <f>'A-G'!A54</f>
        <v>1801</v>
      </c>
      <c r="B268" s="388"/>
      <c r="C268" s="389">
        <f>'A-G'!C54</f>
        <v>0</v>
      </c>
      <c r="D268" s="390">
        <f>'A-G'!D54</f>
        <v>0</v>
      </c>
      <c r="E268" s="1"/>
      <c r="G268" s="5"/>
      <c r="H268" s="2"/>
      <c r="J268" s="2"/>
      <c r="L268" s="93"/>
      <c r="M268" s="96"/>
      <c r="N268" s="93"/>
      <c r="P268" s="93"/>
      <c r="S268" s="2"/>
      <c r="T268" s="2"/>
      <c r="U268" s="2"/>
    </row>
    <row r="269" spans="1:21" ht="12.75">
      <c r="A269" s="34">
        <f aca="true" t="shared" si="12" ref="A269:A286">A268+1</f>
        <v>1802</v>
      </c>
      <c r="B269" s="388"/>
      <c r="C269" s="389">
        <f>'A-G'!C56</f>
        <v>0</v>
      </c>
      <c r="D269" s="397"/>
      <c r="E269" s="1"/>
      <c r="G269" s="5"/>
      <c r="H269" s="2"/>
      <c r="J269" s="2"/>
      <c r="L269" s="93"/>
      <c r="M269" s="96"/>
      <c r="N269" s="93"/>
      <c r="P269" s="93"/>
      <c r="S269" s="2"/>
      <c r="T269" s="2"/>
      <c r="U269" s="2"/>
    </row>
    <row r="270" spans="1:21" ht="12.75">
      <c r="A270" s="34">
        <f t="shared" si="12"/>
        <v>1803</v>
      </c>
      <c r="B270" s="388"/>
      <c r="C270" s="390">
        <f>'A-G'!C68</f>
        <v>0</v>
      </c>
      <c r="D270" s="397"/>
      <c r="E270" s="1"/>
      <c r="G270" s="5"/>
      <c r="H270" s="2"/>
      <c r="J270" s="2"/>
      <c r="L270" s="93"/>
      <c r="M270" s="96"/>
      <c r="N270" s="93"/>
      <c r="P270" s="93"/>
      <c r="S270" s="2"/>
      <c r="T270" s="2"/>
      <c r="U270" s="2"/>
    </row>
    <row r="271" spans="1:21" ht="12.75">
      <c r="A271" s="34">
        <f t="shared" si="12"/>
        <v>1804</v>
      </c>
      <c r="B271" s="388"/>
      <c r="C271" s="389" t="e">
        <f>'A-G'!#REF!</f>
        <v>#REF!</v>
      </c>
      <c r="D271" s="397"/>
      <c r="E271" s="1"/>
      <c r="G271" s="5"/>
      <c r="H271" s="2"/>
      <c r="J271" s="2"/>
      <c r="L271" s="93"/>
      <c r="M271" s="96"/>
      <c r="N271" s="93"/>
      <c r="P271" s="93"/>
      <c r="S271" s="2"/>
      <c r="T271" s="2"/>
      <c r="U271" s="2"/>
    </row>
    <row r="272" spans="1:21" ht="12.75">
      <c r="A272" s="34">
        <f t="shared" si="12"/>
        <v>1805</v>
      </c>
      <c r="B272" s="388"/>
      <c r="C272" s="389" t="e">
        <f>'A-G'!#REF!</f>
        <v>#REF!</v>
      </c>
      <c r="D272" s="397"/>
      <c r="E272" s="1"/>
      <c r="G272" s="5"/>
      <c r="H272" s="2"/>
      <c r="J272" s="2"/>
      <c r="L272" s="93"/>
      <c r="M272" s="96"/>
      <c r="N272" s="93"/>
      <c r="P272" s="93"/>
      <c r="S272" s="2"/>
      <c r="T272" s="2"/>
      <c r="U272" s="2"/>
    </row>
    <row r="273" spans="1:21" ht="12.75">
      <c r="A273" s="34">
        <f t="shared" si="12"/>
        <v>1806</v>
      </c>
      <c r="B273" s="388"/>
      <c r="C273" s="389" t="e">
        <f>'A-G'!#REF!</f>
        <v>#REF!</v>
      </c>
      <c r="D273" s="397"/>
      <c r="E273" s="1"/>
      <c r="G273" s="5"/>
      <c r="H273" s="2"/>
      <c r="J273" s="2"/>
      <c r="L273" s="93"/>
      <c r="M273" s="96"/>
      <c r="N273" s="93"/>
      <c r="P273" s="93"/>
      <c r="S273" s="2"/>
      <c r="T273" s="2"/>
      <c r="U273" s="2"/>
    </row>
    <row r="274" spans="1:21" ht="12.75">
      <c r="A274" s="34">
        <f t="shared" si="12"/>
        <v>1807</v>
      </c>
      <c r="B274" s="388"/>
      <c r="C274" s="389" t="e">
        <f>'A-G'!#REF!</f>
        <v>#REF!</v>
      </c>
      <c r="D274" s="397"/>
      <c r="E274" s="1"/>
      <c r="G274" s="5"/>
      <c r="H274" s="2"/>
      <c r="J274" s="2"/>
      <c r="L274" s="93"/>
      <c r="M274" s="96"/>
      <c r="N274" s="93"/>
      <c r="P274" s="93"/>
      <c r="S274" s="2"/>
      <c r="T274" s="2"/>
      <c r="U274" s="2"/>
    </row>
    <row r="275" spans="1:21" ht="12.75">
      <c r="A275" s="34">
        <f t="shared" si="12"/>
        <v>1808</v>
      </c>
      <c r="B275" s="388"/>
      <c r="C275" s="389" t="e">
        <f>'A-G'!#REF!</f>
        <v>#REF!</v>
      </c>
      <c r="D275" s="397"/>
      <c r="E275" s="1"/>
      <c r="G275" s="5"/>
      <c r="H275" s="2"/>
      <c r="J275" s="2"/>
      <c r="L275" s="93"/>
      <c r="M275" s="96"/>
      <c r="N275" s="93"/>
      <c r="P275" s="93"/>
      <c r="S275" s="2"/>
      <c r="T275" s="2"/>
      <c r="U275" s="2"/>
    </row>
    <row r="276" spans="1:21" ht="12.75">
      <c r="A276" s="34">
        <f t="shared" si="12"/>
        <v>1809</v>
      </c>
      <c r="B276" s="388"/>
      <c r="C276" s="389" t="e">
        <f>'A-G'!#REF!</f>
        <v>#REF!</v>
      </c>
      <c r="D276" s="397"/>
      <c r="E276" s="1"/>
      <c r="G276" s="5"/>
      <c r="H276" s="2"/>
      <c r="J276" s="2"/>
      <c r="L276" s="93"/>
      <c r="M276" s="96"/>
      <c r="N276" s="93"/>
      <c r="P276" s="93"/>
      <c r="S276" s="2"/>
      <c r="T276" s="2"/>
      <c r="U276" s="2"/>
    </row>
    <row r="277" spans="1:21" ht="12.75">
      <c r="A277" s="34">
        <f t="shared" si="12"/>
        <v>1810</v>
      </c>
      <c r="B277" s="388"/>
      <c r="C277" s="389" t="e">
        <f>'A-G'!#REF!</f>
        <v>#REF!</v>
      </c>
      <c r="D277" s="397"/>
      <c r="E277" s="1"/>
      <c r="G277" s="5"/>
      <c r="H277" s="2"/>
      <c r="J277" s="2"/>
      <c r="L277" s="93"/>
      <c r="M277" s="96"/>
      <c r="N277" s="93"/>
      <c r="P277" s="93"/>
      <c r="S277" s="2"/>
      <c r="T277" s="2"/>
      <c r="U277" s="2"/>
    </row>
    <row r="278" spans="1:21" ht="12.75">
      <c r="A278" s="34">
        <f t="shared" si="12"/>
        <v>1811</v>
      </c>
      <c r="B278" s="388"/>
      <c r="C278" s="389" t="e">
        <f>'A-G'!#REF!</f>
        <v>#REF!</v>
      </c>
      <c r="D278" s="397"/>
      <c r="E278" s="1"/>
      <c r="G278" s="5"/>
      <c r="H278" s="2"/>
      <c r="J278" s="2"/>
      <c r="L278" s="93"/>
      <c r="M278" s="96"/>
      <c r="N278" s="93"/>
      <c r="P278" s="93"/>
      <c r="S278" s="2"/>
      <c r="T278" s="2"/>
      <c r="U278" s="2"/>
    </row>
    <row r="279" spans="1:21" ht="12.75">
      <c r="A279" s="34">
        <f t="shared" si="12"/>
        <v>1812</v>
      </c>
      <c r="B279" s="388"/>
      <c r="C279" s="389" t="e">
        <f>'A-G'!#REF!</f>
        <v>#REF!</v>
      </c>
      <c r="D279" s="397"/>
      <c r="E279" s="1"/>
      <c r="G279" s="5"/>
      <c r="H279" s="2"/>
      <c r="J279" s="2"/>
      <c r="L279" s="93"/>
      <c r="M279" s="96"/>
      <c r="N279" s="93"/>
      <c r="P279" s="93"/>
      <c r="S279" s="2"/>
      <c r="T279" s="2"/>
      <c r="U279" s="2"/>
    </row>
    <row r="280" spans="1:21" ht="12.75">
      <c r="A280" s="34">
        <f t="shared" si="12"/>
        <v>1813</v>
      </c>
      <c r="B280" s="388"/>
      <c r="C280" s="389" t="e">
        <f>'A-G'!#REF!</f>
        <v>#REF!</v>
      </c>
      <c r="D280" s="397"/>
      <c r="E280" s="1"/>
      <c r="G280" s="5"/>
      <c r="H280" s="2"/>
      <c r="J280" s="2"/>
      <c r="L280" s="93"/>
      <c r="M280" s="96"/>
      <c r="N280" s="93"/>
      <c r="P280" s="93"/>
      <c r="S280" s="2"/>
      <c r="T280" s="2"/>
      <c r="U280" s="2"/>
    </row>
    <row r="281" spans="1:21" ht="12.75">
      <c r="A281" s="34">
        <f t="shared" si="12"/>
        <v>1814</v>
      </c>
      <c r="B281" s="388"/>
      <c r="C281" s="389" t="e">
        <f>'A-G'!#REF!</f>
        <v>#REF!</v>
      </c>
      <c r="D281" s="397"/>
      <c r="E281" s="1"/>
      <c r="G281" s="5"/>
      <c r="H281" s="2"/>
      <c r="J281" s="2"/>
      <c r="L281" s="93"/>
      <c r="M281" s="96"/>
      <c r="N281" s="93"/>
      <c r="P281" s="93"/>
      <c r="S281" s="2"/>
      <c r="T281" s="2"/>
      <c r="U281" s="2"/>
    </row>
    <row r="282" spans="1:21" ht="12.75">
      <c r="A282" s="34">
        <f t="shared" si="12"/>
        <v>1815</v>
      </c>
      <c r="B282" s="388"/>
      <c r="C282" s="389" t="e">
        <f>'A-G'!#REF!</f>
        <v>#REF!</v>
      </c>
      <c r="D282" s="397"/>
      <c r="E282" s="1"/>
      <c r="G282" s="5"/>
      <c r="H282" s="2"/>
      <c r="J282" s="2"/>
      <c r="L282" s="93"/>
      <c r="M282" s="96"/>
      <c r="N282" s="93"/>
      <c r="P282" s="93"/>
      <c r="S282" s="2"/>
      <c r="T282" s="2"/>
      <c r="U282" s="2"/>
    </row>
    <row r="283" spans="1:21" ht="12.75">
      <c r="A283" s="34">
        <f t="shared" si="12"/>
        <v>1816</v>
      </c>
      <c r="B283" s="388"/>
      <c r="C283" s="403"/>
      <c r="D283" s="390">
        <f>'A-G'!D69</f>
        <v>0</v>
      </c>
      <c r="E283" s="1"/>
      <c r="G283" s="5"/>
      <c r="H283" s="2"/>
      <c r="J283" s="2"/>
      <c r="L283" s="93"/>
      <c r="M283" s="96"/>
      <c r="N283" s="93"/>
      <c r="P283" s="93"/>
      <c r="S283" s="2"/>
      <c r="T283" s="2"/>
      <c r="U283" s="2"/>
    </row>
    <row r="284" spans="1:21" ht="12.75">
      <c r="A284" s="34">
        <f t="shared" si="12"/>
        <v>1817</v>
      </c>
      <c r="B284" s="388"/>
      <c r="C284" s="390">
        <f>'A-G'!C70</f>
        <v>0</v>
      </c>
      <c r="D284" s="397"/>
      <c r="E284" s="1"/>
      <c r="G284" s="5"/>
      <c r="H284" s="2"/>
      <c r="J284" s="2"/>
      <c r="L284" s="93"/>
      <c r="M284" s="96"/>
      <c r="N284" s="93"/>
      <c r="P284" s="93"/>
      <c r="S284" s="2"/>
      <c r="T284" s="2"/>
      <c r="U284" s="2"/>
    </row>
    <row r="285" spans="1:21" ht="12.75">
      <c r="A285" s="35">
        <f t="shared" si="12"/>
        <v>1818</v>
      </c>
      <c r="B285" s="388"/>
      <c r="C285" s="389" t="e">
        <f>'A-G'!#REF!</f>
        <v>#REF!</v>
      </c>
      <c r="D285" s="398"/>
      <c r="E285" s="1"/>
      <c r="G285" s="5"/>
      <c r="H285" s="2"/>
      <c r="J285" s="2"/>
      <c r="L285" s="93"/>
      <c r="M285" s="96"/>
      <c r="N285" s="93"/>
      <c r="P285" s="93"/>
      <c r="S285" s="2"/>
      <c r="T285" s="2"/>
      <c r="U285" s="2"/>
    </row>
    <row r="286" spans="1:21" ht="12.75">
      <c r="A286" s="37">
        <f t="shared" si="12"/>
        <v>1819</v>
      </c>
      <c r="B286" s="38"/>
      <c r="C286" s="292"/>
      <c r="D286" s="308"/>
      <c r="E286" s="1"/>
      <c r="G286" s="5"/>
      <c r="H286" s="2"/>
      <c r="J286" s="2"/>
      <c r="L286" s="93"/>
      <c r="M286" s="96"/>
      <c r="N286" s="93"/>
      <c r="P286" s="93"/>
      <c r="S286" s="2"/>
      <c r="T286" s="2"/>
      <c r="U286" s="2"/>
    </row>
    <row r="287" spans="4:7" ht="12.75">
      <c r="D287" s="2"/>
      <c r="G287" s="2"/>
    </row>
    <row r="288" spans="1:21" ht="12.75" customHeight="1">
      <c r="A288" s="21"/>
      <c r="B288" s="105" t="s">
        <v>98</v>
      </c>
      <c r="C288" s="404" t="s">
        <v>100</v>
      </c>
      <c r="D288" s="405"/>
      <c r="G288" s="93"/>
      <c r="H288" s="96"/>
      <c r="I288" s="93"/>
      <c r="J288" s="93"/>
      <c r="K288" s="93"/>
      <c r="L288" s="93"/>
      <c r="M288" s="93"/>
      <c r="O288" s="2"/>
      <c r="P288" s="2"/>
      <c r="Q288" s="2"/>
      <c r="R288" s="2"/>
      <c r="S288" s="2"/>
      <c r="T288" s="2"/>
      <c r="U288" s="2"/>
    </row>
    <row r="289" spans="1:21" ht="12.75">
      <c r="A289" s="21"/>
      <c r="B289" s="109" t="s">
        <v>99</v>
      </c>
      <c r="C289" s="406" t="s">
        <v>101</v>
      </c>
      <c r="D289" s="407"/>
      <c r="G289" s="93"/>
      <c r="H289" s="96"/>
      <c r="I289" s="93"/>
      <c r="J289" s="93"/>
      <c r="K289" s="93"/>
      <c r="L289" s="93"/>
      <c r="M289" s="93"/>
      <c r="O289" s="2"/>
      <c r="P289" s="2"/>
      <c r="Q289" s="2"/>
      <c r="R289" s="2"/>
      <c r="S289" s="2"/>
      <c r="T289" s="2"/>
      <c r="U289" s="2"/>
    </row>
    <row r="290" spans="1:21" ht="12.75">
      <c r="A290" s="26"/>
      <c r="B290" s="29"/>
      <c r="C290" s="29"/>
      <c r="D290" s="196"/>
      <c r="G290" s="93"/>
      <c r="H290" s="96"/>
      <c r="I290" s="93"/>
      <c r="J290" s="93"/>
      <c r="K290" s="93"/>
      <c r="L290" s="93"/>
      <c r="M290" s="93"/>
      <c r="O290" s="2"/>
      <c r="P290" s="2"/>
      <c r="Q290" s="2"/>
      <c r="R290" s="2"/>
      <c r="S290" s="2"/>
      <c r="T290" s="2"/>
      <c r="U290" s="2"/>
    </row>
    <row r="291" spans="1:21" ht="12.75">
      <c r="A291" s="159" t="s">
        <v>152</v>
      </c>
      <c r="B291" s="387"/>
      <c r="C291" s="95"/>
      <c r="D291" s="408"/>
      <c r="G291" s="93"/>
      <c r="H291" s="96"/>
      <c r="I291" s="93"/>
      <c r="J291" s="93"/>
      <c r="K291" s="93"/>
      <c r="L291" s="93"/>
      <c r="M291" s="93"/>
      <c r="O291" s="2"/>
      <c r="P291" s="2"/>
      <c r="Q291" s="2"/>
      <c r="R291" s="2"/>
      <c r="S291" s="2"/>
      <c r="T291" s="2"/>
      <c r="U291" s="2"/>
    </row>
    <row r="292" spans="1:21" ht="12.75">
      <c r="A292" s="31" t="e">
        <f>'A-G'!#REF!</f>
        <v>#REF!</v>
      </c>
      <c r="B292" s="389" t="e">
        <f>'A-G'!#REF!</f>
        <v>#REF!</v>
      </c>
      <c r="C292" s="392" t="e">
        <f>'A-G'!#REF!</f>
        <v>#REF!</v>
      </c>
      <c r="D292" s="389" t="e">
        <f>#REF!</f>
        <v>#REF!</v>
      </c>
      <c r="G292" s="93"/>
      <c r="H292" s="96"/>
      <c r="I292" s="93"/>
      <c r="J292" s="93"/>
      <c r="K292" s="93"/>
      <c r="L292" s="93"/>
      <c r="M292" s="93"/>
      <c r="O292" s="2"/>
      <c r="P292" s="2"/>
      <c r="Q292" s="2"/>
      <c r="R292" s="2"/>
      <c r="S292" s="2"/>
      <c r="T292" s="2"/>
      <c r="U292" s="2"/>
    </row>
    <row r="293" spans="1:21" ht="12.75">
      <c r="A293" s="34" t="e">
        <f aca="true" t="shared" si="13" ref="A293:A305">A292+1</f>
        <v>#REF!</v>
      </c>
      <c r="B293" s="389" t="e">
        <f>'A-G'!#REF!</f>
        <v>#REF!</v>
      </c>
      <c r="C293" s="392" t="e">
        <f>'A-G'!#REF!</f>
        <v>#REF!</v>
      </c>
      <c r="D293" s="389" t="e">
        <f>#REF!</f>
        <v>#REF!</v>
      </c>
      <c r="G293" s="93"/>
      <c r="H293" s="96"/>
      <c r="I293" s="93"/>
      <c r="J293" s="93"/>
      <c r="K293" s="93"/>
      <c r="L293" s="93"/>
      <c r="M293" s="93"/>
      <c r="O293" s="2"/>
      <c r="P293" s="2"/>
      <c r="Q293" s="2"/>
      <c r="R293" s="2"/>
      <c r="S293" s="2"/>
      <c r="T293" s="2"/>
      <c r="U293" s="2"/>
    </row>
    <row r="294" spans="1:21" ht="12.75">
      <c r="A294" s="34" t="e">
        <f t="shared" si="13"/>
        <v>#REF!</v>
      </c>
      <c r="B294" s="389" t="e">
        <f>'A-G'!#REF!</f>
        <v>#REF!</v>
      </c>
      <c r="C294" s="392" t="e">
        <f>'A-G'!#REF!</f>
        <v>#REF!</v>
      </c>
      <c r="D294" s="389" t="e">
        <f>#REF!</f>
        <v>#REF!</v>
      </c>
      <c r="G294" s="93"/>
      <c r="H294" s="96"/>
      <c r="I294" s="93"/>
      <c r="J294" s="93"/>
      <c r="K294" s="93"/>
      <c r="L294" s="93"/>
      <c r="M294" s="93"/>
      <c r="O294" s="2"/>
      <c r="P294" s="2"/>
      <c r="Q294" s="2"/>
      <c r="R294" s="2"/>
      <c r="S294" s="2"/>
      <c r="T294" s="2"/>
      <c r="U294" s="2"/>
    </row>
    <row r="295" spans="1:21" ht="12.75">
      <c r="A295" s="34" t="e">
        <f t="shared" si="13"/>
        <v>#REF!</v>
      </c>
      <c r="B295" s="389" t="e">
        <f>'A-G'!#REF!</f>
        <v>#REF!</v>
      </c>
      <c r="C295" s="392" t="e">
        <f>'A-G'!#REF!</f>
        <v>#REF!</v>
      </c>
      <c r="D295" s="389" t="e">
        <f>#REF!</f>
        <v>#REF!</v>
      </c>
      <c r="G295" s="93"/>
      <c r="H295" s="96"/>
      <c r="I295" s="93"/>
      <c r="J295" s="93"/>
      <c r="K295" s="93"/>
      <c r="L295" s="93"/>
      <c r="M295" s="93"/>
      <c r="O295" s="2"/>
      <c r="P295" s="2"/>
      <c r="Q295" s="2"/>
      <c r="R295" s="2"/>
      <c r="S295" s="2"/>
      <c r="T295" s="2"/>
      <c r="U295" s="2"/>
    </row>
    <row r="296" spans="1:21" ht="12.75">
      <c r="A296" s="34" t="e">
        <f t="shared" si="13"/>
        <v>#REF!</v>
      </c>
      <c r="B296" s="389" t="e">
        <f>'A-G'!#REF!</f>
        <v>#REF!</v>
      </c>
      <c r="C296" s="392" t="e">
        <f>'A-G'!#REF!</f>
        <v>#REF!</v>
      </c>
      <c r="D296" s="389" t="e">
        <f>#REF!</f>
        <v>#REF!</v>
      </c>
      <c r="G296" s="93"/>
      <c r="H296" s="96"/>
      <c r="I296" s="93"/>
      <c r="J296" s="93"/>
      <c r="K296" s="93"/>
      <c r="L296" s="93"/>
      <c r="M296" s="93"/>
      <c r="O296" s="2"/>
      <c r="P296" s="2"/>
      <c r="Q296" s="2"/>
      <c r="R296" s="2"/>
      <c r="S296" s="2"/>
      <c r="T296" s="2"/>
      <c r="U296" s="2"/>
    </row>
    <row r="297" spans="1:21" ht="12.75">
      <c r="A297" s="34" t="e">
        <f t="shared" si="13"/>
        <v>#REF!</v>
      </c>
      <c r="B297" s="389" t="e">
        <f>'A-G'!#REF!</f>
        <v>#REF!</v>
      </c>
      <c r="C297" s="392" t="e">
        <f>'A-G'!#REF!</f>
        <v>#REF!</v>
      </c>
      <c r="D297" s="389" t="e">
        <f>#REF!</f>
        <v>#REF!</v>
      </c>
      <c r="G297" s="93"/>
      <c r="H297" s="96"/>
      <c r="I297" s="93"/>
      <c r="J297" s="93"/>
      <c r="K297" s="93"/>
      <c r="L297" s="93"/>
      <c r="M297" s="93"/>
      <c r="O297" s="2"/>
      <c r="P297" s="2"/>
      <c r="Q297" s="2"/>
      <c r="R297" s="2"/>
      <c r="S297" s="2"/>
      <c r="T297" s="2"/>
      <c r="U297" s="2"/>
    </row>
    <row r="298" spans="1:21" ht="12.75">
      <c r="A298" s="34" t="e">
        <f t="shared" si="13"/>
        <v>#REF!</v>
      </c>
      <c r="B298" s="389" t="e">
        <f>'A-G'!#REF!</f>
        <v>#REF!</v>
      </c>
      <c r="C298" s="392" t="e">
        <f>'A-G'!#REF!</f>
        <v>#REF!</v>
      </c>
      <c r="D298" s="389" t="e">
        <f>#REF!</f>
        <v>#REF!</v>
      </c>
      <c r="G298" s="93"/>
      <c r="H298" s="96"/>
      <c r="I298" s="93"/>
      <c r="J298" s="93"/>
      <c r="K298" s="93"/>
      <c r="L298" s="93"/>
      <c r="M298" s="93"/>
      <c r="O298" s="2"/>
      <c r="P298" s="2"/>
      <c r="Q298" s="2"/>
      <c r="R298" s="2"/>
      <c r="S298" s="2"/>
      <c r="T298" s="2"/>
      <c r="U298" s="2"/>
    </row>
    <row r="299" spans="1:21" ht="12.75">
      <c r="A299" s="34" t="e">
        <f t="shared" si="13"/>
        <v>#REF!</v>
      </c>
      <c r="B299" s="389" t="e">
        <f>'A-G'!#REF!</f>
        <v>#REF!</v>
      </c>
      <c r="C299" s="392" t="e">
        <f>'A-G'!#REF!</f>
        <v>#REF!</v>
      </c>
      <c r="D299" s="389" t="e">
        <f>#REF!</f>
        <v>#REF!</v>
      </c>
      <c r="G299" s="93"/>
      <c r="H299" s="96"/>
      <c r="I299" s="93"/>
      <c r="J299" s="93"/>
      <c r="K299" s="93"/>
      <c r="L299" s="93"/>
      <c r="M299" s="93"/>
      <c r="O299" s="2"/>
      <c r="P299" s="2"/>
      <c r="Q299" s="2"/>
      <c r="R299" s="2"/>
      <c r="S299" s="2"/>
      <c r="T299" s="2"/>
      <c r="U299" s="2"/>
    </row>
    <row r="300" spans="1:21" ht="12.75">
      <c r="A300" s="34" t="e">
        <f t="shared" si="13"/>
        <v>#REF!</v>
      </c>
      <c r="B300" s="389" t="e">
        <f>'A-G'!#REF!</f>
        <v>#REF!</v>
      </c>
      <c r="C300" s="392" t="e">
        <f>'A-G'!#REF!</f>
        <v>#REF!</v>
      </c>
      <c r="D300" s="389" t="e">
        <f>#REF!</f>
        <v>#REF!</v>
      </c>
      <c r="G300" s="93"/>
      <c r="H300" s="96"/>
      <c r="I300" s="93"/>
      <c r="J300" s="93"/>
      <c r="K300" s="93"/>
      <c r="L300" s="93"/>
      <c r="M300" s="93"/>
      <c r="O300" s="2"/>
      <c r="P300" s="2"/>
      <c r="Q300" s="2"/>
      <c r="R300" s="2"/>
      <c r="S300" s="2"/>
      <c r="T300" s="2"/>
      <c r="U300" s="2"/>
    </row>
    <row r="301" spans="1:21" ht="12.75">
      <c r="A301" s="34" t="e">
        <f t="shared" si="13"/>
        <v>#REF!</v>
      </c>
      <c r="B301" s="389" t="e">
        <f>'A-G'!#REF!</f>
        <v>#REF!</v>
      </c>
      <c r="C301" s="392" t="e">
        <f>'A-G'!#REF!</f>
        <v>#REF!</v>
      </c>
      <c r="D301" s="389" t="e">
        <f>#REF!</f>
        <v>#REF!</v>
      </c>
      <c r="G301" s="93"/>
      <c r="H301" s="96"/>
      <c r="I301" s="93"/>
      <c r="J301" s="93"/>
      <c r="K301" s="93"/>
      <c r="L301" s="93"/>
      <c r="M301" s="93"/>
      <c r="O301" s="2"/>
      <c r="P301" s="2"/>
      <c r="Q301" s="2"/>
      <c r="R301" s="2"/>
      <c r="S301" s="2"/>
      <c r="T301" s="2"/>
      <c r="U301" s="2"/>
    </row>
    <row r="302" spans="1:21" ht="12.75">
      <c r="A302" s="34" t="e">
        <f t="shared" si="13"/>
        <v>#REF!</v>
      </c>
      <c r="B302" s="389" t="e">
        <f>'A-G'!#REF!</f>
        <v>#REF!</v>
      </c>
      <c r="C302" s="392" t="e">
        <f>'A-G'!#REF!</f>
        <v>#REF!</v>
      </c>
      <c r="D302" s="389" t="e">
        <f>#REF!</f>
        <v>#REF!</v>
      </c>
      <c r="G302" s="93"/>
      <c r="H302" s="96"/>
      <c r="I302" s="93"/>
      <c r="J302" s="93"/>
      <c r="K302" s="93"/>
      <c r="L302" s="93"/>
      <c r="M302" s="93"/>
      <c r="O302" s="2"/>
      <c r="P302" s="2"/>
      <c r="Q302" s="2"/>
      <c r="R302" s="2"/>
      <c r="S302" s="2"/>
      <c r="T302" s="2"/>
      <c r="U302" s="2"/>
    </row>
    <row r="303" spans="1:21" ht="12.75">
      <c r="A303" s="34" t="e">
        <f t="shared" si="13"/>
        <v>#REF!</v>
      </c>
      <c r="B303" s="389" t="e">
        <f>'A-G'!#REF!</f>
        <v>#REF!</v>
      </c>
      <c r="C303" s="392" t="e">
        <f>'A-G'!#REF!</f>
        <v>#REF!</v>
      </c>
      <c r="D303" s="389" t="e">
        <f>#REF!</f>
        <v>#REF!</v>
      </c>
      <c r="G303" s="93"/>
      <c r="H303" s="96"/>
      <c r="I303" s="93"/>
      <c r="J303" s="93"/>
      <c r="K303" s="93"/>
      <c r="L303" s="93"/>
      <c r="M303" s="93"/>
      <c r="O303" s="2"/>
      <c r="P303" s="2"/>
      <c r="Q303" s="2"/>
      <c r="R303" s="2"/>
      <c r="S303" s="2"/>
      <c r="T303" s="2"/>
      <c r="U303" s="2"/>
    </row>
    <row r="304" spans="1:21" ht="12.75">
      <c r="A304" s="35" t="e">
        <f t="shared" si="13"/>
        <v>#REF!</v>
      </c>
      <c r="B304" s="389" t="e">
        <f>'A-G'!#REF!</f>
        <v>#REF!</v>
      </c>
      <c r="C304" s="409" t="e">
        <f>'A-G'!#REF!</f>
        <v>#REF!</v>
      </c>
      <c r="D304" s="389" t="e">
        <f>#REF!</f>
        <v>#REF!</v>
      </c>
      <c r="G304" s="93"/>
      <c r="H304" s="96"/>
      <c r="I304" s="93"/>
      <c r="J304" s="93"/>
      <c r="K304" s="93"/>
      <c r="L304" s="93"/>
      <c r="M304" s="93"/>
      <c r="O304" s="2"/>
      <c r="P304" s="2"/>
      <c r="Q304" s="2"/>
      <c r="R304" s="2"/>
      <c r="S304" s="2"/>
      <c r="T304" s="2"/>
      <c r="U304" s="2"/>
    </row>
    <row r="305" spans="1:21" ht="12.75">
      <c r="A305" s="37" t="e">
        <f t="shared" si="13"/>
        <v>#REF!</v>
      </c>
      <c r="B305" s="292"/>
      <c r="C305" s="329"/>
      <c r="D305" s="329"/>
      <c r="G305" s="93"/>
      <c r="H305" s="96"/>
      <c r="I305" s="93"/>
      <c r="J305" s="93"/>
      <c r="K305" s="93"/>
      <c r="L305" s="93"/>
      <c r="M305" s="93"/>
      <c r="O305" s="2"/>
      <c r="P305" s="2"/>
      <c r="Q305" s="2"/>
      <c r="R305" s="2"/>
      <c r="S305" s="2"/>
      <c r="T305" s="2"/>
      <c r="U305" s="2"/>
    </row>
    <row r="306" spans="1:21" ht="12.75">
      <c r="A306" s="41"/>
      <c r="B306" s="42"/>
      <c r="C306" s="90"/>
      <c r="D306" s="42"/>
      <c r="E306" s="42"/>
      <c r="F306" s="42"/>
      <c r="G306" s="2"/>
      <c r="H306" s="2"/>
      <c r="J306" s="93"/>
      <c r="K306" s="96"/>
      <c r="L306" s="93"/>
      <c r="M306" s="93"/>
      <c r="N306" s="93"/>
      <c r="P306" s="93"/>
      <c r="Q306" s="2"/>
      <c r="R306" s="2"/>
      <c r="S306" s="2"/>
      <c r="T306" s="2"/>
      <c r="U306" s="2"/>
    </row>
    <row r="307" spans="1:21" ht="12.75">
      <c r="A307" s="211"/>
      <c r="B307" s="212" t="s">
        <v>71</v>
      </c>
      <c r="C307" s="25" t="s">
        <v>155</v>
      </c>
      <c r="D307" s="25" t="s">
        <v>294</v>
      </c>
      <c r="G307" s="2"/>
      <c r="H307" s="93"/>
      <c r="I307" s="96"/>
      <c r="J307" s="93"/>
      <c r="K307" s="93"/>
      <c r="L307" s="93"/>
      <c r="M307" s="93"/>
      <c r="N307" s="93"/>
      <c r="O307" s="2"/>
      <c r="P307" s="2"/>
      <c r="Q307" s="2"/>
      <c r="R307" s="2"/>
      <c r="S307" s="2"/>
      <c r="T307" s="2"/>
      <c r="U307" s="2"/>
    </row>
    <row r="308" spans="1:21" ht="12.75">
      <c r="A308" s="14"/>
      <c r="B308" s="29"/>
      <c r="C308" s="42"/>
      <c r="D308" s="161"/>
      <c r="E308" s="90"/>
      <c r="F308" s="90"/>
      <c r="G308" s="29"/>
      <c r="H308" s="42"/>
      <c r="I308" s="161"/>
      <c r="J308" s="2"/>
      <c r="M308" s="93"/>
      <c r="N308" s="96"/>
      <c r="P308" s="93"/>
      <c r="T308" s="2"/>
      <c r="U308" s="2"/>
    </row>
    <row r="309" spans="1:21" ht="12.75">
      <c r="A309" s="41" t="s">
        <v>153</v>
      </c>
      <c r="B309" s="163"/>
      <c r="C309" s="42"/>
      <c r="D309" s="42"/>
      <c r="E309" s="90"/>
      <c r="F309" s="90"/>
      <c r="G309" s="163"/>
      <c r="H309" s="42"/>
      <c r="I309" s="42"/>
      <c r="J309" s="2"/>
      <c r="M309" s="93"/>
      <c r="N309" s="96"/>
      <c r="P309" s="93"/>
      <c r="T309" s="2"/>
      <c r="U309" s="2"/>
    </row>
    <row r="310" spans="1:21" ht="12.75">
      <c r="A310" s="262" t="e">
        <f>A305+1</f>
        <v>#REF!</v>
      </c>
      <c r="B310" s="270">
        <f>'A-G'!F80</f>
        <v>9.5</v>
      </c>
      <c r="C310" s="367"/>
      <c r="D310" s="5"/>
      <c r="E310" s="31" t="e">
        <f>A315+1</f>
        <v>#REF!</v>
      </c>
      <c r="F310" s="270">
        <f>'A-G'!F86</f>
        <v>3.5</v>
      </c>
      <c r="G310" s="2"/>
      <c r="H310" s="2"/>
      <c r="J310" s="93"/>
      <c r="K310" s="96"/>
      <c r="L310" s="93"/>
      <c r="M310" s="93"/>
      <c r="N310" s="93"/>
      <c r="P310" s="93"/>
      <c r="Q310" s="2"/>
      <c r="R310" s="2"/>
      <c r="S310" s="2"/>
      <c r="T310" s="2"/>
      <c r="U310" s="2"/>
    </row>
    <row r="311" spans="1:21" ht="12.75">
      <c r="A311" s="34" t="e">
        <f>A310+1</f>
        <v>#REF!</v>
      </c>
      <c r="B311" s="270">
        <f>'A-G'!F81</f>
        <v>8.5</v>
      </c>
      <c r="C311" s="367"/>
      <c r="D311" s="5"/>
      <c r="E311" s="34" t="e">
        <f>E310+1</f>
        <v>#REF!</v>
      </c>
      <c r="F311" s="270">
        <f>'A-G'!F88</f>
        <v>1.5</v>
      </c>
      <c r="G311" s="2"/>
      <c r="H311" s="2"/>
      <c r="J311" s="93"/>
      <c r="K311" s="96"/>
      <c r="L311" s="93"/>
      <c r="M311" s="93"/>
      <c r="N311" s="93"/>
      <c r="P311" s="93"/>
      <c r="Q311" s="2"/>
      <c r="R311" s="2"/>
      <c r="S311" s="2"/>
      <c r="T311" s="2"/>
      <c r="U311" s="2"/>
    </row>
    <row r="312" spans="1:21" ht="12.75">
      <c r="A312" s="34" t="e">
        <f>A311+1</f>
        <v>#REF!</v>
      </c>
      <c r="B312" s="270">
        <f>'A-G'!F82</f>
        <v>7.5</v>
      </c>
      <c r="C312" s="367"/>
      <c r="D312" s="5"/>
      <c r="E312" s="34" t="e">
        <f>E311+1</f>
        <v>#REF!</v>
      </c>
      <c r="F312" s="270" t="e">
        <f>'A-G'!#REF!</f>
        <v>#REF!</v>
      </c>
      <c r="G312" s="2"/>
      <c r="H312" s="2"/>
      <c r="J312" s="93"/>
      <c r="K312" s="96"/>
      <c r="L312" s="93"/>
      <c r="M312" s="93"/>
      <c r="N312" s="93"/>
      <c r="P312" s="93"/>
      <c r="Q312" s="2"/>
      <c r="R312" s="2"/>
      <c r="S312" s="2"/>
      <c r="T312" s="2"/>
      <c r="U312" s="2"/>
    </row>
    <row r="313" spans="1:21" ht="12.75">
      <c r="A313" s="34" t="e">
        <f>A312+1</f>
        <v>#REF!</v>
      </c>
      <c r="B313" s="270">
        <f>'A-G'!F83</f>
        <v>6.5</v>
      </c>
      <c r="C313" s="367"/>
      <c r="D313" s="5"/>
      <c r="E313" s="34" t="e">
        <f>E312+1</f>
        <v>#REF!</v>
      </c>
      <c r="F313" s="270" t="e">
        <f>'A-G'!#REF!</f>
        <v>#REF!</v>
      </c>
      <c r="G313" s="2"/>
      <c r="H313" s="2"/>
      <c r="J313" s="93"/>
      <c r="K313" s="96"/>
      <c r="L313" s="93"/>
      <c r="M313" s="93"/>
      <c r="N313" s="93"/>
      <c r="P313" s="93"/>
      <c r="Q313" s="2"/>
      <c r="R313" s="2"/>
      <c r="S313" s="2"/>
      <c r="T313" s="2"/>
      <c r="U313" s="2"/>
    </row>
    <row r="314" spans="1:21" ht="12.75">
      <c r="A314" s="54" t="e">
        <f>A312+1</f>
        <v>#REF!</v>
      </c>
      <c r="B314" s="270">
        <f>'A-G'!F84</f>
        <v>5.5</v>
      </c>
      <c r="C314" s="367"/>
      <c r="D314" s="5"/>
      <c r="E314" s="34" t="e">
        <f>E313+1</f>
        <v>#REF!</v>
      </c>
      <c r="F314" s="270">
        <f>'A-G'!F89</f>
        <v>0.5</v>
      </c>
      <c r="G314" s="2"/>
      <c r="H314" s="2"/>
      <c r="J314" s="93"/>
      <c r="K314" s="96"/>
      <c r="L314" s="93"/>
      <c r="M314" s="93"/>
      <c r="N314" s="93"/>
      <c r="P314" s="93"/>
      <c r="Q314" s="2"/>
      <c r="R314" s="2"/>
      <c r="S314" s="2"/>
      <c r="T314" s="2"/>
      <c r="U314" s="2"/>
    </row>
    <row r="315" spans="1:21" ht="12.75">
      <c r="A315" s="54" t="e">
        <f>A313+1</f>
        <v>#REF!</v>
      </c>
      <c r="B315" s="270">
        <f>'A-G'!F85</f>
        <v>4.5</v>
      </c>
      <c r="C315" s="367"/>
      <c r="D315" s="5"/>
      <c r="E315" s="37" t="e">
        <f>E314+1</f>
        <v>#REF!</v>
      </c>
      <c r="F315" s="344"/>
      <c r="G315" s="2"/>
      <c r="H315" s="2"/>
      <c r="J315" s="93"/>
      <c r="K315" s="96"/>
      <c r="L315" s="93"/>
      <c r="M315" s="93"/>
      <c r="N315" s="93"/>
      <c r="P315" s="93"/>
      <c r="Q315" s="2"/>
      <c r="R315" s="2"/>
      <c r="S315" s="2"/>
      <c r="T315" s="2"/>
      <c r="U315" s="2"/>
    </row>
    <row r="316" spans="1:11" ht="12.75">
      <c r="A316" s="162" t="e">
        <f>CONCATENATE("* zie onderbouwing regel 40 laatste rekenstaat ",#REF!,)</f>
        <v>#REF!</v>
      </c>
      <c r="B316" s="132"/>
      <c r="C316" s="328"/>
      <c r="D316" s="345"/>
      <c r="E316" s="328"/>
      <c r="F316" s="5"/>
      <c r="G316" s="165"/>
      <c r="H316" s="87"/>
      <c r="I316" s="87"/>
      <c r="J316" s="87"/>
      <c r="K316" s="87"/>
    </row>
    <row r="317" spans="1:10" ht="12.75">
      <c r="A317" s="166"/>
      <c r="B317" s="163"/>
      <c r="C317" s="163"/>
      <c r="D317" s="163"/>
      <c r="E317" s="164"/>
      <c r="F317" s="165"/>
      <c r="G317" s="165"/>
      <c r="H317" s="119"/>
      <c r="I317" s="119"/>
      <c r="J317" s="2"/>
    </row>
    <row r="318" spans="1:21" ht="12.75">
      <c r="A318" s="41" t="s">
        <v>156</v>
      </c>
      <c r="B318" s="27" t="s">
        <v>293</v>
      </c>
      <c r="D318" s="2"/>
      <c r="G318" s="2"/>
      <c r="H318" s="93"/>
      <c r="I318" s="96"/>
      <c r="J318" s="93"/>
      <c r="K318" s="93"/>
      <c r="L318" s="93"/>
      <c r="M318" s="93"/>
      <c r="N318" s="93"/>
      <c r="O318" s="2"/>
      <c r="P318" s="2"/>
      <c r="Q318" s="2"/>
      <c r="R318" s="2"/>
      <c r="S318" s="2"/>
      <c r="T318" s="2"/>
      <c r="U318" s="2"/>
    </row>
    <row r="319" spans="1:21" ht="12.75">
      <c r="A319" s="37" t="e">
        <f>Uitvoer!E315+1</f>
        <v>#REF!</v>
      </c>
      <c r="B319" s="134"/>
      <c r="C319" s="190"/>
      <c r="D319" s="410">
        <f>Uitvoer!F170</f>
        <v>0</v>
      </c>
      <c r="G319" s="2"/>
      <c r="H319" s="93"/>
      <c r="I319" s="96"/>
      <c r="J319" s="93"/>
      <c r="K319" s="93"/>
      <c r="L319" s="93"/>
      <c r="M319" s="93"/>
      <c r="N319" s="93"/>
      <c r="O319" s="2"/>
      <c r="P319" s="2"/>
      <c r="Q319" s="2"/>
      <c r="R319" s="2"/>
      <c r="S319" s="2"/>
      <c r="T319" s="2"/>
      <c r="U319" s="2"/>
    </row>
    <row r="320" spans="1:21" ht="12.75">
      <c r="A320" s="37" t="e">
        <f>A319+1</f>
        <v>#REF!</v>
      </c>
      <c r="B320" s="191"/>
      <c r="C320" s="192"/>
      <c r="D320" s="295">
        <v>1138502</v>
      </c>
      <c r="G320" s="2"/>
      <c r="H320" s="93"/>
      <c r="I320" s="96"/>
      <c r="J320" s="93"/>
      <c r="K320" s="93"/>
      <c r="L320" s="93"/>
      <c r="M320" s="93"/>
      <c r="N320" s="93"/>
      <c r="O320" s="2"/>
      <c r="P320" s="2"/>
      <c r="Q320" s="2"/>
      <c r="R320" s="2"/>
      <c r="S320" s="2"/>
      <c r="T320" s="2"/>
      <c r="U320" s="2"/>
    </row>
    <row r="321" spans="1:21" ht="12.75">
      <c r="A321" s="37" t="e">
        <f>A320+1</f>
        <v>#REF!</v>
      </c>
      <c r="B321" s="193"/>
      <c r="C321" s="194"/>
      <c r="D321" s="195"/>
      <c r="G321" s="2"/>
      <c r="H321" s="93"/>
      <c r="I321" s="96"/>
      <c r="J321" s="93"/>
      <c r="K321" s="93"/>
      <c r="L321" s="93"/>
      <c r="M321" s="93"/>
      <c r="N321" s="93"/>
      <c r="O321" s="2"/>
      <c r="P321" s="2"/>
      <c r="Q321" s="2"/>
      <c r="R321" s="2"/>
      <c r="S321" s="2"/>
      <c r="T321" s="2"/>
      <c r="U321" s="2"/>
    </row>
    <row r="322" spans="3:10" ht="12.75">
      <c r="C322" s="5"/>
      <c r="D322" s="2"/>
      <c r="G322" s="2"/>
      <c r="H322" s="2"/>
      <c r="J322" s="2"/>
    </row>
    <row r="323" spans="1:21" ht="12.75">
      <c r="A323" s="213"/>
      <c r="B323" s="213"/>
      <c r="C323" s="214" t="s">
        <v>80</v>
      </c>
      <c r="D323" s="215" t="s">
        <v>91</v>
      </c>
      <c r="E323" s="215" t="s">
        <v>92</v>
      </c>
      <c r="F323" s="215" t="s">
        <v>73</v>
      </c>
      <c r="G323" s="411" t="e">
        <f>CONCATENATE("Aflossing ",#REF!)</f>
        <v>#REF!</v>
      </c>
      <c r="H323" s="302"/>
      <c r="I323" s="302"/>
      <c r="J323" s="302"/>
      <c r="K323" s="302"/>
      <c r="L323" s="302"/>
      <c r="M323" s="302"/>
      <c r="N323" s="303"/>
      <c r="O323" s="198" t="s">
        <v>339</v>
      </c>
      <c r="P323" s="93"/>
      <c r="T323" s="2"/>
      <c r="U323" s="2"/>
    </row>
    <row r="324" spans="1:21" ht="12.75">
      <c r="A324" s="216"/>
      <c r="B324" s="216"/>
      <c r="C324" s="217"/>
      <c r="D324" s="217"/>
      <c r="E324" s="217"/>
      <c r="F324" s="218" t="e">
        <f>CONCATENATE("31-12-",#REF!-1," ")</f>
        <v>#REF!</v>
      </c>
      <c r="G324" s="219" t="s">
        <v>93</v>
      </c>
      <c r="H324" s="220" t="s">
        <v>88</v>
      </c>
      <c r="I324" s="411" t="s">
        <v>89</v>
      </c>
      <c r="J324" s="412"/>
      <c r="K324" s="412"/>
      <c r="L324" s="412"/>
      <c r="M324" s="412"/>
      <c r="N324" s="413"/>
      <c r="O324" s="109" t="s">
        <v>340</v>
      </c>
      <c r="P324" s="93"/>
      <c r="Q324" s="2"/>
      <c r="R324" s="2"/>
      <c r="S324" s="2"/>
      <c r="T324" s="2"/>
      <c r="U324" s="2"/>
    </row>
    <row r="325" spans="1:21" ht="12.75">
      <c r="A325" s="169"/>
      <c r="B325" s="169"/>
      <c r="C325" s="92"/>
      <c r="D325" s="92"/>
      <c r="E325" s="92"/>
      <c r="F325" s="92"/>
      <c r="G325" s="92"/>
      <c r="H325" s="92"/>
      <c r="I325" s="92"/>
      <c r="J325" s="91"/>
      <c r="K325" s="92"/>
      <c r="L325" s="92"/>
      <c r="M325" s="92"/>
      <c r="N325" s="92"/>
      <c r="O325" s="92"/>
      <c r="P325" s="93"/>
      <c r="Q325" s="2"/>
      <c r="R325" s="2"/>
      <c r="S325" s="2"/>
      <c r="T325" s="2"/>
      <c r="U325" s="2"/>
    </row>
    <row r="326" spans="1:21" ht="12.75">
      <c r="A326" s="41" t="s">
        <v>296</v>
      </c>
      <c r="B326" s="167"/>
      <c r="C326" s="168"/>
      <c r="D326" s="168"/>
      <c r="E326" s="168"/>
      <c r="F326" s="168"/>
      <c r="G326" s="168"/>
      <c r="H326" s="168"/>
      <c r="I326" s="168"/>
      <c r="J326" s="168"/>
      <c r="K326" s="168"/>
      <c r="L326" s="168"/>
      <c r="M326" s="168"/>
      <c r="N326" s="42"/>
      <c r="P326" s="2"/>
      <c r="Q326" s="2"/>
      <c r="R326" s="2"/>
      <c r="S326" s="2"/>
      <c r="T326" s="2"/>
      <c r="U326" s="2"/>
    </row>
    <row r="327" spans="1:21" ht="12.75">
      <c r="A327" s="31">
        <f>H!A8</f>
        <v>2101</v>
      </c>
      <c r="B327" s="414">
        <f>H!B8</f>
        <v>0</v>
      </c>
      <c r="C327" s="136">
        <f>H!D8</f>
        <v>0</v>
      </c>
      <c r="D327" s="415">
        <f>H!E8</f>
        <v>0</v>
      </c>
      <c r="E327" s="270">
        <f>H!F8</f>
        <v>0</v>
      </c>
      <c r="F327" s="270">
        <f>H!H8</f>
        <v>0</v>
      </c>
      <c r="G327" s="270">
        <f>H!I8</f>
        <v>0</v>
      </c>
      <c r="H327" s="266">
        <f>H!J8</f>
        <v>0</v>
      </c>
      <c r="I327" s="266">
        <f>H!K8</f>
        <v>0</v>
      </c>
      <c r="J327" s="266">
        <f>H!L8</f>
        <v>0</v>
      </c>
      <c r="K327" s="266">
        <f>H!M8</f>
        <v>0</v>
      </c>
      <c r="L327" s="266">
        <f>H!N8</f>
        <v>0</v>
      </c>
      <c r="M327" s="266">
        <f>H!O8</f>
        <v>0</v>
      </c>
      <c r="N327" s="266">
        <f>H!P8</f>
        <v>0</v>
      </c>
      <c r="O327" s="270">
        <f>H!S8</f>
        <v>0</v>
      </c>
      <c r="P327" s="93"/>
      <c r="Q327" s="2"/>
      <c r="R327" s="2"/>
      <c r="S327" s="2"/>
      <c r="T327" s="2"/>
      <c r="U327" s="2"/>
    </row>
    <row r="328" spans="1:21" ht="12.75">
      <c r="A328" s="31">
        <f aca="true" t="shared" si="14" ref="A328:A350">A327+1</f>
        <v>2102</v>
      </c>
      <c r="B328" s="414">
        <f>H!B9</f>
        <v>0</v>
      </c>
      <c r="C328" s="136">
        <f>H!D9</f>
        <v>0</v>
      </c>
      <c r="D328" s="415">
        <f>H!E9</f>
        <v>0</v>
      </c>
      <c r="E328" s="270">
        <f>H!F9</f>
        <v>0</v>
      </c>
      <c r="F328" s="270">
        <f>H!H9</f>
        <v>0</v>
      </c>
      <c r="G328" s="270">
        <f>H!I9</f>
        <v>0</v>
      </c>
      <c r="H328" s="266">
        <f>H!J9</f>
        <v>0</v>
      </c>
      <c r="I328" s="266">
        <f>H!K9</f>
        <v>0</v>
      </c>
      <c r="J328" s="266">
        <f>H!L9</f>
        <v>0</v>
      </c>
      <c r="K328" s="266">
        <f>H!M9</f>
        <v>0</v>
      </c>
      <c r="L328" s="266">
        <f>H!N9</f>
        <v>0</v>
      </c>
      <c r="M328" s="266">
        <f>H!O9</f>
        <v>0</v>
      </c>
      <c r="N328" s="266">
        <f>H!P9</f>
        <v>0</v>
      </c>
      <c r="O328" s="270">
        <f>H!T9</f>
        <v>0</v>
      </c>
      <c r="P328" s="93"/>
      <c r="Q328" s="2"/>
      <c r="R328" s="2"/>
      <c r="S328" s="2"/>
      <c r="T328" s="2"/>
      <c r="U328" s="2"/>
    </row>
    <row r="329" spans="1:21" ht="12.75">
      <c r="A329" s="31">
        <f t="shared" si="14"/>
        <v>2103</v>
      </c>
      <c r="B329" s="414">
        <f>H!B10</f>
        <v>0</v>
      </c>
      <c r="C329" s="136">
        <f>H!D10</f>
        <v>0</v>
      </c>
      <c r="D329" s="415">
        <f>H!E10</f>
        <v>0</v>
      </c>
      <c r="E329" s="270">
        <f>H!F10</f>
        <v>0</v>
      </c>
      <c r="F329" s="270">
        <f>H!H10</f>
        <v>0</v>
      </c>
      <c r="G329" s="270">
        <f>H!I10</f>
        <v>0</v>
      </c>
      <c r="H329" s="266">
        <f>H!J10</f>
        <v>0</v>
      </c>
      <c r="I329" s="266">
        <f>H!K10</f>
        <v>0</v>
      </c>
      <c r="J329" s="266">
        <f>H!L10</f>
        <v>0</v>
      </c>
      <c r="K329" s="266">
        <f>H!M10</f>
        <v>0</v>
      </c>
      <c r="L329" s="266">
        <f>H!N10</f>
        <v>0</v>
      </c>
      <c r="M329" s="266">
        <f>H!O10</f>
        <v>0</v>
      </c>
      <c r="N329" s="266">
        <f>H!P10</f>
        <v>0</v>
      </c>
      <c r="O329" s="270">
        <f>H!T10</f>
        <v>0</v>
      </c>
      <c r="P329" s="93"/>
      <c r="Q329" s="2"/>
      <c r="R329" s="2"/>
      <c r="S329" s="2"/>
      <c r="T329" s="2"/>
      <c r="U329" s="2"/>
    </row>
    <row r="330" spans="1:21" ht="12.75">
      <c r="A330" s="31">
        <f t="shared" si="14"/>
        <v>2104</v>
      </c>
      <c r="B330" s="414">
        <f>H!B11</f>
        <v>0</v>
      </c>
      <c r="C330" s="136">
        <f>H!D11</f>
        <v>0</v>
      </c>
      <c r="D330" s="415">
        <f>H!E11</f>
        <v>0</v>
      </c>
      <c r="E330" s="270">
        <f>H!F11</f>
        <v>0</v>
      </c>
      <c r="F330" s="270">
        <f>H!H11</f>
        <v>0</v>
      </c>
      <c r="G330" s="270">
        <f>H!I11</f>
        <v>0</v>
      </c>
      <c r="H330" s="266">
        <f>H!J11</f>
        <v>0</v>
      </c>
      <c r="I330" s="266">
        <f>H!K11</f>
        <v>0</v>
      </c>
      <c r="J330" s="266">
        <f>H!L11</f>
        <v>0</v>
      </c>
      <c r="K330" s="266">
        <f>H!M11</f>
        <v>0</v>
      </c>
      <c r="L330" s="266">
        <f>H!N11</f>
        <v>0</v>
      </c>
      <c r="M330" s="266">
        <f>H!O11</f>
        <v>0</v>
      </c>
      <c r="N330" s="266">
        <f>H!P11</f>
        <v>0</v>
      </c>
      <c r="O330" s="270">
        <f>H!T11</f>
        <v>0</v>
      </c>
      <c r="P330" s="93"/>
      <c r="Q330" s="2"/>
      <c r="R330" s="2"/>
      <c r="S330" s="2"/>
      <c r="T330" s="2"/>
      <c r="U330" s="2"/>
    </row>
    <row r="331" spans="1:21" ht="12.75">
      <c r="A331" s="31">
        <f t="shared" si="14"/>
        <v>2105</v>
      </c>
      <c r="B331" s="414">
        <f>H!B12</f>
        <v>0</v>
      </c>
      <c r="C331" s="136">
        <f>H!D12</f>
        <v>0</v>
      </c>
      <c r="D331" s="415">
        <f>H!E12</f>
        <v>0</v>
      </c>
      <c r="E331" s="270">
        <f>H!F12</f>
        <v>0</v>
      </c>
      <c r="F331" s="270">
        <f>H!H12</f>
        <v>0</v>
      </c>
      <c r="G331" s="270">
        <f>H!I12</f>
        <v>0</v>
      </c>
      <c r="H331" s="266">
        <f>H!J12</f>
        <v>0</v>
      </c>
      <c r="I331" s="266">
        <f>H!K12</f>
        <v>0</v>
      </c>
      <c r="J331" s="266">
        <f>H!L12</f>
        <v>0</v>
      </c>
      <c r="K331" s="266">
        <f>H!M12</f>
        <v>0</v>
      </c>
      <c r="L331" s="266">
        <f>H!N12</f>
        <v>0</v>
      </c>
      <c r="M331" s="266">
        <f>H!O12</f>
        <v>0</v>
      </c>
      <c r="N331" s="266">
        <f>H!P12</f>
        <v>0</v>
      </c>
      <c r="O331" s="270">
        <f>H!T12</f>
        <v>0</v>
      </c>
      <c r="P331" s="93"/>
      <c r="Q331" s="2"/>
      <c r="R331" s="2"/>
      <c r="S331" s="2"/>
      <c r="T331" s="2"/>
      <c r="U331" s="2"/>
    </row>
    <row r="332" spans="1:21" ht="12.75">
      <c r="A332" s="31">
        <f t="shared" si="14"/>
        <v>2106</v>
      </c>
      <c r="B332" s="414">
        <f>H!B13</f>
        <v>0</v>
      </c>
      <c r="C332" s="136">
        <f>H!D13</f>
        <v>0</v>
      </c>
      <c r="D332" s="415">
        <f>H!E13</f>
        <v>0</v>
      </c>
      <c r="E332" s="270">
        <f>H!F13</f>
        <v>0</v>
      </c>
      <c r="F332" s="270">
        <f>H!H13</f>
        <v>0</v>
      </c>
      <c r="G332" s="270">
        <f>H!I13</f>
        <v>0</v>
      </c>
      <c r="H332" s="266">
        <f>H!J13</f>
        <v>0</v>
      </c>
      <c r="I332" s="266">
        <f>H!K13</f>
        <v>0</v>
      </c>
      <c r="J332" s="266">
        <f>H!L13</f>
        <v>0</v>
      </c>
      <c r="K332" s="266">
        <f>H!M13</f>
        <v>0</v>
      </c>
      <c r="L332" s="266">
        <f>H!N13</f>
        <v>0</v>
      </c>
      <c r="M332" s="266">
        <f>H!O13</f>
        <v>0</v>
      </c>
      <c r="N332" s="266">
        <f>H!P13</f>
        <v>0</v>
      </c>
      <c r="O332" s="270">
        <f>H!T13</f>
        <v>0</v>
      </c>
      <c r="P332" s="93"/>
      <c r="Q332" s="2"/>
      <c r="R332" s="2"/>
      <c r="S332" s="2"/>
      <c r="T332" s="2"/>
      <c r="U332" s="2"/>
    </row>
    <row r="333" spans="1:21" ht="12.75">
      <c r="A333" s="31">
        <f t="shared" si="14"/>
        <v>2107</v>
      </c>
      <c r="B333" s="414">
        <f>H!B14</f>
        <v>0</v>
      </c>
      <c r="C333" s="136">
        <f>H!D14</f>
        <v>0</v>
      </c>
      <c r="D333" s="415">
        <f>H!E14</f>
        <v>0</v>
      </c>
      <c r="E333" s="270">
        <f>H!F14</f>
        <v>0</v>
      </c>
      <c r="F333" s="270">
        <f>H!H14</f>
        <v>0</v>
      </c>
      <c r="G333" s="270">
        <f>H!I14</f>
        <v>0</v>
      </c>
      <c r="H333" s="266">
        <f>H!J14</f>
        <v>0</v>
      </c>
      <c r="I333" s="266">
        <f>H!K14</f>
        <v>0</v>
      </c>
      <c r="J333" s="266">
        <f>H!L14</f>
        <v>0</v>
      </c>
      <c r="K333" s="266">
        <f>H!M14</f>
        <v>0</v>
      </c>
      <c r="L333" s="266">
        <f>H!N14</f>
        <v>0</v>
      </c>
      <c r="M333" s="266">
        <f>H!O14</f>
        <v>0</v>
      </c>
      <c r="N333" s="266">
        <f>H!P14</f>
        <v>0</v>
      </c>
      <c r="O333" s="270">
        <f>H!T14</f>
        <v>0</v>
      </c>
      <c r="P333" s="93"/>
      <c r="Q333" s="2"/>
      <c r="R333" s="2"/>
      <c r="S333" s="2"/>
      <c r="T333" s="2"/>
      <c r="U333" s="2"/>
    </row>
    <row r="334" spans="1:21" ht="12.75">
      <c r="A334" s="31">
        <f t="shared" si="14"/>
        <v>2108</v>
      </c>
      <c r="B334" s="414">
        <f>H!B15</f>
        <v>0</v>
      </c>
      <c r="C334" s="136">
        <f>H!D15</f>
        <v>0</v>
      </c>
      <c r="D334" s="415">
        <f>H!E15</f>
        <v>0</v>
      </c>
      <c r="E334" s="270">
        <f>H!F15</f>
        <v>0</v>
      </c>
      <c r="F334" s="270">
        <f>H!H15</f>
        <v>0</v>
      </c>
      <c r="G334" s="270">
        <f>H!I15</f>
        <v>0</v>
      </c>
      <c r="H334" s="266">
        <f>H!J15</f>
        <v>0</v>
      </c>
      <c r="I334" s="266">
        <f>H!K15</f>
        <v>0</v>
      </c>
      <c r="J334" s="266">
        <f>H!L15</f>
        <v>0</v>
      </c>
      <c r="K334" s="266">
        <f>H!M15</f>
        <v>0</v>
      </c>
      <c r="L334" s="266">
        <f>H!N15</f>
        <v>0</v>
      </c>
      <c r="M334" s="266">
        <f>H!O15</f>
        <v>0</v>
      </c>
      <c r="N334" s="266">
        <f>H!P15</f>
        <v>0</v>
      </c>
      <c r="O334" s="270">
        <f>H!T15</f>
        <v>0</v>
      </c>
      <c r="P334" s="93"/>
      <c r="Q334" s="2"/>
      <c r="R334" s="2"/>
      <c r="S334" s="2"/>
      <c r="T334" s="2"/>
      <c r="U334" s="2"/>
    </row>
    <row r="335" spans="1:21" ht="12.75">
      <c r="A335" s="31">
        <f t="shared" si="14"/>
        <v>2109</v>
      </c>
      <c r="B335" s="414">
        <f>H!B16</f>
        <v>0</v>
      </c>
      <c r="C335" s="136">
        <f>H!D16</f>
        <v>0</v>
      </c>
      <c r="D335" s="415">
        <f>H!E16</f>
        <v>0</v>
      </c>
      <c r="E335" s="270">
        <f>H!F16</f>
        <v>0</v>
      </c>
      <c r="F335" s="270">
        <f>H!H16</f>
        <v>0</v>
      </c>
      <c r="G335" s="270">
        <f>H!I16</f>
        <v>0</v>
      </c>
      <c r="H335" s="266">
        <f>H!J16</f>
        <v>0</v>
      </c>
      <c r="I335" s="266">
        <f>H!K16</f>
        <v>0</v>
      </c>
      <c r="J335" s="266">
        <f>H!L16</f>
        <v>0</v>
      </c>
      <c r="K335" s="266">
        <f>H!M16</f>
        <v>0</v>
      </c>
      <c r="L335" s="266">
        <f>H!N16</f>
        <v>0</v>
      </c>
      <c r="M335" s="266">
        <f>H!O16</f>
        <v>0</v>
      </c>
      <c r="N335" s="266">
        <f>H!P16</f>
        <v>0</v>
      </c>
      <c r="O335" s="270">
        <f>H!T16</f>
        <v>0</v>
      </c>
      <c r="P335" s="93"/>
      <c r="Q335" s="2"/>
      <c r="R335" s="2"/>
      <c r="S335" s="2"/>
      <c r="T335" s="2"/>
      <c r="U335" s="2"/>
    </row>
    <row r="336" spans="1:21" ht="12.75">
      <c r="A336" s="31">
        <f t="shared" si="14"/>
        <v>2110</v>
      </c>
      <c r="B336" s="414">
        <f>H!B17</f>
        <v>0</v>
      </c>
      <c r="C336" s="136">
        <f>H!D17</f>
        <v>0</v>
      </c>
      <c r="D336" s="415">
        <f>H!E17</f>
        <v>0</v>
      </c>
      <c r="E336" s="270">
        <f>H!F17</f>
        <v>0</v>
      </c>
      <c r="F336" s="270">
        <f>H!H17</f>
        <v>0</v>
      </c>
      <c r="G336" s="270">
        <f>H!I17</f>
        <v>0</v>
      </c>
      <c r="H336" s="266">
        <f>H!J17</f>
        <v>0</v>
      </c>
      <c r="I336" s="266">
        <f>H!K17</f>
        <v>0</v>
      </c>
      <c r="J336" s="266">
        <f>H!L17</f>
        <v>0</v>
      </c>
      <c r="K336" s="266">
        <f>H!M17</f>
        <v>0</v>
      </c>
      <c r="L336" s="266">
        <f>H!N17</f>
        <v>0</v>
      </c>
      <c r="M336" s="266">
        <f>H!O17</f>
        <v>0</v>
      </c>
      <c r="N336" s="266">
        <f>H!P17</f>
        <v>0</v>
      </c>
      <c r="O336" s="270">
        <f>H!T17</f>
        <v>0</v>
      </c>
      <c r="P336" s="93"/>
      <c r="Q336" s="2"/>
      <c r="R336" s="2"/>
      <c r="S336" s="2"/>
      <c r="T336" s="2"/>
      <c r="U336" s="2"/>
    </row>
    <row r="337" spans="1:21" ht="12.75">
      <c r="A337" s="31">
        <f t="shared" si="14"/>
        <v>2111</v>
      </c>
      <c r="B337" s="414">
        <f>H!B23</f>
        <v>0</v>
      </c>
      <c r="C337" s="136">
        <f>H!D23</f>
        <v>0</v>
      </c>
      <c r="D337" s="415">
        <f>H!E23</f>
        <v>0</v>
      </c>
      <c r="E337" s="270">
        <f>H!F23</f>
        <v>0</v>
      </c>
      <c r="F337" s="270">
        <f>H!H23</f>
        <v>0</v>
      </c>
      <c r="G337" s="270">
        <f>H!I23</f>
        <v>0</v>
      </c>
      <c r="H337" s="266">
        <f>H!J23</f>
        <v>0</v>
      </c>
      <c r="I337" s="266">
        <f>H!K23</f>
        <v>0</v>
      </c>
      <c r="J337" s="266">
        <f>H!L23</f>
        <v>0</v>
      </c>
      <c r="K337" s="266">
        <f>H!M23</f>
        <v>0</v>
      </c>
      <c r="L337" s="266">
        <f>H!N23</f>
        <v>0</v>
      </c>
      <c r="M337" s="266">
        <f>H!O23</f>
        <v>0</v>
      </c>
      <c r="N337" s="266">
        <f>H!P23</f>
        <v>0</v>
      </c>
      <c r="O337" s="270">
        <f>H!T23</f>
        <v>0</v>
      </c>
      <c r="P337" s="93"/>
      <c r="Q337" s="2"/>
      <c r="R337" s="2"/>
      <c r="S337" s="2"/>
      <c r="T337" s="2"/>
      <c r="U337" s="2"/>
    </row>
    <row r="338" spans="1:21" ht="12.75">
      <c r="A338" s="31">
        <f t="shared" si="14"/>
        <v>2112</v>
      </c>
      <c r="B338" s="414">
        <f>H!B24</f>
        <v>0</v>
      </c>
      <c r="C338" s="136">
        <f>H!D24</f>
        <v>0</v>
      </c>
      <c r="D338" s="415">
        <f>H!E24</f>
        <v>0</v>
      </c>
      <c r="E338" s="270">
        <f>H!F24</f>
        <v>0</v>
      </c>
      <c r="F338" s="270">
        <f>H!H24</f>
        <v>0</v>
      </c>
      <c r="G338" s="270">
        <f>H!I24</f>
        <v>0</v>
      </c>
      <c r="H338" s="266">
        <f>H!J24</f>
        <v>0</v>
      </c>
      <c r="I338" s="266">
        <f>H!K24</f>
        <v>0</v>
      </c>
      <c r="J338" s="266">
        <f>H!L24</f>
        <v>0</v>
      </c>
      <c r="K338" s="266">
        <f>H!M24</f>
        <v>0</v>
      </c>
      <c r="L338" s="266">
        <f>H!N24</f>
        <v>0</v>
      </c>
      <c r="M338" s="266">
        <f>H!O24</f>
        <v>0</v>
      </c>
      <c r="N338" s="266">
        <f>H!P24</f>
        <v>0</v>
      </c>
      <c r="O338" s="270">
        <f>H!T24</f>
        <v>0</v>
      </c>
      <c r="P338" s="93"/>
      <c r="Q338" s="2"/>
      <c r="R338" s="2"/>
      <c r="S338" s="2"/>
      <c r="T338" s="2"/>
      <c r="U338" s="2"/>
    </row>
    <row r="339" spans="1:21" ht="12.75">
      <c r="A339" s="31">
        <f t="shared" si="14"/>
        <v>2113</v>
      </c>
      <c r="B339" s="414">
        <f>H!B25</f>
        <v>0</v>
      </c>
      <c r="C339" s="136">
        <f>H!D25</f>
        <v>0</v>
      </c>
      <c r="D339" s="415">
        <f>H!E25</f>
        <v>0</v>
      </c>
      <c r="E339" s="270">
        <f>H!F25</f>
        <v>0</v>
      </c>
      <c r="F339" s="270">
        <f>H!H25</f>
        <v>0</v>
      </c>
      <c r="G339" s="270">
        <f>H!I25</f>
        <v>0</v>
      </c>
      <c r="H339" s="266">
        <f>H!J25</f>
        <v>0</v>
      </c>
      <c r="I339" s="266">
        <f>H!K25</f>
        <v>0</v>
      </c>
      <c r="J339" s="266">
        <f>H!L25</f>
        <v>0</v>
      </c>
      <c r="K339" s="266">
        <f>H!M25</f>
        <v>0</v>
      </c>
      <c r="L339" s="266">
        <f>H!N25</f>
        <v>0</v>
      </c>
      <c r="M339" s="266">
        <f>H!O25</f>
        <v>0</v>
      </c>
      <c r="N339" s="266">
        <f>H!P25</f>
        <v>0</v>
      </c>
      <c r="O339" s="270">
        <f>H!T25</f>
        <v>0</v>
      </c>
      <c r="P339" s="93"/>
      <c r="Q339" s="2"/>
      <c r="R339" s="2"/>
      <c r="S339" s="2"/>
      <c r="T339" s="2"/>
      <c r="U339" s="2"/>
    </row>
    <row r="340" spans="1:21" ht="12.75">
      <c r="A340" s="31">
        <f t="shared" si="14"/>
        <v>2114</v>
      </c>
      <c r="B340" s="414">
        <f>H!B26</f>
        <v>0</v>
      </c>
      <c r="C340" s="136">
        <f>H!D26</f>
        <v>0</v>
      </c>
      <c r="D340" s="415">
        <f>H!E26</f>
        <v>0</v>
      </c>
      <c r="E340" s="270">
        <f>H!F26</f>
        <v>0</v>
      </c>
      <c r="F340" s="270">
        <f>H!H26</f>
        <v>0</v>
      </c>
      <c r="G340" s="270">
        <f>H!I26</f>
        <v>0</v>
      </c>
      <c r="H340" s="266">
        <f>H!J26</f>
        <v>0</v>
      </c>
      <c r="I340" s="266">
        <f>H!K26</f>
        <v>0</v>
      </c>
      <c r="J340" s="266">
        <f>H!L26</f>
        <v>0</v>
      </c>
      <c r="K340" s="266">
        <f>H!M26</f>
        <v>0</v>
      </c>
      <c r="L340" s="266">
        <f>H!N26</f>
        <v>0</v>
      </c>
      <c r="M340" s="266">
        <f>H!O26</f>
        <v>0</v>
      </c>
      <c r="N340" s="266">
        <f>H!P26</f>
        <v>0</v>
      </c>
      <c r="O340" s="270">
        <f>H!T26</f>
        <v>0</v>
      </c>
      <c r="P340" s="93"/>
      <c r="Q340" s="2"/>
      <c r="R340" s="2"/>
      <c r="S340" s="2"/>
      <c r="T340" s="2"/>
      <c r="U340" s="2"/>
    </row>
    <row r="341" spans="1:21" ht="12.75">
      <c r="A341" s="31">
        <f t="shared" si="14"/>
        <v>2115</v>
      </c>
      <c r="B341" s="414">
        <f>H!B27</f>
        <v>0</v>
      </c>
      <c r="C341" s="136">
        <f>H!D27</f>
        <v>0</v>
      </c>
      <c r="D341" s="415">
        <f>H!E27</f>
        <v>0</v>
      </c>
      <c r="E341" s="270">
        <f>H!F27</f>
        <v>0</v>
      </c>
      <c r="F341" s="270">
        <f>H!H27</f>
        <v>0</v>
      </c>
      <c r="G341" s="270">
        <f>H!I27</f>
        <v>0</v>
      </c>
      <c r="H341" s="266">
        <f>H!J27</f>
        <v>0</v>
      </c>
      <c r="I341" s="266">
        <f>H!K27</f>
        <v>0</v>
      </c>
      <c r="J341" s="266">
        <f>H!L27</f>
        <v>0</v>
      </c>
      <c r="K341" s="266">
        <f>H!M27</f>
        <v>0</v>
      </c>
      <c r="L341" s="266">
        <f>H!N27</f>
        <v>0</v>
      </c>
      <c r="M341" s="266">
        <f>H!O27</f>
        <v>0</v>
      </c>
      <c r="N341" s="266">
        <f>H!P27</f>
        <v>0</v>
      </c>
      <c r="O341" s="270">
        <f>H!T27</f>
        <v>0</v>
      </c>
      <c r="P341" s="93"/>
      <c r="Q341" s="2"/>
      <c r="R341" s="2"/>
      <c r="S341" s="2"/>
      <c r="T341" s="2"/>
      <c r="U341" s="2"/>
    </row>
    <row r="342" spans="1:21" ht="12.75">
      <c r="A342" s="31">
        <f t="shared" si="14"/>
        <v>2116</v>
      </c>
      <c r="B342" s="414">
        <f>H!B28</f>
        <v>0</v>
      </c>
      <c r="C342" s="136">
        <f>H!D28</f>
        <v>0</v>
      </c>
      <c r="D342" s="415">
        <f>H!E28</f>
        <v>0</v>
      </c>
      <c r="E342" s="270">
        <f>H!F28</f>
        <v>0</v>
      </c>
      <c r="F342" s="270">
        <f>H!H28</f>
        <v>0</v>
      </c>
      <c r="G342" s="270">
        <f>H!I28</f>
        <v>0</v>
      </c>
      <c r="H342" s="266">
        <f>H!J28</f>
        <v>0</v>
      </c>
      <c r="I342" s="266">
        <f>H!K28</f>
        <v>0</v>
      </c>
      <c r="J342" s="266">
        <f>H!L28</f>
        <v>0</v>
      </c>
      <c r="K342" s="266">
        <f>H!M28</f>
        <v>0</v>
      </c>
      <c r="L342" s="266">
        <f>H!N28</f>
        <v>0</v>
      </c>
      <c r="M342" s="266">
        <f>H!O28</f>
        <v>0</v>
      </c>
      <c r="N342" s="266">
        <f>H!P28</f>
        <v>0</v>
      </c>
      <c r="O342" s="270">
        <f>H!T28</f>
        <v>0</v>
      </c>
      <c r="P342" s="93"/>
      <c r="Q342" s="2"/>
      <c r="R342" s="2"/>
      <c r="S342" s="2"/>
      <c r="T342" s="2"/>
      <c r="U342" s="2"/>
    </row>
    <row r="343" spans="1:21" ht="12.75">
      <c r="A343" s="31">
        <f t="shared" si="14"/>
        <v>2117</v>
      </c>
      <c r="B343" s="414">
        <f>H!B29</f>
        <v>0</v>
      </c>
      <c r="C343" s="136">
        <f>H!D29</f>
        <v>0</v>
      </c>
      <c r="D343" s="415">
        <f>H!E29</f>
        <v>0</v>
      </c>
      <c r="E343" s="270">
        <f>H!F29</f>
        <v>0</v>
      </c>
      <c r="F343" s="270">
        <f>H!H29</f>
        <v>0</v>
      </c>
      <c r="G343" s="270">
        <f>H!I29</f>
        <v>0</v>
      </c>
      <c r="H343" s="266">
        <f>H!J29</f>
        <v>0</v>
      </c>
      <c r="I343" s="266">
        <f>H!K29</f>
        <v>0</v>
      </c>
      <c r="J343" s="266">
        <f>H!L29</f>
        <v>0</v>
      </c>
      <c r="K343" s="266">
        <f>H!M29</f>
        <v>0</v>
      </c>
      <c r="L343" s="266">
        <f>H!N29</f>
        <v>0</v>
      </c>
      <c r="M343" s="266">
        <f>H!O29</f>
        <v>0</v>
      </c>
      <c r="N343" s="266">
        <f>H!P29</f>
        <v>0</v>
      </c>
      <c r="O343" s="270">
        <f>H!T29</f>
        <v>0</v>
      </c>
      <c r="P343" s="93"/>
      <c r="Q343" s="2"/>
      <c r="R343" s="2"/>
      <c r="S343" s="2"/>
      <c r="T343" s="2"/>
      <c r="U343" s="2"/>
    </row>
    <row r="344" spans="1:21" ht="12.75">
      <c r="A344" s="31">
        <f t="shared" si="14"/>
        <v>2118</v>
      </c>
      <c r="B344" s="414">
        <f>H!B32</f>
        <v>0</v>
      </c>
      <c r="C344" s="136">
        <f>H!D32</f>
        <v>0</v>
      </c>
      <c r="D344" s="415">
        <f>H!E32</f>
        <v>0</v>
      </c>
      <c r="E344" s="270">
        <f>H!F32</f>
        <v>0</v>
      </c>
      <c r="F344" s="270">
        <f>H!H32</f>
        <v>0</v>
      </c>
      <c r="G344" s="270">
        <f>H!I32</f>
        <v>0</v>
      </c>
      <c r="H344" s="266">
        <f>H!J32</f>
        <v>0</v>
      </c>
      <c r="I344" s="266">
        <f>H!K32</f>
        <v>0</v>
      </c>
      <c r="J344" s="266">
        <f>H!L32</f>
        <v>0</v>
      </c>
      <c r="K344" s="266">
        <f>H!M32</f>
        <v>0</v>
      </c>
      <c r="L344" s="266">
        <f>H!N32</f>
        <v>0</v>
      </c>
      <c r="M344" s="266">
        <f>H!O32</f>
        <v>0</v>
      </c>
      <c r="N344" s="266">
        <f>H!P32</f>
        <v>0</v>
      </c>
      <c r="O344" s="270">
        <f>H!T32</f>
        <v>0</v>
      </c>
      <c r="P344" s="93"/>
      <c r="Q344" s="2"/>
      <c r="R344" s="2"/>
      <c r="S344" s="2"/>
      <c r="T344" s="2"/>
      <c r="U344" s="2"/>
    </row>
    <row r="345" spans="1:21" ht="12.75">
      <c r="A345" s="31">
        <f t="shared" si="14"/>
        <v>2119</v>
      </c>
      <c r="B345" s="414">
        <f>H!B33</f>
        <v>0</v>
      </c>
      <c r="C345" s="136">
        <f>H!D33</f>
        <v>0</v>
      </c>
      <c r="D345" s="415">
        <f>H!E33</f>
        <v>0</v>
      </c>
      <c r="E345" s="270">
        <f>H!F33</f>
        <v>0</v>
      </c>
      <c r="F345" s="270">
        <f>H!H33</f>
        <v>0</v>
      </c>
      <c r="G345" s="270">
        <f>H!I33</f>
        <v>0</v>
      </c>
      <c r="H345" s="266">
        <f>H!J33</f>
        <v>0</v>
      </c>
      <c r="I345" s="266">
        <f>H!K33</f>
        <v>0</v>
      </c>
      <c r="J345" s="266">
        <f>H!L33</f>
        <v>0</v>
      </c>
      <c r="K345" s="266">
        <f>H!M33</f>
        <v>0</v>
      </c>
      <c r="L345" s="266">
        <f>H!N33</f>
        <v>0</v>
      </c>
      <c r="M345" s="266">
        <f>H!O33</f>
        <v>0</v>
      </c>
      <c r="N345" s="266">
        <f>H!P33</f>
        <v>0</v>
      </c>
      <c r="O345" s="270">
        <f>H!T33</f>
        <v>0</v>
      </c>
      <c r="P345" s="93"/>
      <c r="Q345" s="2"/>
      <c r="R345" s="2"/>
      <c r="S345" s="2"/>
      <c r="T345" s="2"/>
      <c r="U345" s="2"/>
    </row>
    <row r="346" spans="1:21" ht="12.75">
      <c r="A346" s="31">
        <f t="shared" si="14"/>
        <v>2120</v>
      </c>
      <c r="B346" s="414">
        <f>H!B34</f>
        <v>0</v>
      </c>
      <c r="C346" s="136">
        <f>H!D34</f>
        <v>0</v>
      </c>
      <c r="D346" s="415">
        <f>H!E34</f>
        <v>0</v>
      </c>
      <c r="E346" s="270">
        <f>H!F34</f>
        <v>0</v>
      </c>
      <c r="F346" s="270">
        <f>H!H34</f>
        <v>0</v>
      </c>
      <c r="G346" s="270">
        <f>H!I34</f>
        <v>0</v>
      </c>
      <c r="H346" s="266">
        <f>H!J34</f>
        <v>0</v>
      </c>
      <c r="I346" s="266">
        <f>H!K34</f>
        <v>0</v>
      </c>
      <c r="J346" s="266">
        <f>H!L34</f>
        <v>0</v>
      </c>
      <c r="K346" s="266">
        <f>H!M34</f>
        <v>0</v>
      </c>
      <c r="L346" s="266">
        <f>H!N34</f>
        <v>0</v>
      </c>
      <c r="M346" s="266">
        <f>H!O34</f>
        <v>0</v>
      </c>
      <c r="N346" s="266">
        <f>H!P34</f>
        <v>0</v>
      </c>
      <c r="O346" s="270">
        <f>H!T34</f>
        <v>0</v>
      </c>
      <c r="P346" s="93"/>
      <c r="Q346" s="2"/>
      <c r="R346" s="2"/>
      <c r="S346" s="2"/>
      <c r="T346" s="2"/>
      <c r="U346" s="2"/>
    </row>
    <row r="347" spans="1:21" ht="12.75">
      <c r="A347" s="37">
        <f t="shared" si="14"/>
        <v>2121</v>
      </c>
      <c r="B347" s="289"/>
      <c r="C347" s="60"/>
      <c r="D347" s="61"/>
      <c r="E347" s="292"/>
      <c r="F347" s="292"/>
      <c r="G347" s="292"/>
      <c r="H347" s="416"/>
      <c r="I347" s="416"/>
      <c r="J347" s="417"/>
      <c r="K347" s="417"/>
      <c r="L347" s="417"/>
      <c r="M347" s="417"/>
      <c r="N347" s="417"/>
      <c r="O347" s="292"/>
      <c r="P347" s="93"/>
      <c r="Q347" s="2"/>
      <c r="R347" s="2"/>
      <c r="S347" s="2"/>
      <c r="T347" s="2"/>
      <c r="U347" s="2"/>
    </row>
    <row r="348" spans="1:21" ht="12.75">
      <c r="A348" s="32">
        <f t="shared" si="14"/>
        <v>2122</v>
      </c>
      <c r="B348" s="288"/>
      <c r="C348" s="170"/>
      <c r="D348" s="170"/>
      <c r="E348" s="170"/>
      <c r="F348" s="170"/>
      <c r="G348" s="170"/>
      <c r="H348" s="170"/>
      <c r="I348" s="170"/>
      <c r="J348" s="170"/>
      <c r="K348" s="170"/>
      <c r="L348" s="170"/>
      <c r="M348" s="170"/>
      <c r="N348" s="170"/>
      <c r="O348" s="90"/>
      <c r="P348" s="93"/>
      <c r="Q348" s="2"/>
      <c r="R348" s="2"/>
      <c r="S348" s="2"/>
      <c r="T348" s="2"/>
      <c r="U348" s="2"/>
    </row>
    <row r="349" spans="1:21" ht="12.75">
      <c r="A349" s="35">
        <f t="shared" si="14"/>
        <v>2123</v>
      </c>
      <c r="B349" s="290"/>
      <c r="C349" s="171"/>
      <c r="D349" s="172"/>
      <c r="E349" s="172"/>
      <c r="F349" s="172"/>
      <c r="G349" s="172"/>
      <c r="H349" s="172"/>
      <c r="I349" s="172"/>
      <c r="J349" s="172"/>
      <c r="K349" s="172"/>
      <c r="L349" s="172"/>
      <c r="M349" s="172"/>
      <c r="N349" s="172"/>
      <c r="O349" s="42"/>
      <c r="P349" s="93"/>
      <c r="Q349" s="2"/>
      <c r="R349" s="2"/>
      <c r="S349" s="2"/>
      <c r="T349" s="2"/>
      <c r="U349" s="2"/>
    </row>
    <row r="350" spans="1:21" ht="12.75">
      <c r="A350" s="37">
        <f t="shared" si="14"/>
        <v>2124</v>
      </c>
      <c r="B350" s="289"/>
      <c r="C350" s="173"/>
      <c r="D350" s="173"/>
      <c r="E350" s="173"/>
      <c r="F350" s="173"/>
      <c r="G350" s="173"/>
      <c r="H350" s="173"/>
      <c r="I350" s="173"/>
      <c r="J350" s="173"/>
      <c r="K350" s="173"/>
      <c r="L350" s="173"/>
      <c r="M350" s="173"/>
      <c r="N350" s="173"/>
      <c r="O350" s="47"/>
      <c r="P350" s="93"/>
      <c r="Q350" s="2"/>
      <c r="R350" s="2"/>
      <c r="S350" s="2"/>
      <c r="T350" s="2"/>
      <c r="U350" s="2"/>
    </row>
    <row r="351" spans="3:17" ht="12.75">
      <c r="C351" s="3"/>
      <c r="D351" s="2"/>
      <c r="G351" s="2"/>
      <c r="H351" s="2"/>
      <c r="J351" s="2"/>
      <c r="O351" s="2"/>
      <c r="P351" s="2"/>
      <c r="Q351" s="2"/>
    </row>
    <row r="352" spans="3:17" ht="12.75">
      <c r="C352" s="3"/>
      <c r="D352" s="2"/>
      <c r="G352" s="2"/>
      <c r="H352" s="2"/>
      <c r="J352" s="2"/>
      <c r="O352" s="2"/>
      <c r="P352" s="2"/>
      <c r="Q352" s="2"/>
    </row>
    <row r="353" spans="1:5" ht="12.75">
      <c r="A353" s="21"/>
      <c r="B353" s="222"/>
      <c r="C353" s="223" t="e">
        <f>CONCATENATE("31-12-",#REF!-1," ")</f>
        <v>#REF!</v>
      </c>
      <c r="D353" s="223" t="e">
        <f>CONCATENATE("31-12-",#REF!," ")</f>
        <v>#REF!</v>
      </c>
      <c r="E353" s="223" t="e">
        <f>CONCATENATE("Gemiddeld ",#REF!," ")</f>
        <v>#REF!</v>
      </c>
    </row>
    <row r="354" spans="1:5" ht="12.75">
      <c r="A354" s="26"/>
      <c r="B354" s="42"/>
      <c r="C354" s="175"/>
      <c r="D354" s="42"/>
      <c r="E354" s="42"/>
    </row>
    <row r="355" spans="1:5" ht="12.75">
      <c r="A355" s="41" t="s">
        <v>297</v>
      </c>
      <c r="B355" s="418" t="s">
        <v>298</v>
      </c>
      <c r="C355" s="168"/>
      <c r="D355" s="168"/>
      <c r="E355" s="42"/>
    </row>
    <row r="356" spans="1:5" ht="12.75">
      <c r="A356" s="31">
        <f>'I-J'!A7</f>
        <v>2301</v>
      </c>
      <c r="B356" s="176"/>
      <c r="C356" s="270">
        <f>'I-J'!C7</f>
        <v>0</v>
      </c>
      <c r="D356" s="270">
        <f>'I-J'!D7</f>
        <v>0</v>
      </c>
      <c r="E356" s="367"/>
    </row>
    <row r="357" spans="1:5" ht="12.75">
      <c r="A357" s="34">
        <f aca="true" t="shared" si="15" ref="A357:A369">A356+1</f>
        <v>2302</v>
      </c>
      <c r="B357" s="176"/>
      <c r="C357" s="270">
        <f>'I-J'!C8</f>
        <v>0</v>
      </c>
      <c r="D357" s="270">
        <f>'I-J'!D8</f>
        <v>0</v>
      </c>
      <c r="E357" s="367"/>
    </row>
    <row r="358" spans="1:5" ht="12.75">
      <c r="A358" s="34">
        <f t="shared" si="15"/>
        <v>2303</v>
      </c>
      <c r="B358" s="176"/>
      <c r="C358" s="270">
        <f>'I-J'!C9</f>
        <v>0</v>
      </c>
      <c r="D358" s="270">
        <f>'I-J'!D9</f>
        <v>0</v>
      </c>
      <c r="E358" s="367"/>
    </row>
    <row r="359" spans="1:5" ht="12.75">
      <c r="A359" s="34">
        <f t="shared" si="15"/>
        <v>2304</v>
      </c>
      <c r="B359" s="176"/>
      <c r="C359" s="270">
        <f>'I-J'!C10</f>
        <v>0</v>
      </c>
      <c r="D359" s="270">
        <f>'I-J'!D10</f>
        <v>0</v>
      </c>
      <c r="E359" s="367"/>
    </row>
    <row r="360" spans="1:5" ht="12.75">
      <c r="A360" s="34">
        <f t="shared" si="15"/>
        <v>2305</v>
      </c>
      <c r="B360" s="176"/>
      <c r="C360" s="270">
        <f>'I-J'!C11</f>
        <v>0</v>
      </c>
      <c r="D360" s="270">
        <f>'I-J'!D11</f>
        <v>0</v>
      </c>
      <c r="E360" s="367"/>
    </row>
    <row r="361" spans="1:5" ht="12.75">
      <c r="A361" s="34">
        <f t="shared" si="15"/>
        <v>2306</v>
      </c>
      <c r="B361" s="176"/>
      <c r="C361" s="270">
        <f>'I-J'!C12</f>
        <v>0</v>
      </c>
      <c r="D361" s="270">
        <f>'I-J'!D12</f>
        <v>0</v>
      </c>
      <c r="E361" s="367"/>
    </row>
    <row r="362" spans="1:5" ht="12.75">
      <c r="A362" s="34">
        <f t="shared" si="15"/>
        <v>2307</v>
      </c>
      <c r="B362" s="176"/>
      <c r="C362" s="270">
        <f>'I-J'!C13</f>
        <v>0</v>
      </c>
      <c r="D362" s="270">
        <f>'I-J'!D13</f>
        <v>0</v>
      </c>
      <c r="E362" s="367"/>
    </row>
    <row r="363" spans="1:5" ht="12.75">
      <c r="A363" s="34">
        <f t="shared" si="15"/>
        <v>2308</v>
      </c>
      <c r="B363" s="176"/>
      <c r="C363" s="270">
        <f>'I-J'!C14</f>
        <v>0</v>
      </c>
      <c r="D363" s="270">
        <f>'I-J'!D14</f>
        <v>0</v>
      </c>
      <c r="E363" s="367"/>
    </row>
    <row r="364" spans="1:5" ht="12.75">
      <c r="A364" s="34">
        <f t="shared" si="15"/>
        <v>2309</v>
      </c>
      <c r="B364" s="176"/>
      <c r="C364" s="270">
        <f>'I-J'!C15</f>
        <v>0</v>
      </c>
      <c r="D364" s="270">
        <f>'I-J'!D15</f>
        <v>0</v>
      </c>
      <c r="E364" s="367"/>
    </row>
    <row r="365" spans="1:5" ht="12.75">
      <c r="A365" s="34">
        <f t="shared" si="15"/>
        <v>2310</v>
      </c>
      <c r="B365" s="176"/>
      <c r="C365" s="270">
        <f>'I-J'!C16</f>
        <v>0</v>
      </c>
      <c r="D365" s="270">
        <f>'I-J'!D16</f>
        <v>0</v>
      </c>
      <c r="E365" s="367"/>
    </row>
    <row r="366" spans="1:5" ht="12.75">
      <c r="A366" s="34">
        <f t="shared" si="15"/>
        <v>2311</v>
      </c>
      <c r="B366" s="176"/>
      <c r="C366" s="270">
        <f>'I-J'!C17</f>
        <v>0</v>
      </c>
      <c r="D366" s="270">
        <f>'I-J'!D17</f>
        <v>0</v>
      </c>
      <c r="E366" s="367"/>
    </row>
    <row r="367" spans="1:5" ht="12.75">
      <c r="A367" s="34">
        <f t="shared" si="15"/>
        <v>2312</v>
      </c>
      <c r="B367" s="176"/>
      <c r="C367" s="270" t="e">
        <f>'I-J'!#REF!</f>
        <v>#REF!</v>
      </c>
      <c r="D367" s="270" t="e">
        <f>'I-J'!#REF!</f>
        <v>#REF!</v>
      </c>
      <c r="E367" s="367"/>
    </row>
    <row r="368" spans="1:5" ht="12.75">
      <c r="A368" s="35">
        <f t="shared" si="15"/>
        <v>2313</v>
      </c>
      <c r="B368" s="177"/>
      <c r="C368" s="419">
        <f>'I-J'!C20</f>
        <v>0</v>
      </c>
      <c r="D368" s="419">
        <f>'I-J'!D20</f>
        <v>0</v>
      </c>
      <c r="E368" s="420"/>
    </row>
    <row r="369" spans="1:5" ht="12.75">
      <c r="A369" s="37">
        <f t="shared" si="15"/>
        <v>2314</v>
      </c>
      <c r="B369" s="38"/>
      <c r="C369" s="292"/>
      <c r="D369" s="292"/>
      <c r="E369" s="292"/>
    </row>
    <row r="370" spans="1:5" ht="12.75">
      <c r="A370" s="41"/>
      <c r="B370" s="42"/>
      <c r="C370" s="42"/>
      <c r="D370" s="42"/>
      <c r="E370" s="42"/>
    </row>
    <row r="371" spans="1:5" ht="12.75">
      <c r="A371" s="42"/>
      <c r="B371" s="95"/>
      <c r="C371" s="95"/>
      <c r="D371" s="42"/>
      <c r="E371" s="221" t="s">
        <v>123</v>
      </c>
    </row>
    <row r="372" spans="1:5" ht="12.75">
      <c r="A372" s="178"/>
      <c r="B372" s="179"/>
      <c r="C372" s="179"/>
      <c r="D372" s="178"/>
      <c r="E372" s="123"/>
    </row>
    <row r="373" spans="1:5" ht="12.75">
      <c r="A373" s="41" t="s">
        <v>299</v>
      </c>
      <c r="B373" s="94" t="e">
        <f>CONCATENATE("Rentekosten ten laste van exploitatieresultaat ",#REF!)</f>
        <v>#REF!</v>
      </c>
      <c r="C373" s="95"/>
      <c r="D373" s="42"/>
      <c r="E373" s="42"/>
    </row>
    <row r="374" spans="1:5" ht="12.75">
      <c r="A374" s="31">
        <f>A369+1</f>
        <v>2315</v>
      </c>
      <c r="B374" s="180"/>
      <c r="C374" s="134"/>
      <c r="D374" s="121"/>
      <c r="E374" s="367"/>
    </row>
    <row r="375" spans="1:5" ht="12.75">
      <c r="A375" s="34">
        <f aca="true" t="shared" si="16" ref="A375:A383">A374+1</f>
        <v>2316</v>
      </c>
      <c r="B375" s="181"/>
      <c r="C375" s="134"/>
      <c r="D375" s="121"/>
      <c r="E375" s="270">
        <f>'I-J'!E28</f>
        <v>0</v>
      </c>
    </row>
    <row r="376" spans="1:5" ht="12.75">
      <c r="A376" s="34">
        <f t="shared" si="16"/>
        <v>2317</v>
      </c>
      <c r="B376" s="180"/>
      <c r="C376" s="134"/>
      <c r="D376" s="121"/>
      <c r="E376" s="270">
        <f>'I-J'!E29</f>
        <v>0</v>
      </c>
    </row>
    <row r="377" spans="1:5" ht="12.75">
      <c r="A377" s="35">
        <f t="shared" si="16"/>
        <v>2318</v>
      </c>
      <c r="B377" s="182"/>
      <c r="C377" s="78"/>
      <c r="D377" s="183"/>
      <c r="E377" s="270">
        <f>'I-J'!E31</f>
        <v>0</v>
      </c>
    </row>
    <row r="378" spans="1:5" ht="12.75">
      <c r="A378" s="37">
        <f t="shared" si="16"/>
        <v>2319</v>
      </c>
      <c r="B378" s="38"/>
      <c r="C378" s="60"/>
      <c r="D378" s="60"/>
      <c r="E378" s="263"/>
    </row>
    <row r="379" spans="1:5" ht="12.75">
      <c r="A379" s="34">
        <f t="shared" si="16"/>
        <v>2320</v>
      </c>
      <c r="B379" s="256"/>
      <c r="C379" s="134"/>
      <c r="D379" s="121"/>
      <c r="E379" s="270">
        <f>'I-J'!E35</f>
        <v>0</v>
      </c>
    </row>
    <row r="380" spans="1:5" ht="12.75">
      <c r="A380" s="34">
        <f t="shared" si="16"/>
        <v>2321</v>
      </c>
      <c r="B380" s="257"/>
      <c r="C380" s="134"/>
      <c r="D380" s="121"/>
      <c r="E380" s="270">
        <f>'I-J'!E36</f>
        <v>0</v>
      </c>
    </row>
    <row r="381" spans="1:5" ht="12.75">
      <c r="A381" s="34">
        <f t="shared" si="16"/>
        <v>2322</v>
      </c>
      <c r="B381" s="258"/>
      <c r="C381" s="191"/>
      <c r="D381" s="255"/>
      <c r="E381" s="270">
        <f>'I-J'!E37</f>
        <v>0</v>
      </c>
    </row>
    <row r="382" spans="1:5" ht="12.75">
      <c r="A382" s="34">
        <f t="shared" si="16"/>
        <v>2323</v>
      </c>
      <c r="B382" s="259"/>
      <c r="C382" s="78"/>
      <c r="D382" s="183"/>
      <c r="E382" s="270">
        <f>'I-J'!E38</f>
        <v>0</v>
      </c>
    </row>
    <row r="383" spans="1:5" ht="12.75">
      <c r="A383" s="37">
        <f t="shared" si="16"/>
        <v>2324</v>
      </c>
      <c r="B383" s="421"/>
      <c r="C383" s="60"/>
      <c r="D383" s="60"/>
      <c r="E383" s="263"/>
    </row>
    <row r="384" spans="1:5" ht="12.75">
      <c r="A384" s="41"/>
      <c r="B384" s="42"/>
      <c r="C384" s="42"/>
      <c r="D384" s="42"/>
      <c r="E384" s="42"/>
    </row>
    <row r="385" spans="4:10" ht="12.75">
      <c r="D385" s="2"/>
      <c r="G385" s="2"/>
      <c r="J385" s="2"/>
    </row>
    <row r="386" spans="4:10" ht="12.75">
      <c r="D386" s="2"/>
      <c r="G386" s="2"/>
      <c r="J386" s="2"/>
    </row>
    <row r="387" spans="1:10" ht="12.75">
      <c r="A387" s="64"/>
      <c r="B387" s="366"/>
      <c r="C387" s="118" t="s">
        <v>111</v>
      </c>
      <c r="D387" s="272" t="e">
        <f>CONCATENATE("Rekenstaat ",#REF!," nr. 1 ")</f>
        <v>#REF!</v>
      </c>
      <c r="E387" s="273"/>
      <c r="F387" s="251" t="s">
        <v>356</v>
      </c>
      <c r="G387" s="245" t="s">
        <v>355</v>
      </c>
      <c r="J387" s="2"/>
    </row>
    <row r="388" spans="1:7" ht="12.75">
      <c r="A388" s="64"/>
      <c r="B388" s="366"/>
      <c r="C388" s="118" t="s">
        <v>111</v>
      </c>
      <c r="D388" s="422" t="s">
        <v>61</v>
      </c>
      <c r="E388" s="246" t="s">
        <v>92</v>
      </c>
      <c r="F388" s="247" t="e">
        <f>CONCATENATE("jaarrekening ",#REF!," ")</f>
        <v>#REF!</v>
      </c>
      <c r="G388" s="247" t="s">
        <v>354</v>
      </c>
    </row>
    <row r="389" spans="1:7" ht="12.75">
      <c r="A389" s="83"/>
      <c r="B389" s="325"/>
      <c r="C389" s="156"/>
      <c r="D389" s="162" t="s">
        <v>83</v>
      </c>
      <c r="E389" s="111"/>
      <c r="F389" s="156"/>
      <c r="G389" s="113"/>
    </row>
    <row r="390" spans="1:7" ht="12.75">
      <c r="A390" s="47" t="s">
        <v>352</v>
      </c>
      <c r="B390" s="14" t="s">
        <v>353</v>
      </c>
      <c r="C390" s="147"/>
      <c r="D390" s="147"/>
      <c r="E390" s="90"/>
      <c r="F390" s="90"/>
      <c r="G390" s="90"/>
    </row>
    <row r="391" spans="1:7" ht="12.75">
      <c r="A391" s="31" t="e">
        <f>#REF!</f>
        <v>#REF!</v>
      </c>
      <c r="B391" s="357"/>
      <c r="C391" s="375"/>
      <c r="D391" s="141"/>
      <c r="E391" s="270" t="e">
        <f>#REF!</f>
        <v>#REF!</v>
      </c>
      <c r="F391" s="423"/>
      <c r="G391" s="309"/>
    </row>
    <row r="392" spans="1:7" ht="12.75">
      <c r="A392" s="34" t="e">
        <f>A391+1</f>
        <v>#REF!</v>
      </c>
      <c r="B392" s="357"/>
      <c r="C392" s="375"/>
      <c r="D392" s="141"/>
      <c r="E392" s="270" t="e">
        <f>#REF!</f>
        <v>#REF!</v>
      </c>
      <c r="F392" s="423"/>
      <c r="G392" s="309"/>
    </row>
    <row r="393" spans="1:7" ht="12.75">
      <c r="A393" s="34" t="e">
        <f>A392+1</f>
        <v>#REF!</v>
      </c>
      <c r="B393" s="357"/>
      <c r="C393" s="375"/>
      <c r="D393" s="141"/>
      <c r="E393" s="270" t="e">
        <f>#REF!</f>
        <v>#REF!</v>
      </c>
      <c r="F393" s="423"/>
      <c r="G393" s="309"/>
    </row>
    <row r="394" spans="1:7" ht="12.75">
      <c r="A394" s="35" t="e">
        <f>A393+1</f>
        <v>#REF!</v>
      </c>
      <c r="B394" s="357"/>
      <c r="C394" s="375"/>
      <c r="D394" s="141"/>
      <c r="E394" s="270" t="e">
        <f>#REF!</f>
        <v>#REF!</v>
      </c>
      <c r="F394" s="423"/>
      <c r="G394" s="309"/>
    </row>
    <row r="395" spans="1:7" ht="12.75">
      <c r="A395" s="54" t="e">
        <f>A393+1</f>
        <v>#REF!</v>
      </c>
      <c r="B395" s="357"/>
      <c r="C395" s="248"/>
      <c r="D395" s="142"/>
      <c r="E395" s="367" t="e">
        <f>E404</f>
        <v>#REF!</v>
      </c>
      <c r="F395" s="423"/>
      <c r="G395" s="309"/>
    </row>
    <row r="396" spans="1:7" ht="12.75">
      <c r="A396" s="37" t="e">
        <f>A395+1</f>
        <v>#REF!</v>
      </c>
      <c r="B396" s="362"/>
      <c r="C396" s="154"/>
      <c r="D396" s="154"/>
      <c r="E396" s="263" t="e">
        <f>SUM(E391:E395)</f>
        <v>#REF!</v>
      </c>
      <c r="F396" s="345"/>
      <c r="G396" s="345"/>
    </row>
    <row r="397" spans="1:7" ht="12.75">
      <c r="A397" s="71"/>
      <c r="B397" s="228"/>
      <c r="C397" s="250"/>
      <c r="D397" s="250"/>
      <c r="E397" s="424"/>
      <c r="F397" s="425"/>
      <c r="G397" s="309"/>
    </row>
    <row r="398" spans="1:7" ht="12.75">
      <c r="A398" s="31" t="e">
        <f>A394+1</f>
        <v>#REF!</v>
      </c>
      <c r="B398" s="357"/>
      <c r="C398" s="375"/>
      <c r="D398" s="142"/>
      <c r="E398" s="270" t="e">
        <f>#REF!</f>
        <v>#REF!</v>
      </c>
      <c r="F398" s="270" t="e">
        <f>#REF!</f>
        <v>#REF!</v>
      </c>
      <c r="G398" s="426"/>
    </row>
    <row r="399" spans="1:7" ht="12.75">
      <c r="A399" s="34" t="e">
        <f>A398+1</f>
        <v>#REF!</v>
      </c>
      <c r="B399" s="357"/>
      <c r="C399" s="375"/>
      <c r="D399" s="142"/>
      <c r="E399" s="270" t="e">
        <f>#REF!</f>
        <v>#REF!</v>
      </c>
      <c r="F399" s="270" t="e">
        <f>#REF!</f>
        <v>#REF!</v>
      </c>
      <c r="G399" s="426"/>
    </row>
    <row r="400" spans="1:7" ht="12.75">
      <c r="A400" s="34" t="e">
        <f>A399+1</f>
        <v>#REF!</v>
      </c>
      <c r="B400" s="357"/>
      <c r="C400" s="375"/>
      <c r="D400" s="142"/>
      <c r="E400" s="270" t="e">
        <f>#REF!</f>
        <v>#REF!</v>
      </c>
      <c r="F400" s="270" t="e">
        <f>#REF!</f>
        <v>#REF!</v>
      </c>
      <c r="G400" s="426"/>
    </row>
    <row r="401" spans="1:7" ht="12.75">
      <c r="A401" s="34" t="e">
        <f>A400+1</f>
        <v>#REF!</v>
      </c>
      <c r="B401" s="357"/>
      <c r="C401" s="375"/>
      <c r="D401" s="142"/>
      <c r="E401" s="270" t="e">
        <f>#REF!</f>
        <v>#REF!</v>
      </c>
      <c r="F401" s="270" t="e">
        <f>#REF!</f>
        <v>#REF!</v>
      </c>
      <c r="G401" s="426"/>
    </row>
    <row r="402" spans="1:7" ht="12.75">
      <c r="A402" s="34" t="e">
        <f>A401+1</f>
        <v>#REF!</v>
      </c>
      <c r="B402" s="357"/>
      <c r="C402" s="375"/>
      <c r="D402" s="142"/>
      <c r="E402" s="270" t="e">
        <f>#REF!</f>
        <v>#REF!</v>
      </c>
      <c r="F402" s="270" t="e">
        <f>#REF!</f>
        <v>#REF!</v>
      </c>
      <c r="G402" s="426"/>
    </row>
    <row r="403" spans="1:7" ht="12.75">
      <c r="A403" s="35" t="e">
        <f>A401+1</f>
        <v>#REF!</v>
      </c>
      <c r="B403" s="240"/>
      <c r="C403" s="248"/>
      <c r="D403" s="142"/>
      <c r="E403" s="270" t="e">
        <f>#REF!</f>
        <v>#REF!</v>
      </c>
      <c r="F403" s="270" t="e">
        <f>#REF!</f>
        <v>#REF!</v>
      </c>
      <c r="G403" s="426"/>
    </row>
    <row r="404" spans="1:7" ht="12.75">
      <c r="A404" s="37" t="e">
        <f>A403+1</f>
        <v>#REF!</v>
      </c>
      <c r="B404" s="362"/>
      <c r="C404" s="154"/>
      <c r="D404" s="154"/>
      <c r="E404" s="263" t="e">
        <f>SUM(E398:E403)</f>
        <v>#REF!</v>
      </c>
      <c r="F404" s="427"/>
      <c r="G404" s="345">
        <f>SUM(G391:G394)</f>
        <v>0</v>
      </c>
    </row>
    <row r="405" spans="1:7" ht="12.75">
      <c r="A405" s="37" t="e">
        <f>A404+1</f>
        <v>#REF!</v>
      </c>
      <c r="B405" s="357"/>
      <c r="C405" s="375"/>
      <c r="D405" s="254"/>
      <c r="E405" s="367"/>
      <c r="F405" s="428"/>
      <c r="G405" s="367"/>
    </row>
    <row r="406" spans="1:7" ht="12.75">
      <c r="A406" s="71"/>
      <c r="B406" s="191"/>
      <c r="C406" s="249"/>
      <c r="D406" s="253"/>
      <c r="E406" s="429"/>
      <c r="F406" s="423"/>
      <c r="G406" s="309"/>
    </row>
    <row r="407" spans="1:7" ht="12.75">
      <c r="A407" s="31" t="e">
        <f>A404+1</f>
        <v>#REF!</v>
      </c>
      <c r="B407" s="357"/>
      <c r="C407" s="375"/>
      <c r="D407" s="142"/>
      <c r="E407" s="270" t="e">
        <f>#REF!</f>
        <v>#REF!</v>
      </c>
      <c r="F407" s="430" t="e">
        <f>#REF!</f>
        <v>#REF!</v>
      </c>
      <c r="G407" s="367"/>
    </row>
    <row r="408" spans="1:7" ht="12.75">
      <c r="A408" s="37" t="e">
        <f>A404+1</f>
        <v>#REF!</v>
      </c>
      <c r="B408" s="357"/>
      <c r="C408" s="375"/>
      <c r="D408" s="252"/>
      <c r="E408" s="270" t="e">
        <f>#REF!</f>
        <v>#REF!</v>
      </c>
      <c r="F408" s="270" t="e">
        <f>#REF!</f>
        <v>#REF!</v>
      </c>
      <c r="G408" s="431"/>
    </row>
    <row r="409" spans="1:7" ht="12.75">
      <c r="A409" s="274"/>
      <c r="B409" s="275"/>
      <c r="C409" s="275"/>
      <c r="D409" s="275"/>
      <c r="E409" s="275"/>
      <c r="F409" s="275"/>
      <c r="G409" s="275"/>
    </row>
    <row r="410" spans="1:7" ht="12.75">
      <c r="A410" s="275"/>
      <c r="B410" s="275"/>
      <c r="C410" s="275"/>
      <c r="D410" s="275"/>
      <c r="E410" s="275"/>
      <c r="F410" s="275"/>
      <c r="G410" s="275"/>
    </row>
  </sheetData>
  <conditionalFormatting sqref="F9:F34 B9:B15 D47 B16:C16 B35:C37 D43 D45 D55 D52:D53 B20:B24 C9:C14 B28:C31 B129:B148">
    <cfRule type="expression" priority="1" dxfId="0" stopIfTrue="1">
      <formula>$F$2=TRUE</formula>
    </cfRule>
  </conditionalFormatting>
  <conditionalFormatting sqref="D51 D44">
    <cfRule type="expression" priority="2" dxfId="1" stopIfTrue="1">
      <formula>$J$2=TRUE</formula>
    </cfRule>
  </conditionalFormatting>
  <conditionalFormatting sqref="H80:I85 B64:F73 H64:I73 G75:I75 B80:F85 D95 G92:H112 H114 C92:D94 G118:H122 B310:B315 F310:F314 B292:C304 D320 E391:E394 E407:F408 E398:F403">
    <cfRule type="expression" priority="3" dxfId="0" stopIfTrue="1">
      <formula>$E$2=TRUE</formula>
    </cfRule>
  </conditionalFormatting>
  <conditionalFormatting sqref="G64:G73 G80:G85 C97">
    <cfRule type="expression" priority="4" dxfId="1" stopIfTrue="1">
      <formula>$I$2=TRUE</formula>
    </cfRule>
  </conditionalFormatting>
  <conditionalFormatting sqref="B327:O346">
    <cfRule type="expression" priority="5" dxfId="0" stopIfTrue="1">
      <formula>$G$2=TRUE</formula>
    </cfRule>
  </conditionalFormatting>
  <conditionalFormatting sqref="F170:F171 F182 F157:F166 C157:C162 F193 F206 E195 F196 F200:F204 F211 D213 C178:E178 F176:F178 C176:E176">
    <cfRule type="expression" priority="6" dxfId="1" stopIfTrue="1">
      <formula>$E$2=TRUE</formula>
    </cfRule>
  </conditionalFormatting>
  <conditionalFormatting sqref="C163:C166 F181 E164:E165 E168:F168 E379:E382 E159:E162 C245:C259 G262 D247:D258 C268:C282 C284:C285 D268 D283 C356:D368 E375:E377 D292:D304">
    <cfRule type="expression" priority="7" dxfId="0" stopIfTrue="1">
      <formula>$C$2=TRUE</formula>
    </cfRule>
  </conditionalFormatting>
  <conditionalFormatting sqref="E405 C193:C196 C211:C213 D224:D235 E395 G405 G407:G408">
    <cfRule type="expression" priority="8" dxfId="1" stopIfTrue="1">
      <formula>$F$2=TRUE</formula>
    </cfRule>
  </conditionalFormatting>
  <conditionalFormatting sqref="E194 D200:E203 C204:E204 C207:F207 D211:E211 D212 E224:E235 C223:C235 D223">
    <cfRule type="expression" priority="9" dxfId="0" stopIfTrue="1">
      <formula>$D$2=TRUE</formula>
    </cfRule>
  </conditionalFormatting>
  <conditionalFormatting sqref="C310:C315 D319">
    <cfRule type="expression" priority="10" dxfId="1" stopIfTrue="1">
      <formula>$H$2=TRUE</formula>
    </cfRule>
  </conditionalFormatting>
  <conditionalFormatting sqref="E356:E368 E374">
    <cfRule type="expression" priority="11" dxfId="1" stopIfTrue="1">
      <formula>$D$2=TRUE</formula>
    </cfRule>
  </conditionalFormatting>
  <conditionalFormatting sqref="E157">
    <cfRule type="expression" priority="12" dxfId="0" stopIfTrue="1">
      <formula>$C$2=TRUE</formula>
    </cfRule>
  </conditionalFormatting>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Blad13"/>
  <dimension ref="A1:P76"/>
  <sheetViews>
    <sheetView showGridLines="0" view="pageBreakPreview" zoomScaleNormal="86" zoomScaleSheetLayoutView="100" workbookViewId="0" topLeftCell="A1">
      <selection activeCell="F17" sqref="F17"/>
    </sheetView>
  </sheetViews>
  <sheetFormatPr defaultColWidth="9.140625" defaultRowHeight="12.75"/>
  <cols>
    <col min="1" max="1" width="5.00390625" style="466" customWidth="1"/>
    <col min="2" max="2" width="14.421875" style="459" customWidth="1"/>
    <col min="3" max="4" width="10.421875" style="459" customWidth="1"/>
    <col min="5" max="5" width="10.57421875" style="459" customWidth="1"/>
    <col min="6" max="6" width="11.28125" style="459" customWidth="1"/>
    <col min="7" max="7" width="0.85546875" style="457" customWidth="1"/>
    <col min="8" max="8" width="5.28125" style="466" customWidth="1"/>
    <col min="9" max="9" width="14.7109375" style="459" customWidth="1"/>
    <col min="10" max="10" width="11.28125" style="459" customWidth="1"/>
    <col min="11" max="12" width="10.7109375" style="459" customWidth="1"/>
    <col min="13" max="13" width="11.28125" style="459" customWidth="1"/>
    <col min="14" max="16384" width="9.140625" style="457" customWidth="1"/>
  </cols>
  <sheetData>
    <row r="1" spans="1:13" ht="15.75" customHeight="1">
      <c r="A1" s="624"/>
      <c r="B1" s="42"/>
      <c r="C1" s="42"/>
      <c r="D1" s="42"/>
      <c r="E1" s="42"/>
      <c r="F1" s="42"/>
      <c r="G1" s="572"/>
      <c r="H1" s="624"/>
      <c r="I1" s="42"/>
      <c r="J1" s="42"/>
      <c r="K1" s="42"/>
      <c r="L1" s="42"/>
      <c r="M1" s="42"/>
    </row>
    <row r="2" spans="1:13" s="503" customFormat="1" ht="15.75" customHeight="1">
      <c r="A2" s="1062" t="str">
        <f>CONCATENATE("Nacalculatieformulier ",Voorblad!D3)</f>
        <v>Nacalculatieformulier 2004</v>
      </c>
      <c r="B2" s="601"/>
      <c r="C2" s="603"/>
      <c r="D2" s="604"/>
      <c r="E2" s="604"/>
      <c r="F2" s="604"/>
      <c r="G2" s="604" t="b">
        <f>Voorblad!D30</f>
        <v>1</v>
      </c>
      <c r="H2" s="604"/>
      <c r="I2" s="604"/>
      <c r="J2" s="604">
        <f>Voorblad!I30</f>
        <v>0</v>
      </c>
      <c r="K2" s="604"/>
      <c r="L2" s="810"/>
      <c r="M2" s="600">
        <f>Afschrijvingen!I2+1</f>
        <v>11</v>
      </c>
    </row>
    <row r="3" spans="1:13" s="503" customFormat="1" ht="15.75" customHeight="1">
      <c r="A3" s="598"/>
      <c r="B3" s="91"/>
      <c r="C3" s="595"/>
      <c r="D3" s="596"/>
      <c r="E3" s="596"/>
      <c r="F3" s="596"/>
      <c r="G3" s="596"/>
      <c r="H3" s="596"/>
      <c r="I3" s="596"/>
      <c r="J3" s="596"/>
      <c r="K3" s="596"/>
      <c r="L3" s="596"/>
      <c r="M3" s="597"/>
    </row>
    <row r="4" spans="1:13" ht="12.75" customHeight="1">
      <c r="A4" s="624"/>
      <c r="B4" s="42"/>
      <c r="C4" s="42"/>
      <c r="D4" s="42"/>
      <c r="E4" s="42"/>
      <c r="F4" s="42"/>
      <c r="G4" s="572"/>
      <c r="H4" s="624"/>
      <c r="I4" s="42"/>
      <c r="J4" s="42"/>
      <c r="K4" s="42"/>
      <c r="L4" s="42"/>
      <c r="M4" s="42"/>
    </row>
    <row r="5" spans="1:13" ht="12.75" customHeight="1">
      <c r="A5" s="14" t="s">
        <v>350</v>
      </c>
      <c r="B5" s="627" t="s">
        <v>418</v>
      </c>
      <c r="C5" s="628"/>
      <c r="D5" s="42"/>
      <c r="E5" s="42"/>
      <c r="F5" s="42"/>
      <c r="G5" s="572"/>
      <c r="H5" s="624"/>
      <c r="I5" s="42"/>
      <c r="J5" s="42"/>
      <c r="K5" s="42"/>
      <c r="L5" s="42"/>
      <c r="M5" s="42"/>
    </row>
    <row r="6" spans="1:13" ht="12.75" customHeight="1">
      <c r="A6" s="14"/>
      <c r="B6" s="627"/>
      <c r="C6" s="628"/>
      <c r="D6" s="42"/>
      <c r="E6" s="42"/>
      <c r="F6" s="42"/>
      <c r="G6" s="572"/>
      <c r="H6" s="624"/>
      <c r="I6" s="42"/>
      <c r="J6" s="42"/>
      <c r="K6" s="42"/>
      <c r="L6" s="42"/>
      <c r="M6" s="42"/>
    </row>
    <row r="7" spans="1:13" ht="12.75" customHeight="1">
      <c r="A7" s="624"/>
      <c r="B7" s="1349" t="s">
        <v>361</v>
      </c>
      <c r="C7" s="1350"/>
      <c r="D7" s="1350"/>
      <c r="E7" s="1350"/>
      <c r="F7" s="1351"/>
      <c r="G7" s="572"/>
      <c r="H7" s="624"/>
      <c r="I7" s="1349" t="s">
        <v>365</v>
      </c>
      <c r="J7" s="1350"/>
      <c r="K7" s="1350"/>
      <c r="L7" s="1350"/>
      <c r="M7" s="1351"/>
    </row>
    <row r="8" spans="1:13" ht="12.75" customHeight="1">
      <c r="A8" s="742">
        <f>(100*M2)+1</f>
        <v>1101</v>
      </c>
      <c r="B8" s="1352"/>
      <c r="C8" s="1347"/>
      <c r="D8" s="1347"/>
      <c r="E8" s="1347"/>
      <c r="F8" s="1348"/>
      <c r="H8" s="739">
        <f>A36+1</f>
        <v>1121</v>
      </c>
      <c r="I8" s="1352"/>
      <c r="J8" s="1347"/>
      <c r="K8" s="1347"/>
      <c r="L8" s="1347"/>
      <c r="M8" s="1348"/>
    </row>
    <row r="9" spans="1:13" s="503" customFormat="1" ht="12.75" customHeight="1">
      <c r="A9" s="564"/>
      <c r="B9" s="1353" t="s">
        <v>360</v>
      </c>
      <c r="C9" s="1354"/>
      <c r="D9" s="629" t="s">
        <v>80</v>
      </c>
      <c r="E9" s="1337" t="s">
        <v>362</v>
      </c>
      <c r="F9" s="1338"/>
      <c r="G9" s="92"/>
      <c r="H9" s="595"/>
      <c r="I9" s="1353" t="s">
        <v>360</v>
      </c>
      <c r="J9" s="1354"/>
      <c r="K9" s="629" t="s">
        <v>80</v>
      </c>
      <c r="L9" s="1337" t="s">
        <v>362</v>
      </c>
      <c r="M9" s="1338"/>
    </row>
    <row r="10" spans="1:13" s="503" customFormat="1" ht="12.75" customHeight="1">
      <c r="A10" s="742">
        <f>A8+1</f>
        <v>1102</v>
      </c>
      <c r="B10" s="1333"/>
      <c r="C10" s="1334"/>
      <c r="D10" s="554"/>
      <c r="E10" s="1335"/>
      <c r="F10" s="1336"/>
      <c r="G10" s="565"/>
      <c r="H10" s="739">
        <f>H8+1</f>
        <v>1122</v>
      </c>
      <c r="I10" s="1333"/>
      <c r="J10" s="1334"/>
      <c r="K10" s="554"/>
      <c r="L10" s="1335"/>
      <c r="M10" s="1336"/>
    </row>
    <row r="11" spans="1:13" s="503" customFormat="1" ht="12.75" customHeight="1">
      <c r="A11" s="742">
        <f>A10+1</f>
        <v>1103</v>
      </c>
      <c r="B11" s="1343"/>
      <c r="C11" s="1344"/>
      <c r="D11" s="555"/>
      <c r="E11" s="1345"/>
      <c r="F11" s="1346"/>
      <c r="G11" s="565"/>
      <c r="H11" s="739">
        <f>H10+1</f>
        <v>1123</v>
      </c>
      <c r="I11" s="1343"/>
      <c r="J11" s="1344"/>
      <c r="K11" s="555"/>
      <c r="L11" s="1345"/>
      <c r="M11" s="1346"/>
    </row>
    <row r="12" spans="1:13" s="978" customFormat="1" ht="12.75" customHeight="1">
      <c r="A12" s="972"/>
      <c r="B12" s="973"/>
      <c r="C12" s="1331" t="s">
        <v>499</v>
      </c>
      <c r="D12" s="1332"/>
      <c r="E12" s="659" t="s">
        <v>498</v>
      </c>
      <c r="F12" s="659" t="s">
        <v>107</v>
      </c>
      <c r="G12" s="977"/>
      <c r="H12" s="972"/>
      <c r="I12" s="973"/>
      <c r="J12" s="1331" t="s">
        <v>499</v>
      </c>
      <c r="K12" s="1332"/>
      <c r="L12" s="659" t="s">
        <v>498</v>
      </c>
      <c r="M12" s="659" t="s">
        <v>107</v>
      </c>
    </row>
    <row r="13" spans="1:13" s="978" customFormat="1" ht="12.75" customHeight="1">
      <c r="A13" s="972"/>
      <c r="B13" s="975"/>
      <c r="C13" s="1329" t="s">
        <v>500</v>
      </c>
      <c r="D13" s="1330"/>
      <c r="E13" s="976" t="s">
        <v>394</v>
      </c>
      <c r="F13" s="976">
        <v>2004</v>
      </c>
      <c r="G13" s="977"/>
      <c r="H13" s="972"/>
      <c r="I13" s="975"/>
      <c r="J13" s="1329" t="s">
        <v>500</v>
      </c>
      <c r="K13" s="1330"/>
      <c r="L13" s="976" t="s">
        <v>394</v>
      </c>
      <c r="M13" s="976">
        <v>2004</v>
      </c>
    </row>
    <row r="14" spans="1:13" ht="12.75" customHeight="1">
      <c r="A14" s="739">
        <f>A11+1</f>
        <v>1104</v>
      </c>
      <c r="B14" s="878" t="s">
        <v>493</v>
      </c>
      <c r="C14" s="1325"/>
      <c r="D14" s="1326"/>
      <c r="E14" s="569"/>
      <c r="F14" s="569"/>
      <c r="H14" s="739">
        <f>H11+1</f>
        <v>1124</v>
      </c>
      <c r="I14" s="878" t="s">
        <v>493</v>
      </c>
      <c r="J14" s="1325"/>
      <c r="K14" s="1326"/>
      <c r="L14" s="569"/>
      <c r="M14" s="569"/>
    </row>
    <row r="15" spans="1:13" ht="12.75" customHeight="1">
      <c r="A15" s="739">
        <f aca="true" t="shared" si="0" ref="A15:A20">A14+1</f>
        <v>1105</v>
      </c>
      <c r="B15" s="878" t="s">
        <v>336</v>
      </c>
      <c r="C15" s="1327"/>
      <c r="D15" s="1328"/>
      <c r="E15" s="570"/>
      <c r="F15" s="570"/>
      <c r="H15" s="739">
        <f aca="true" t="shared" si="1" ref="H15:H20">H14+1</f>
        <v>1125</v>
      </c>
      <c r="I15" s="878" t="s">
        <v>336</v>
      </c>
      <c r="J15" s="1327"/>
      <c r="K15" s="1328"/>
      <c r="L15" s="570"/>
      <c r="M15" s="570"/>
    </row>
    <row r="16" spans="1:13" ht="12.75" customHeight="1">
      <c r="A16" s="739">
        <f t="shared" si="0"/>
        <v>1106</v>
      </c>
      <c r="B16" s="878" t="s">
        <v>494</v>
      </c>
      <c r="C16" s="1327"/>
      <c r="D16" s="1328"/>
      <c r="E16" s="570"/>
      <c r="F16" s="570"/>
      <c r="H16" s="739">
        <f t="shared" si="1"/>
        <v>1126</v>
      </c>
      <c r="I16" s="878" t="s">
        <v>494</v>
      </c>
      <c r="J16" s="1327"/>
      <c r="K16" s="1328"/>
      <c r="L16" s="570"/>
      <c r="M16" s="570"/>
    </row>
    <row r="17" spans="1:13" ht="12.75" customHeight="1">
      <c r="A17" s="739">
        <f t="shared" si="0"/>
        <v>1107</v>
      </c>
      <c r="B17" s="878" t="s">
        <v>396</v>
      </c>
      <c r="C17" s="1327"/>
      <c r="D17" s="1328"/>
      <c r="E17" s="570"/>
      <c r="F17" s="570"/>
      <c r="H17" s="739">
        <f t="shared" si="1"/>
        <v>1127</v>
      </c>
      <c r="I17" s="878" t="s">
        <v>396</v>
      </c>
      <c r="J17" s="1327"/>
      <c r="K17" s="1328"/>
      <c r="L17" s="570"/>
      <c r="M17" s="570"/>
    </row>
    <row r="18" spans="1:13" ht="12.75" customHeight="1">
      <c r="A18" s="739">
        <f t="shared" si="0"/>
        <v>1108</v>
      </c>
      <c r="B18" s="878" t="s">
        <v>486</v>
      </c>
      <c r="C18" s="1327"/>
      <c r="D18" s="1328"/>
      <c r="E18" s="570"/>
      <c r="F18" s="570"/>
      <c r="H18" s="739">
        <f t="shared" si="1"/>
        <v>1128</v>
      </c>
      <c r="I18" s="878" t="s">
        <v>486</v>
      </c>
      <c r="J18" s="1327"/>
      <c r="K18" s="1328"/>
      <c r="L18" s="570"/>
      <c r="M18" s="570"/>
    </row>
    <row r="19" spans="1:13" ht="12.75" customHeight="1">
      <c r="A19" s="739">
        <f t="shared" si="0"/>
        <v>1109</v>
      </c>
      <c r="B19" s="878" t="s">
        <v>68</v>
      </c>
      <c r="C19" s="1327"/>
      <c r="D19" s="1328"/>
      <c r="E19" s="570"/>
      <c r="F19" s="570"/>
      <c r="H19" s="739">
        <f t="shared" si="1"/>
        <v>1129</v>
      </c>
      <c r="I19" s="878" t="s">
        <v>68</v>
      </c>
      <c r="J19" s="1327"/>
      <c r="K19" s="1328"/>
      <c r="L19" s="570"/>
      <c r="M19" s="570"/>
    </row>
    <row r="20" spans="1:13" ht="12.75" customHeight="1">
      <c r="A20" s="739">
        <f t="shared" si="0"/>
        <v>1110</v>
      </c>
      <c r="B20" s="753" t="s">
        <v>119</v>
      </c>
      <c r="C20" s="1323">
        <f>SUM(C14:C19)</f>
        <v>0</v>
      </c>
      <c r="D20" s="1324"/>
      <c r="E20" s="754">
        <f>SUM(E14:E19)</f>
        <v>0</v>
      </c>
      <c r="F20" s="754">
        <f>SUM(F14:F19)</f>
        <v>0</v>
      </c>
      <c r="H20" s="739">
        <f t="shared" si="1"/>
        <v>1130</v>
      </c>
      <c r="I20" s="753" t="s">
        <v>119</v>
      </c>
      <c r="J20" s="1323">
        <f>SUM(J14:K19)</f>
        <v>0</v>
      </c>
      <c r="K20" s="1324"/>
      <c r="L20" s="754">
        <f>SUM(L14:L19)</f>
        <v>0</v>
      </c>
      <c r="M20" s="754">
        <f>SUM(M14:M19)</f>
        <v>0</v>
      </c>
    </row>
    <row r="21" spans="1:13" s="486" customFormat="1" ht="12.75" customHeight="1">
      <c r="A21" s="71"/>
      <c r="B21" s="772"/>
      <c r="C21" s="970"/>
      <c r="D21" s="970"/>
      <c r="E21" s="971"/>
      <c r="F21" s="971"/>
      <c r="H21" s="71"/>
      <c r="I21" s="772"/>
      <c r="J21" s="970"/>
      <c r="K21" s="970"/>
      <c r="L21" s="971"/>
      <c r="M21" s="971"/>
    </row>
    <row r="22" spans="1:13" ht="12">
      <c r="A22" s="624"/>
      <c r="B22" s="42"/>
      <c r="C22" s="42"/>
      <c r="D22" s="42"/>
      <c r="E22" s="42"/>
      <c r="F22" s="42"/>
      <c r="G22" s="572"/>
      <c r="H22" s="624"/>
      <c r="I22" s="42"/>
      <c r="J22" s="42"/>
      <c r="K22" s="42"/>
      <c r="L22" s="42"/>
      <c r="M22" s="42"/>
    </row>
    <row r="23" spans="1:13" ht="12.75" customHeight="1">
      <c r="A23" s="624"/>
      <c r="B23" s="1349" t="s">
        <v>363</v>
      </c>
      <c r="C23" s="1350"/>
      <c r="D23" s="1350"/>
      <c r="E23" s="1350"/>
      <c r="F23" s="1351"/>
      <c r="G23" s="572"/>
      <c r="H23" s="624"/>
      <c r="I23" s="1349" t="s">
        <v>364</v>
      </c>
      <c r="J23" s="1350"/>
      <c r="K23" s="1350"/>
      <c r="L23" s="1350"/>
      <c r="M23" s="1351"/>
    </row>
    <row r="24" spans="1:13" ht="12.75" customHeight="1">
      <c r="A24" s="739">
        <f>A20+1</f>
        <v>1111</v>
      </c>
      <c r="B24" s="1352"/>
      <c r="C24" s="1347"/>
      <c r="D24" s="1347"/>
      <c r="E24" s="1347"/>
      <c r="F24" s="1348"/>
      <c r="H24" s="739">
        <f>H20+1</f>
        <v>1131</v>
      </c>
      <c r="I24" s="1352"/>
      <c r="J24" s="1347"/>
      <c r="K24" s="1347"/>
      <c r="L24" s="1347"/>
      <c r="M24" s="1348"/>
    </row>
    <row r="25" spans="1:13" ht="12.75" customHeight="1">
      <c r="A25" s="595"/>
      <c r="B25" s="1353" t="s">
        <v>360</v>
      </c>
      <c r="C25" s="1354"/>
      <c r="D25" s="629" t="s">
        <v>80</v>
      </c>
      <c r="E25" s="1337" t="s">
        <v>362</v>
      </c>
      <c r="F25" s="1338"/>
      <c r="G25" s="572"/>
      <c r="H25" s="595"/>
      <c r="I25" s="1353" t="s">
        <v>360</v>
      </c>
      <c r="J25" s="1354"/>
      <c r="K25" s="629" t="s">
        <v>80</v>
      </c>
      <c r="L25" s="1337" t="s">
        <v>362</v>
      </c>
      <c r="M25" s="1338"/>
    </row>
    <row r="26" spans="1:13" ht="12.75" customHeight="1">
      <c r="A26" s="739">
        <f>A24+1</f>
        <v>1112</v>
      </c>
      <c r="B26" s="1333"/>
      <c r="C26" s="1334"/>
      <c r="D26" s="554"/>
      <c r="E26" s="1335"/>
      <c r="F26" s="1336"/>
      <c r="H26" s="739">
        <f>H24+1</f>
        <v>1132</v>
      </c>
      <c r="I26" s="1333"/>
      <c r="J26" s="1334"/>
      <c r="K26" s="554"/>
      <c r="L26" s="1335"/>
      <c r="M26" s="1336"/>
    </row>
    <row r="27" spans="1:13" ht="12.75" customHeight="1">
      <c r="A27" s="739">
        <f>A26+1</f>
        <v>1113</v>
      </c>
      <c r="B27" s="1343"/>
      <c r="C27" s="1344"/>
      <c r="D27" s="555"/>
      <c r="E27" s="1345"/>
      <c r="F27" s="1346"/>
      <c r="H27" s="739">
        <f>H26+1</f>
        <v>1133</v>
      </c>
      <c r="I27" s="1343"/>
      <c r="J27" s="1344"/>
      <c r="K27" s="555"/>
      <c r="L27" s="1345"/>
      <c r="M27" s="1346"/>
    </row>
    <row r="28" spans="1:13" s="974" customFormat="1" ht="12.75" customHeight="1">
      <c r="A28" s="972"/>
      <c r="B28" s="973"/>
      <c r="C28" s="1331" t="s">
        <v>499</v>
      </c>
      <c r="D28" s="1332"/>
      <c r="E28" s="659" t="s">
        <v>498</v>
      </c>
      <c r="F28" s="659" t="s">
        <v>107</v>
      </c>
      <c r="G28" s="185"/>
      <c r="H28" s="972"/>
      <c r="I28" s="973"/>
      <c r="J28" s="1331" t="s">
        <v>499</v>
      </c>
      <c r="K28" s="1332"/>
      <c r="L28" s="659" t="s">
        <v>498</v>
      </c>
      <c r="M28" s="659" t="s">
        <v>107</v>
      </c>
    </row>
    <row r="29" spans="1:13" s="974" customFormat="1" ht="12.75" customHeight="1">
      <c r="A29" s="972"/>
      <c r="B29" s="975"/>
      <c r="C29" s="1329" t="s">
        <v>500</v>
      </c>
      <c r="D29" s="1330"/>
      <c r="E29" s="976" t="s">
        <v>394</v>
      </c>
      <c r="F29" s="976">
        <v>2004</v>
      </c>
      <c r="G29" s="185"/>
      <c r="H29" s="972"/>
      <c r="I29" s="975"/>
      <c r="J29" s="1329" t="s">
        <v>500</v>
      </c>
      <c r="K29" s="1330"/>
      <c r="L29" s="976" t="s">
        <v>394</v>
      </c>
      <c r="M29" s="976">
        <v>2004</v>
      </c>
    </row>
    <row r="30" spans="1:13" ht="12.75" customHeight="1">
      <c r="A30" s="739">
        <f>A27+1</f>
        <v>1114</v>
      </c>
      <c r="B30" s="878" t="s">
        <v>493</v>
      </c>
      <c r="C30" s="1325"/>
      <c r="D30" s="1326"/>
      <c r="E30" s="569"/>
      <c r="F30" s="569"/>
      <c r="H30" s="739">
        <f>H27+1</f>
        <v>1134</v>
      </c>
      <c r="I30" s="878" t="s">
        <v>493</v>
      </c>
      <c r="J30" s="1325"/>
      <c r="K30" s="1326"/>
      <c r="L30" s="569"/>
      <c r="M30" s="569"/>
    </row>
    <row r="31" spans="1:13" ht="12.75" customHeight="1">
      <c r="A31" s="739">
        <f aca="true" t="shared" si="2" ref="A31:A36">A30+1</f>
        <v>1115</v>
      </c>
      <c r="B31" s="878" t="s">
        <v>336</v>
      </c>
      <c r="C31" s="1327"/>
      <c r="D31" s="1328"/>
      <c r="E31" s="570"/>
      <c r="F31" s="570"/>
      <c r="H31" s="739">
        <f aca="true" t="shared" si="3" ref="H31:H36">H30+1</f>
        <v>1135</v>
      </c>
      <c r="I31" s="878" t="s">
        <v>336</v>
      </c>
      <c r="J31" s="1327"/>
      <c r="K31" s="1328"/>
      <c r="L31" s="570"/>
      <c r="M31" s="570"/>
    </row>
    <row r="32" spans="1:13" ht="12.75" customHeight="1">
      <c r="A32" s="739">
        <f t="shared" si="2"/>
        <v>1116</v>
      </c>
      <c r="B32" s="878" t="s">
        <v>494</v>
      </c>
      <c r="C32" s="1327"/>
      <c r="D32" s="1328"/>
      <c r="E32" s="570"/>
      <c r="F32" s="570"/>
      <c r="H32" s="739">
        <f t="shared" si="3"/>
        <v>1136</v>
      </c>
      <c r="I32" s="878" t="s">
        <v>494</v>
      </c>
      <c r="J32" s="1327"/>
      <c r="K32" s="1328"/>
      <c r="L32" s="570"/>
      <c r="M32" s="570"/>
    </row>
    <row r="33" spans="1:13" ht="12" customHeight="1">
      <c r="A33" s="739">
        <f t="shared" si="2"/>
        <v>1117</v>
      </c>
      <c r="B33" s="878" t="s">
        <v>396</v>
      </c>
      <c r="C33" s="1327"/>
      <c r="D33" s="1328"/>
      <c r="E33" s="570"/>
      <c r="F33" s="570"/>
      <c r="H33" s="739">
        <f t="shared" si="3"/>
        <v>1137</v>
      </c>
      <c r="I33" s="878" t="s">
        <v>396</v>
      </c>
      <c r="J33" s="1327"/>
      <c r="K33" s="1328"/>
      <c r="L33" s="570"/>
      <c r="M33" s="570"/>
    </row>
    <row r="34" spans="1:13" ht="12.75" customHeight="1">
      <c r="A34" s="739">
        <f t="shared" si="2"/>
        <v>1118</v>
      </c>
      <c r="B34" s="878" t="s">
        <v>486</v>
      </c>
      <c r="C34" s="1327"/>
      <c r="D34" s="1328"/>
      <c r="E34" s="570"/>
      <c r="F34" s="570"/>
      <c r="H34" s="739">
        <f t="shared" si="3"/>
        <v>1138</v>
      </c>
      <c r="I34" s="878" t="s">
        <v>486</v>
      </c>
      <c r="J34" s="1327"/>
      <c r="K34" s="1328"/>
      <c r="L34" s="570"/>
      <c r="M34" s="570"/>
    </row>
    <row r="35" spans="1:13" ht="12.75" customHeight="1">
      <c r="A35" s="739">
        <f t="shared" si="2"/>
        <v>1119</v>
      </c>
      <c r="B35" s="878" t="s">
        <v>68</v>
      </c>
      <c r="C35" s="1327"/>
      <c r="D35" s="1328"/>
      <c r="E35" s="570"/>
      <c r="F35" s="570"/>
      <c r="H35" s="739">
        <f t="shared" si="3"/>
        <v>1139</v>
      </c>
      <c r="I35" s="878" t="s">
        <v>68</v>
      </c>
      <c r="J35" s="1327"/>
      <c r="K35" s="1328"/>
      <c r="L35" s="570"/>
      <c r="M35" s="570"/>
    </row>
    <row r="36" spans="1:13" ht="12.75" customHeight="1">
      <c r="A36" s="739">
        <f t="shared" si="2"/>
        <v>1120</v>
      </c>
      <c r="B36" s="753" t="s">
        <v>119</v>
      </c>
      <c r="C36" s="1323">
        <f>SUM(C30:D35)</f>
        <v>0</v>
      </c>
      <c r="D36" s="1324"/>
      <c r="E36" s="754">
        <f>SUM(E30:E35)</f>
        <v>0</v>
      </c>
      <c r="F36" s="754">
        <f>SUM(F30:F35)</f>
        <v>0</v>
      </c>
      <c r="H36" s="739">
        <f t="shared" si="3"/>
        <v>1140</v>
      </c>
      <c r="I36" s="753" t="s">
        <v>119</v>
      </c>
      <c r="J36" s="1323">
        <f>SUM(J30:K35)</f>
        <v>0</v>
      </c>
      <c r="K36" s="1324"/>
      <c r="L36" s="754">
        <f>SUM(L30:L35)</f>
        <v>0</v>
      </c>
      <c r="M36" s="754">
        <f>SUM(M30:M35)</f>
        <v>0</v>
      </c>
    </row>
    <row r="37" spans="1:15" ht="12.75">
      <c r="A37"/>
      <c r="B37"/>
      <c r="C37"/>
      <c r="D37"/>
      <c r="E37"/>
      <c r="F37"/>
      <c r="G37"/>
      <c r="H37"/>
      <c r="I37"/>
      <c r="J37"/>
      <c r="K37"/>
      <c r="L37"/>
      <c r="M37"/>
      <c r="N37"/>
      <c r="O37"/>
    </row>
    <row r="38" spans="1:16" ht="12.75">
      <c r="A38"/>
      <c r="B38"/>
      <c r="C38"/>
      <c r="D38"/>
      <c r="E38"/>
      <c r="F38"/>
      <c r="G38"/>
      <c r="H38"/>
      <c r="I38"/>
      <c r="J38"/>
      <c r="K38"/>
      <c r="L38"/>
      <c r="M38"/>
      <c r="N38"/>
      <c r="O38"/>
      <c r="P38"/>
    </row>
    <row r="39" spans="1:13" ht="12">
      <c r="A39" s="624"/>
      <c r="B39" s="42"/>
      <c r="C39" s="42"/>
      <c r="D39" s="42"/>
      <c r="E39" s="42"/>
      <c r="F39" s="42"/>
      <c r="G39" s="572"/>
      <c r="H39" s="624"/>
      <c r="I39" s="42"/>
      <c r="J39" s="42"/>
      <c r="K39" s="42"/>
      <c r="L39" s="42"/>
      <c r="M39" s="42"/>
    </row>
    <row r="40" spans="1:13" ht="12" customHeight="1">
      <c r="A40" s="1062" t="str">
        <f>CONCATENATE("Nacalculatieformulier ",Voorblad!D3)</f>
        <v>Nacalculatieformulier 2004</v>
      </c>
      <c r="B40" s="601"/>
      <c r="C40" s="603"/>
      <c r="D40" s="604"/>
      <c r="E40" s="604"/>
      <c r="F40" s="604"/>
      <c r="G40" s="604" t="b">
        <f>Voorblad!D30</f>
        <v>1</v>
      </c>
      <c r="H40" s="604"/>
      <c r="I40" s="604"/>
      <c r="J40" s="604"/>
      <c r="K40" s="604"/>
      <c r="L40" s="810"/>
      <c r="M40" s="600">
        <f>M2+1</f>
        <v>12</v>
      </c>
    </row>
    <row r="41" spans="1:13" ht="12" customHeight="1">
      <c r="A41" s="598"/>
      <c r="B41" s="91"/>
      <c r="C41" s="595"/>
      <c r="D41" s="596"/>
      <c r="E41" s="596"/>
      <c r="F41" s="596"/>
      <c r="G41" s="596"/>
      <c r="H41" s="596"/>
      <c r="I41" s="596"/>
      <c r="J41" s="596"/>
      <c r="K41" s="596"/>
      <c r="L41" s="596"/>
      <c r="M41" s="597"/>
    </row>
    <row r="42" spans="1:13" ht="12">
      <c r="A42" s="624"/>
      <c r="B42" s="42"/>
      <c r="C42" s="42"/>
      <c r="D42" s="42"/>
      <c r="E42" s="42"/>
      <c r="F42" s="42"/>
      <c r="G42" s="572"/>
      <c r="H42" s="624"/>
      <c r="I42" s="42"/>
      <c r="J42" s="42"/>
      <c r="K42" s="42"/>
      <c r="L42" s="42"/>
      <c r="M42" s="42"/>
    </row>
    <row r="43" spans="1:13" ht="12">
      <c r="A43" s="14" t="s">
        <v>350</v>
      </c>
      <c r="B43" s="627" t="s">
        <v>419</v>
      </c>
      <c r="C43" s="628"/>
      <c r="D43" s="42"/>
      <c r="E43" s="42"/>
      <c r="F43" s="42"/>
      <c r="G43" s="42"/>
      <c r="H43" s="572"/>
      <c r="I43" s="572"/>
      <c r="J43" s="572"/>
      <c r="K43" s="618"/>
      <c r="L43" s="572"/>
      <c r="M43" s="572"/>
    </row>
    <row r="44" spans="1:13" ht="12">
      <c r="A44" s="14"/>
      <c r="B44" s="627"/>
      <c r="C44" s="628"/>
      <c r="D44" s="42"/>
      <c r="E44" s="42"/>
      <c r="F44" s="42"/>
      <c r="G44" s="42"/>
      <c r="H44" s="572"/>
      <c r="I44" s="572"/>
      <c r="J44" s="572"/>
      <c r="K44" s="618"/>
      <c r="L44" s="572"/>
      <c r="M44" s="572"/>
    </row>
    <row r="45" spans="1:13" ht="12">
      <c r="A45" s="624"/>
      <c r="B45" s="1349" t="s">
        <v>366</v>
      </c>
      <c r="C45" s="1350"/>
      <c r="D45" s="1350"/>
      <c r="E45" s="1350"/>
      <c r="F45" s="1351"/>
      <c r="G45" s="572"/>
      <c r="H45" s="624"/>
      <c r="I45" s="1349" t="s">
        <v>367</v>
      </c>
      <c r="J45" s="1350"/>
      <c r="K45" s="1350"/>
      <c r="L45" s="1350"/>
      <c r="M45" s="1351"/>
    </row>
    <row r="46" spans="1:13" ht="12.75" customHeight="1">
      <c r="A46" s="739">
        <f>(100*M40)+1</f>
        <v>1201</v>
      </c>
      <c r="B46" s="1352"/>
      <c r="C46" s="1347"/>
      <c r="D46" s="1347"/>
      <c r="E46" s="1347"/>
      <c r="F46" s="1348"/>
      <c r="H46" s="739">
        <f>A74+1</f>
        <v>1221</v>
      </c>
      <c r="I46" s="1347"/>
      <c r="J46" s="1347"/>
      <c r="K46" s="1347"/>
      <c r="L46" s="1347"/>
      <c r="M46" s="1348"/>
    </row>
    <row r="47" spans="1:13" ht="12">
      <c r="A47" s="595"/>
      <c r="B47" s="1339" t="s">
        <v>360</v>
      </c>
      <c r="C47" s="1340"/>
      <c r="D47" s="568" t="s">
        <v>80</v>
      </c>
      <c r="E47" s="1341" t="s">
        <v>362</v>
      </c>
      <c r="F47" s="1342"/>
      <c r="G47" s="503"/>
      <c r="H47" s="595"/>
      <c r="I47" s="1339" t="s">
        <v>360</v>
      </c>
      <c r="J47" s="1340"/>
      <c r="K47" s="568" t="s">
        <v>80</v>
      </c>
      <c r="L47" s="1341" t="s">
        <v>362</v>
      </c>
      <c r="M47" s="1342"/>
    </row>
    <row r="48" spans="1:13" ht="12">
      <c r="A48" s="739">
        <f>A46+1</f>
        <v>1202</v>
      </c>
      <c r="B48" s="1333"/>
      <c r="C48" s="1334"/>
      <c r="D48" s="554"/>
      <c r="E48" s="1335"/>
      <c r="F48" s="1336"/>
      <c r="G48" s="565"/>
      <c r="H48" s="739">
        <f>H46+1</f>
        <v>1222</v>
      </c>
      <c r="I48" s="1333"/>
      <c r="J48" s="1334"/>
      <c r="K48" s="554"/>
      <c r="L48" s="1335"/>
      <c r="M48" s="1336"/>
    </row>
    <row r="49" spans="1:13" ht="12">
      <c r="A49" s="739">
        <f>A48+1</f>
        <v>1203</v>
      </c>
      <c r="B49" s="1343"/>
      <c r="C49" s="1344"/>
      <c r="D49" s="555"/>
      <c r="E49" s="1345"/>
      <c r="F49" s="1346"/>
      <c r="G49" s="565"/>
      <c r="H49" s="739">
        <f>H48+1</f>
        <v>1223</v>
      </c>
      <c r="I49" s="1343"/>
      <c r="J49" s="1344"/>
      <c r="K49" s="555"/>
      <c r="L49" s="1345"/>
      <c r="M49" s="1346"/>
    </row>
    <row r="50" spans="1:13" s="974" customFormat="1" ht="12">
      <c r="A50" s="972"/>
      <c r="B50" s="973"/>
      <c r="C50" s="1331" t="s">
        <v>499</v>
      </c>
      <c r="D50" s="1332"/>
      <c r="E50" s="659" t="s">
        <v>498</v>
      </c>
      <c r="F50" s="659" t="s">
        <v>107</v>
      </c>
      <c r="G50" s="977"/>
      <c r="H50" s="972"/>
      <c r="I50" s="973"/>
      <c r="J50" s="1331" t="s">
        <v>499</v>
      </c>
      <c r="K50" s="1332"/>
      <c r="L50" s="659" t="s">
        <v>498</v>
      </c>
      <c r="M50" s="659" t="s">
        <v>107</v>
      </c>
    </row>
    <row r="51" spans="1:13" s="974" customFormat="1" ht="12">
      <c r="A51" s="972"/>
      <c r="B51" s="975"/>
      <c r="C51" s="1329" t="s">
        <v>500</v>
      </c>
      <c r="D51" s="1330"/>
      <c r="E51" s="976" t="s">
        <v>394</v>
      </c>
      <c r="F51" s="976">
        <v>2004</v>
      </c>
      <c r="G51" s="977"/>
      <c r="H51" s="972"/>
      <c r="I51" s="975"/>
      <c r="J51" s="1329" t="s">
        <v>500</v>
      </c>
      <c r="K51" s="1330"/>
      <c r="L51" s="976" t="s">
        <v>394</v>
      </c>
      <c r="M51" s="976">
        <v>2004</v>
      </c>
    </row>
    <row r="52" spans="1:13" ht="12.75" customHeight="1">
      <c r="A52" s="739">
        <f>A49+1</f>
        <v>1204</v>
      </c>
      <c r="B52" s="878" t="s">
        <v>493</v>
      </c>
      <c r="C52" s="1325"/>
      <c r="D52" s="1326"/>
      <c r="E52" s="569"/>
      <c r="F52" s="569"/>
      <c r="H52" s="739">
        <f>H49+1</f>
        <v>1224</v>
      </c>
      <c r="I52" s="878" t="s">
        <v>493</v>
      </c>
      <c r="J52" s="1325"/>
      <c r="K52" s="1326"/>
      <c r="L52" s="569"/>
      <c r="M52" s="569"/>
    </row>
    <row r="53" spans="1:13" ht="12.75" customHeight="1">
      <c r="A53" s="739">
        <f aca="true" t="shared" si="4" ref="A53:A58">A52+1</f>
        <v>1205</v>
      </c>
      <c r="B53" s="878" t="s">
        <v>336</v>
      </c>
      <c r="C53" s="1327"/>
      <c r="D53" s="1328"/>
      <c r="E53" s="570"/>
      <c r="F53" s="570"/>
      <c r="H53" s="739">
        <f aca="true" t="shared" si="5" ref="H53:H58">H52+1</f>
        <v>1225</v>
      </c>
      <c r="I53" s="878" t="s">
        <v>336</v>
      </c>
      <c r="J53" s="1327"/>
      <c r="K53" s="1328"/>
      <c r="L53" s="570"/>
      <c r="M53" s="570"/>
    </row>
    <row r="54" spans="1:13" ht="12.75" customHeight="1">
      <c r="A54" s="739">
        <f t="shared" si="4"/>
        <v>1206</v>
      </c>
      <c r="B54" s="878" t="s">
        <v>494</v>
      </c>
      <c r="C54" s="1327"/>
      <c r="D54" s="1328"/>
      <c r="E54" s="570"/>
      <c r="F54" s="570"/>
      <c r="H54" s="739">
        <f t="shared" si="5"/>
        <v>1226</v>
      </c>
      <c r="I54" s="878" t="s">
        <v>494</v>
      </c>
      <c r="J54" s="1327"/>
      <c r="K54" s="1328"/>
      <c r="L54" s="570"/>
      <c r="M54" s="570"/>
    </row>
    <row r="55" spans="1:13" ht="12.75" customHeight="1">
      <c r="A55" s="739">
        <f t="shared" si="4"/>
        <v>1207</v>
      </c>
      <c r="B55" s="878" t="s">
        <v>396</v>
      </c>
      <c r="C55" s="1327"/>
      <c r="D55" s="1328"/>
      <c r="E55" s="570"/>
      <c r="F55" s="570"/>
      <c r="H55" s="739">
        <f t="shared" si="5"/>
        <v>1227</v>
      </c>
      <c r="I55" s="878" t="s">
        <v>396</v>
      </c>
      <c r="J55" s="1327"/>
      <c r="K55" s="1328"/>
      <c r="L55" s="570"/>
      <c r="M55" s="570"/>
    </row>
    <row r="56" spans="1:13" ht="12.75" customHeight="1">
      <c r="A56" s="739">
        <f t="shared" si="4"/>
        <v>1208</v>
      </c>
      <c r="B56" s="878" t="s">
        <v>486</v>
      </c>
      <c r="C56" s="1327"/>
      <c r="D56" s="1328"/>
      <c r="E56" s="570"/>
      <c r="F56" s="570"/>
      <c r="H56" s="739">
        <f t="shared" si="5"/>
        <v>1228</v>
      </c>
      <c r="I56" s="878" t="s">
        <v>486</v>
      </c>
      <c r="J56" s="1327"/>
      <c r="K56" s="1328"/>
      <c r="L56" s="570"/>
      <c r="M56" s="570"/>
    </row>
    <row r="57" spans="1:13" ht="12.75" customHeight="1">
      <c r="A57" s="739">
        <f t="shared" si="4"/>
        <v>1209</v>
      </c>
      <c r="B57" s="878" t="s">
        <v>68</v>
      </c>
      <c r="C57" s="1327"/>
      <c r="D57" s="1328"/>
      <c r="E57" s="570"/>
      <c r="F57" s="570"/>
      <c r="H57" s="739">
        <f t="shared" si="5"/>
        <v>1229</v>
      </c>
      <c r="I57" s="878" t="s">
        <v>68</v>
      </c>
      <c r="J57" s="1327"/>
      <c r="K57" s="1328"/>
      <c r="L57" s="570"/>
      <c r="M57" s="570"/>
    </row>
    <row r="58" spans="1:13" ht="12" customHeight="1">
      <c r="A58" s="739">
        <f t="shared" si="4"/>
        <v>1210</v>
      </c>
      <c r="B58" s="753" t="s">
        <v>119</v>
      </c>
      <c r="C58" s="1323">
        <f>SUM(C52:C57)</f>
        <v>0</v>
      </c>
      <c r="D58" s="1324"/>
      <c r="E58" s="754">
        <f>SUM(E52:E57)</f>
        <v>0</v>
      </c>
      <c r="F58" s="754">
        <f>SUM(F52:F57)</f>
        <v>0</v>
      </c>
      <c r="H58" s="739">
        <f t="shared" si="5"/>
        <v>1230</v>
      </c>
      <c r="I58" s="753" t="s">
        <v>119</v>
      </c>
      <c r="J58" s="1323">
        <f>SUM(J52:K57)</f>
        <v>0</v>
      </c>
      <c r="K58" s="1324"/>
      <c r="L58" s="754">
        <f>SUM(L52:L57)</f>
        <v>0</v>
      </c>
      <c r="M58" s="754">
        <f>SUM(M52:M57)</f>
        <v>0</v>
      </c>
    </row>
    <row r="59" spans="1:13" s="486" customFormat="1" ht="12">
      <c r="A59" s="71"/>
      <c r="B59" s="772"/>
      <c r="C59" s="970"/>
      <c r="D59" s="970"/>
      <c r="E59" s="971"/>
      <c r="F59" s="971"/>
      <c r="H59" s="71"/>
      <c r="I59" s="772"/>
      <c r="J59" s="970"/>
      <c r="K59" s="970"/>
      <c r="L59" s="971"/>
      <c r="M59" s="971"/>
    </row>
    <row r="60" spans="1:13" ht="12">
      <c r="A60" s="624"/>
      <c r="B60" s="42"/>
      <c r="C60" s="42"/>
      <c r="D60" s="42"/>
      <c r="E60" s="42"/>
      <c r="F60" s="42"/>
      <c r="G60" s="572"/>
      <c r="H60" s="624"/>
      <c r="I60" s="42"/>
      <c r="J60" s="42"/>
      <c r="K60" s="42"/>
      <c r="L60" s="42"/>
      <c r="M60" s="42"/>
    </row>
    <row r="61" spans="1:13" ht="12">
      <c r="A61" s="624"/>
      <c r="B61" s="1349" t="s">
        <v>368</v>
      </c>
      <c r="C61" s="1350"/>
      <c r="D61" s="1350"/>
      <c r="E61" s="1350"/>
      <c r="F61" s="1351"/>
      <c r="G61" s="572"/>
      <c r="H61" s="624"/>
      <c r="I61" s="1349" t="s">
        <v>369</v>
      </c>
      <c r="J61" s="1350"/>
      <c r="K61" s="1350"/>
      <c r="L61" s="1350"/>
      <c r="M61" s="1351"/>
    </row>
    <row r="62" spans="1:13" ht="12">
      <c r="A62" s="739">
        <f>A58+1</f>
        <v>1211</v>
      </c>
      <c r="B62" s="1347"/>
      <c r="C62" s="1347"/>
      <c r="D62" s="1347"/>
      <c r="E62" s="1347"/>
      <c r="F62" s="1348"/>
      <c r="H62" s="739">
        <f>H58+1</f>
        <v>1231</v>
      </c>
      <c r="I62" s="1347"/>
      <c r="J62" s="1347"/>
      <c r="K62" s="1347"/>
      <c r="L62" s="1347"/>
      <c r="M62" s="1348"/>
    </row>
    <row r="63" spans="1:13" ht="12">
      <c r="A63" s="595"/>
      <c r="B63" s="1353" t="s">
        <v>360</v>
      </c>
      <c r="C63" s="1354"/>
      <c r="D63" s="629" t="s">
        <v>80</v>
      </c>
      <c r="E63" s="1337" t="s">
        <v>362</v>
      </c>
      <c r="F63" s="1338"/>
      <c r="G63" s="572"/>
      <c r="H63" s="595"/>
      <c r="I63" s="1353" t="s">
        <v>360</v>
      </c>
      <c r="J63" s="1354"/>
      <c r="K63" s="629" t="s">
        <v>80</v>
      </c>
      <c r="L63" s="1337" t="s">
        <v>362</v>
      </c>
      <c r="M63" s="1338"/>
    </row>
    <row r="64" spans="1:13" ht="12">
      <c r="A64" s="739">
        <f>A62+1</f>
        <v>1212</v>
      </c>
      <c r="B64" s="1333"/>
      <c r="C64" s="1334"/>
      <c r="D64" s="554"/>
      <c r="E64" s="1335"/>
      <c r="F64" s="1336"/>
      <c r="H64" s="739">
        <f>H62+1</f>
        <v>1232</v>
      </c>
      <c r="I64" s="1333"/>
      <c r="J64" s="1334"/>
      <c r="K64" s="554"/>
      <c r="L64" s="1335"/>
      <c r="M64" s="1336"/>
    </row>
    <row r="65" spans="1:13" ht="12">
      <c r="A65" s="739">
        <f>A64+1</f>
        <v>1213</v>
      </c>
      <c r="B65" s="1343"/>
      <c r="C65" s="1344"/>
      <c r="D65" s="555"/>
      <c r="E65" s="1345"/>
      <c r="F65" s="1346"/>
      <c r="H65" s="739">
        <f>H64+1</f>
        <v>1233</v>
      </c>
      <c r="I65" s="1343"/>
      <c r="J65" s="1344"/>
      <c r="K65" s="555"/>
      <c r="L65" s="1345"/>
      <c r="M65" s="1346"/>
    </row>
    <row r="66" spans="1:13" s="974" customFormat="1" ht="12">
      <c r="A66" s="972"/>
      <c r="B66" s="973"/>
      <c r="C66" s="1331" t="s">
        <v>499</v>
      </c>
      <c r="D66" s="1332"/>
      <c r="E66" s="659" t="s">
        <v>498</v>
      </c>
      <c r="F66" s="659" t="s">
        <v>107</v>
      </c>
      <c r="G66" s="185"/>
      <c r="H66" s="972"/>
      <c r="I66" s="973"/>
      <c r="J66" s="1331" t="s">
        <v>499</v>
      </c>
      <c r="K66" s="1332"/>
      <c r="L66" s="659" t="s">
        <v>498</v>
      </c>
      <c r="M66" s="659" t="s">
        <v>107</v>
      </c>
    </row>
    <row r="67" spans="1:13" s="974" customFormat="1" ht="12">
      <c r="A67" s="972"/>
      <c r="B67" s="975"/>
      <c r="C67" s="1329" t="s">
        <v>500</v>
      </c>
      <c r="D67" s="1330"/>
      <c r="E67" s="976" t="s">
        <v>394</v>
      </c>
      <c r="F67" s="976">
        <v>2004</v>
      </c>
      <c r="G67" s="185"/>
      <c r="H67" s="972"/>
      <c r="I67" s="975"/>
      <c r="J67" s="1329" t="s">
        <v>500</v>
      </c>
      <c r="K67" s="1330"/>
      <c r="L67" s="976" t="s">
        <v>394</v>
      </c>
      <c r="M67" s="976">
        <v>2004</v>
      </c>
    </row>
    <row r="68" spans="1:13" ht="12.75" customHeight="1">
      <c r="A68" s="739">
        <f>A65+1</f>
        <v>1214</v>
      </c>
      <c r="B68" s="878" t="s">
        <v>493</v>
      </c>
      <c r="C68" s="1325"/>
      <c r="D68" s="1326"/>
      <c r="E68" s="569"/>
      <c r="F68" s="569"/>
      <c r="H68" s="739">
        <f>H65+1</f>
        <v>1234</v>
      </c>
      <c r="I68" s="878" t="s">
        <v>493</v>
      </c>
      <c r="J68" s="1325"/>
      <c r="K68" s="1326"/>
      <c r="L68" s="569"/>
      <c r="M68" s="569"/>
    </row>
    <row r="69" spans="1:13" ht="12.75" customHeight="1">
      <c r="A69" s="739">
        <f aca="true" t="shared" si="6" ref="A69:A74">A68+1</f>
        <v>1215</v>
      </c>
      <c r="B69" s="878" t="s">
        <v>336</v>
      </c>
      <c r="C69" s="1327"/>
      <c r="D69" s="1328"/>
      <c r="E69" s="570"/>
      <c r="F69" s="570"/>
      <c r="H69" s="739">
        <f aca="true" t="shared" si="7" ref="H69:H74">H68+1</f>
        <v>1235</v>
      </c>
      <c r="I69" s="878" t="s">
        <v>336</v>
      </c>
      <c r="J69" s="1327"/>
      <c r="K69" s="1328"/>
      <c r="L69" s="570"/>
      <c r="M69" s="570"/>
    </row>
    <row r="70" spans="1:13" ht="12.75" customHeight="1">
      <c r="A70" s="739">
        <f t="shared" si="6"/>
        <v>1216</v>
      </c>
      <c r="B70" s="878" t="s">
        <v>494</v>
      </c>
      <c r="C70" s="1327"/>
      <c r="D70" s="1328"/>
      <c r="E70" s="570"/>
      <c r="F70" s="570"/>
      <c r="H70" s="739">
        <f t="shared" si="7"/>
        <v>1236</v>
      </c>
      <c r="I70" s="878" t="s">
        <v>494</v>
      </c>
      <c r="J70" s="1327"/>
      <c r="K70" s="1328"/>
      <c r="L70" s="570"/>
      <c r="M70" s="570"/>
    </row>
    <row r="71" spans="1:13" ht="12.75" customHeight="1">
      <c r="A71" s="739">
        <f t="shared" si="6"/>
        <v>1217</v>
      </c>
      <c r="B71" s="878" t="s">
        <v>396</v>
      </c>
      <c r="C71" s="1327"/>
      <c r="D71" s="1328"/>
      <c r="E71" s="570"/>
      <c r="F71" s="570"/>
      <c r="H71" s="739">
        <f t="shared" si="7"/>
        <v>1237</v>
      </c>
      <c r="I71" s="878" t="s">
        <v>396</v>
      </c>
      <c r="J71" s="1327"/>
      <c r="K71" s="1328"/>
      <c r="L71" s="570"/>
      <c r="M71" s="570"/>
    </row>
    <row r="72" spans="1:13" ht="12.75" customHeight="1">
      <c r="A72" s="739">
        <f t="shared" si="6"/>
        <v>1218</v>
      </c>
      <c r="B72" s="878" t="s">
        <v>486</v>
      </c>
      <c r="C72" s="1327"/>
      <c r="D72" s="1328"/>
      <c r="E72" s="570"/>
      <c r="F72" s="570"/>
      <c r="H72" s="739">
        <f t="shared" si="7"/>
        <v>1238</v>
      </c>
      <c r="I72" s="878" t="s">
        <v>486</v>
      </c>
      <c r="J72" s="1327"/>
      <c r="K72" s="1328"/>
      <c r="L72" s="570"/>
      <c r="M72" s="570"/>
    </row>
    <row r="73" spans="1:13" ht="12.75" customHeight="1">
      <c r="A73" s="739">
        <f t="shared" si="6"/>
        <v>1219</v>
      </c>
      <c r="B73" s="878" t="s">
        <v>68</v>
      </c>
      <c r="C73" s="1327"/>
      <c r="D73" s="1328"/>
      <c r="E73" s="570"/>
      <c r="F73" s="570"/>
      <c r="H73" s="739">
        <f t="shared" si="7"/>
        <v>1239</v>
      </c>
      <c r="I73" s="878" t="s">
        <v>68</v>
      </c>
      <c r="J73" s="1327"/>
      <c r="K73" s="1328"/>
      <c r="L73" s="570"/>
      <c r="M73" s="570"/>
    </row>
    <row r="74" spans="1:13" ht="12" customHeight="1">
      <c r="A74" s="752">
        <f t="shared" si="6"/>
        <v>1220</v>
      </c>
      <c r="B74" s="753" t="s">
        <v>119</v>
      </c>
      <c r="C74" s="1323">
        <f>SUM(C68:D73)</f>
        <v>0</v>
      </c>
      <c r="D74" s="1324"/>
      <c r="E74" s="754">
        <f>SUM(E68:E73)</f>
        <v>0</v>
      </c>
      <c r="F74" s="754">
        <f>SUM(F68:F73)</f>
        <v>0</v>
      </c>
      <c r="H74" s="739">
        <f t="shared" si="7"/>
        <v>1240</v>
      </c>
      <c r="I74" s="753" t="s">
        <v>119</v>
      </c>
      <c r="J74" s="1323">
        <f>SUM(J68:K73)</f>
        <v>0</v>
      </c>
      <c r="K74" s="1324"/>
      <c r="L74" s="754">
        <f>SUM(L68:L73)</f>
        <v>0</v>
      </c>
      <c r="M74" s="754">
        <f>SUM(M68:M73)</f>
        <v>0</v>
      </c>
    </row>
    <row r="76" spans="8:13" ht="12.75" customHeight="1">
      <c r="H76" s="739">
        <f>H74+1</f>
        <v>1241</v>
      </c>
      <c r="I76" s="753" t="str">
        <f>CONCATENATE("Totaal ",Voorblad!D3,)</f>
        <v>Totaal 2004</v>
      </c>
      <c r="J76" s="1321">
        <f>C20+C36+J20+J36+C58+C74+J58+J74</f>
        <v>0</v>
      </c>
      <c r="K76" s="1322"/>
      <c r="L76" s="755">
        <f>E20+E36+L20+L36+E58+E74+L58+L74</f>
        <v>0</v>
      </c>
      <c r="M76" s="755">
        <f>F20+F36+M20+M36+F58+F74+M58+M74</f>
        <v>0</v>
      </c>
    </row>
  </sheetData>
  <sheetProtection password="CFAD" sheet="1" objects="1" scenarios="1"/>
  <mergeCells count="137">
    <mergeCell ref="L64:M64"/>
    <mergeCell ref="B65:C65"/>
    <mergeCell ref="E65:F65"/>
    <mergeCell ref="I65:J65"/>
    <mergeCell ref="L65:M65"/>
    <mergeCell ref="L49:M49"/>
    <mergeCell ref="B61:F61"/>
    <mergeCell ref="I61:M61"/>
    <mergeCell ref="B62:F62"/>
    <mergeCell ref="I62:M62"/>
    <mergeCell ref="J50:K50"/>
    <mergeCell ref="J51:K51"/>
    <mergeCell ref="C57:D57"/>
    <mergeCell ref="C58:D58"/>
    <mergeCell ref="J52:K52"/>
    <mergeCell ref="L47:M47"/>
    <mergeCell ref="B48:C48"/>
    <mergeCell ref="E48:F48"/>
    <mergeCell ref="I48:J48"/>
    <mergeCell ref="L48:M48"/>
    <mergeCell ref="L25:M25"/>
    <mergeCell ref="B7:F7"/>
    <mergeCell ref="I11:J11"/>
    <mergeCell ref="B45:F45"/>
    <mergeCell ref="I45:M45"/>
    <mergeCell ref="B27:C27"/>
    <mergeCell ref="E27:F27"/>
    <mergeCell ref="I7:M7"/>
    <mergeCell ref="I8:M8"/>
    <mergeCell ref="I9:J9"/>
    <mergeCell ref="L9:M9"/>
    <mergeCell ref="L10:M10"/>
    <mergeCell ref="I63:J63"/>
    <mergeCell ref="B63:C63"/>
    <mergeCell ref="E63:F63"/>
    <mergeCell ref="B10:C10"/>
    <mergeCell ref="E10:F10"/>
    <mergeCell ref="I10:J10"/>
    <mergeCell ref="B26:C26"/>
    <mergeCell ref="B46:F46"/>
    <mergeCell ref="B8:F8"/>
    <mergeCell ref="E26:F26"/>
    <mergeCell ref="E11:F11"/>
    <mergeCell ref="B23:F23"/>
    <mergeCell ref="B24:F24"/>
    <mergeCell ref="B25:C25"/>
    <mergeCell ref="B9:C9"/>
    <mergeCell ref="E9:F9"/>
    <mergeCell ref="C15:D15"/>
    <mergeCell ref="B11:C11"/>
    <mergeCell ref="L11:M11"/>
    <mergeCell ref="L63:M63"/>
    <mergeCell ref="I26:J26"/>
    <mergeCell ref="L26:M26"/>
    <mergeCell ref="I27:J27"/>
    <mergeCell ref="L27:M27"/>
    <mergeCell ref="I46:M46"/>
    <mergeCell ref="I23:M23"/>
    <mergeCell ref="I24:M24"/>
    <mergeCell ref="I25:J25"/>
    <mergeCell ref="C12:D12"/>
    <mergeCell ref="C13:D13"/>
    <mergeCell ref="C14:D14"/>
    <mergeCell ref="J12:K12"/>
    <mergeCell ref="J13:K13"/>
    <mergeCell ref="J14:K14"/>
    <mergeCell ref="C16:D16"/>
    <mergeCell ref="C17:D17"/>
    <mergeCell ref="C18:D18"/>
    <mergeCell ref="C19:D19"/>
    <mergeCell ref="C50:D50"/>
    <mergeCell ref="B47:C47"/>
    <mergeCell ref="E47:F47"/>
    <mergeCell ref="I47:J47"/>
    <mergeCell ref="B49:C49"/>
    <mergeCell ref="E49:F49"/>
    <mergeCell ref="I49:J49"/>
    <mergeCell ref="C36:D36"/>
    <mergeCell ref="J32:K32"/>
    <mergeCell ref="E25:F25"/>
    <mergeCell ref="J28:K28"/>
    <mergeCell ref="J29:K29"/>
    <mergeCell ref="C28:D28"/>
    <mergeCell ref="C32:D32"/>
    <mergeCell ref="C33:D33"/>
    <mergeCell ref="C34:D34"/>
    <mergeCell ref="C35:D35"/>
    <mergeCell ref="C51:D51"/>
    <mergeCell ref="J66:K66"/>
    <mergeCell ref="C52:D52"/>
    <mergeCell ref="C53:D53"/>
    <mergeCell ref="C54:D54"/>
    <mergeCell ref="C55:D55"/>
    <mergeCell ref="C56:D56"/>
    <mergeCell ref="B64:C64"/>
    <mergeCell ref="E64:F64"/>
    <mergeCell ref="I64:J64"/>
    <mergeCell ref="J15:K15"/>
    <mergeCell ref="J16:K16"/>
    <mergeCell ref="J17:K17"/>
    <mergeCell ref="J18:K18"/>
    <mergeCell ref="J19:K19"/>
    <mergeCell ref="J20:K20"/>
    <mergeCell ref="C30:D30"/>
    <mergeCell ref="C31:D31"/>
    <mergeCell ref="J30:K30"/>
    <mergeCell ref="J31:K31"/>
    <mergeCell ref="C29:D29"/>
    <mergeCell ref="C20:D20"/>
    <mergeCell ref="J33:K33"/>
    <mergeCell ref="J34:K34"/>
    <mergeCell ref="J35:K35"/>
    <mergeCell ref="J36:K36"/>
    <mergeCell ref="J53:K53"/>
    <mergeCell ref="J54:K54"/>
    <mergeCell ref="J55:K55"/>
    <mergeCell ref="J56:K56"/>
    <mergeCell ref="C71:D71"/>
    <mergeCell ref="C72:D72"/>
    <mergeCell ref="C73:D73"/>
    <mergeCell ref="J57:K57"/>
    <mergeCell ref="J58:K58"/>
    <mergeCell ref="C68:D68"/>
    <mergeCell ref="C69:D69"/>
    <mergeCell ref="J67:K67"/>
    <mergeCell ref="C66:D66"/>
    <mergeCell ref="C67:D67"/>
    <mergeCell ref="J76:K76"/>
    <mergeCell ref="C74:D74"/>
    <mergeCell ref="J68:K68"/>
    <mergeCell ref="J69:K69"/>
    <mergeCell ref="J70:K70"/>
    <mergeCell ref="J71:K71"/>
    <mergeCell ref="J72:K72"/>
    <mergeCell ref="J73:K73"/>
    <mergeCell ref="J74:K74"/>
    <mergeCell ref="C70:D70"/>
  </mergeCells>
  <conditionalFormatting sqref="I26:I27 I24 B26:B27 B24 K26:M27 B8 D10:F11 B10:B11 K10:M11 I8 I10:I11 I64:I65 I62 D64:F65 B64:B65 B62 K64:M65 B46 D26:F27 B48:B49 K48:M49 I46 D48:F49 I48:I49 C14:C19 E14:F19 L30:M35 E52:F57 L52:M57 E68:F73 L14:M19 E30:F35 J14:J19 C30:C35 J30:J35 C52:C57 J52:J57 C68:C73 J68:J73 L68:M73">
    <cfRule type="expression" priority="1" dxfId="0" stopIfTrue="1">
      <formula>$G$2=TRUE</formula>
    </cfRule>
  </conditionalFormatting>
  <printOptions/>
  <pageMargins left="0.3937007874015748" right="0.3937007874015748" top="0.3937007874015748" bottom="0.3937007874015748" header="0.6299212598425197" footer="0.11811023622047245"/>
  <pageSetup horizontalDpi="300" verticalDpi="300" orientation="landscape" paperSize="9" r:id="rId2"/>
  <headerFooter alignWithMargins="0">
    <oddHeader xml:space="preserve">&amp;R&amp;9 </oddHeader>
  </headerFooter>
  <rowBreaks count="1" manualBreakCount="1">
    <brk id="38" max="12" man="1"/>
  </rowBreaks>
  <drawing r:id="rId1"/>
</worksheet>
</file>

<file path=xl/worksheets/sheet11.xml><?xml version="1.0" encoding="utf-8"?>
<worksheet xmlns="http://schemas.openxmlformats.org/spreadsheetml/2006/main" xmlns:r="http://schemas.openxmlformats.org/officeDocument/2006/relationships">
  <sheetPr codeName="Blad14"/>
  <dimension ref="A1:K48"/>
  <sheetViews>
    <sheetView showGridLines="0" view="pageBreakPreview" zoomScaleNormal="86" zoomScaleSheetLayoutView="100" workbookViewId="0" topLeftCell="A1">
      <selection activeCell="H24" sqref="H24"/>
    </sheetView>
  </sheetViews>
  <sheetFormatPr defaultColWidth="9.140625" defaultRowHeight="12.75"/>
  <cols>
    <col min="1" max="1" width="5.7109375" style="466" customWidth="1"/>
    <col min="2" max="4" width="15.7109375" style="459" customWidth="1"/>
    <col min="5" max="5" width="14.140625" style="459" customWidth="1"/>
    <col min="6" max="6" width="14.421875" style="459" customWidth="1"/>
    <col min="7" max="7" width="14.8515625" style="459" customWidth="1"/>
    <col min="8" max="10" width="13.7109375" style="459" customWidth="1"/>
    <col min="11" max="11" width="15.7109375" style="457" customWidth="1"/>
    <col min="12" max="16" width="10.7109375" style="457" customWidth="1"/>
    <col min="17" max="24" width="9.140625" style="457" customWidth="1"/>
    <col min="25" max="25" width="1.7109375" style="457" customWidth="1"/>
    <col min="26" max="16384" width="9.140625" style="457" customWidth="1"/>
  </cols>
  <sheetData>
    <row r="1" spans="1:11" ht="15.75" customHeight="1">
      <c r="A1" s="624"/>
      <c r="B1" s="42"/>
      <c r="C1" s="42"/>
      <c r="D1" s="42"/>
      <c r="E1" s="42"/>
      <c r="F1" s="42"/>
      <c r="G1" s="42"/>
      <c r="H1" s="42"/>
      <c r="I1" s="989"/>
      <c r="J1" s="42"/>
      <c r="K1" s="572"/>
    </row>
    <row r="2" spans="1:10" s="503" customFormat="1" ht="15.75" customHeight="1">
      <c r="A2" s="586" t="str">
        <f>Inhoud!$A$2</f>
        <v>Nacalculatieformulier 2004</v>
      </c>
      <c r="B2" s="601"/>
      <c r="C2" s="603"/>
      <c r="D2" s="601"/>
      <c r="E2" s="601"/>
      <c r="F2" s="604" t="b">
        <f>Voorblad!D30</f>
        <v>1</v>
      </c>
      <c r="G2" s="604"/>
      <c r="H2" s="603"/>
      <c r="I2" s="641"/>
      <c r="J2" s="600">
        <f>WZV!M40+1</f>
        <v>13</v>
      </c>
    </row>
    <row r="3" spans="1:11" ht="12.75" customHeight="1">
      <c r="A3" s="624"/>
      <c r="B3" s="42"/>
      <c r="C3" s="42"/>
      <c r="D3" s="42"/>
      <c r="E3" s="42"/>
      <c r="F3" s="42"/>
      <c r="G3" s="42"/>
      <c r="H3" s="42"/>
      <c r="I3" s="42"/>
      <c r="J3" s="42"/>
      <c r="K3" s="572"/>
    </row>
    <row r="4" spans="1:10" s="503" customFormat="1" ht="12.75" customHeight="1">
      <c r="A4" s="14" t="s">
        <v>388</v>
      </c>
      <c r="B4" s="633" t="s">
        <v>324</v>
      </c>
      <c r="C4" s="92"/>
      <c r="D4" s="92"/>
      <c r="E4" s="92"/>
      <c r="F4" s="92"/>
      <c r="G4" s="92"/>
      <c r="H4" s="92"/>
      <c r="I4" s="92"/>
      <c r="J4" s="92"/>
    </row>
    <row r="5" spans="1:8" s="503" customFormat="1" ht="12.75" customHeight="1">
      <c r="A5" s="634"/>
      <c r="B5" s="1355" t="s">
        <v>372</v>
      </c>
      <c r="C5" s="1356"/>
      <c r="D5" s="1357"/>
      <c r="E5" s="616" t="s">
        <v>9</v>
      </c>
      <c r="F5" s="1358" t="s">
        <v>652</v>
      </c>
      <c r="G5" s="1359"/>
      <c r="H5" s="983" t="s">
        <v>502</v>
      </c>
    </row>
    <row r="6" spans="1:8" s="455" customFormat="1" ht="12.75" customHeight="1">
      <c r="A6" s="618"/>
      <c r="B6" s="981" t="s">
        <v>145</v>
      </c>
      <c r="C6" s="981" t="s">
        <v>424</v>
      </c>
      <c r="D6" s="981" t="s">
        <v>371</v>
      </c>
      <c r="E6" s="976" t="s">
        <v>651</v>
      </c>
      <c r="F6" s="982" t="s">
        <v>501</v>
      </c>
      <c r="G6" s="982" t="s">
        <v>325</v>
      </c>
      <c r="H6" s="980" t="s">
        <v>27</v>
      </c>
    </row>
    <row r="7" spans="1:10" ht="4.5" customHeight="1">
      <c r="A7" s="457"/>
      <c r="B7" s="472"/>
      <c r="C7" s="472"/>
      <c r="D7" s="473"/>
      <c r="E7" s="474"/>
      <c r="F7" s="474"/>
      <c r="G7" s="474"/>
      <c r="H7" s="474"/>
      <c r="I7" s="457"/>
      <c r="J7" s="457"/>
    </row>
    <row r="8" spans="1:10" ht="12.75" customHeight="1">
      <c r="A8" s="739">
        <f>(100*J2)+1</f>
        <v>1301</v>
      </c>
      <c r="B8" s="893"/>
      <c r="C8" s="895"/>
      <c r="D8" s="688"/>
      <c r="E8" s="688"/>
      <c r="F8" s="433"/>
      <c r="G8" s="942"/>
      <c r="H8" s="984">
        <f>0.05*G8</f>
        <v>0</v>
      </c>
      <c r="I8" s="457"/>
      <c r="J8" s="457"/>
    </row>
    <row r="9" spans="1:10" ht="12.75" customHeight="1">
      <c r="A9" s="739">
        <f>A8+1</f>
        <v>1302</v>
      </c>
      <c r="B9" s="756"/>
      <c r="C9" s="894"/>
      <c r="D9" s="688"/>
      <c r="E9" s="688"/>
      <c r="F9" s="433"/>
      <c r="G9" s="942"/>
      <c r="H9" s="984">
        <f aca="true" t="shared" si="0" ref="H9:H27">0.05*G9</f>
        <v>0</v>
      </c>
      <c r="I9" s="457"/>
      <c r="J9" s="457"/>
    </row>
    <row r="10" spans="1:10" ht="12.75" customHeight="1">
      <c r="A10" s="739">
        <f aca="true" t="shared" si="1" ref="A10:A21">A9+1</f>
        <v>1303</v>
      </c>
      <c r="B10" s="756"/>
      <c r="C10" s="481"/>
      <c r="D10" s="688"/>
      <c r="E10" s="688"/>
      <c r="F10" s="433"/>
      <c r="G10" s="942"/>
      <c r="H10" s="984">
        <f t="shared" si="0"/>
        <v>0</v>
      </c>
      <c r="I10" s="457"/>
      <c r="J10" s="457"/>
    </row>
    <row r="11" spans="1:10" ht="12.75" customHeight="1">
      <c r="A11" s="739">
        <f t="shared" si="1"/>
        <v>1304</v>
      </c>
      <c r="B11" s="756"/>
      <c r="C11" s="481"/>
      <c r="D11" s="688"/>
      <c r="E11" s="688"/>
      <c r="F11" s="433"/>
      <c r="G11" s="942"/>
      <c r="H11" s="984">
        <f t="shared" si="0"/>
        <v>0</v>
      </c>
      <c r="I11" s="457"/>
      <c r="J11" s="457"/>
    </row>
    <row r="12" spans="1:10" ht="12.75" customHeight="1">
      <c r="A12" s="739">
        <f t="shared" si="1"/>
        <v>1305</v>
      </c>
      <c r="B12" s="756"/>
      <c r="C12" s="481"/>
      <c r="D12" s="688"/>
      <c r="E12" s="688"/>
      <c r="F12" s="433"/>
      <c r="G12" s="942"/>
      <c r="H12" s="984">
        <f t="shared" si="0"/>
        <v>0</v>
      </c>
      <c r="I12" s="457"/>
      <c r="J12" s="457"/>
    </row>
    <row r="13" spans="1:10" ht="12.75" customHeight="1">
      <c r="A13" s="739">
        <f t="shared" si="1"/>
        <v>1306</v>
      </c>
      <c r="B13" s="756"/>
      <c r="C13" s="481"/>
      <c r="D13" s="688"/>
      <c r="E13" s="688"/>
      <c r="F13" s="433"/>
      <c r="G13" s="942"/>
      <c r="H13" s="984">
        <f t="shared" si="0"/>
        <v>0</v>
      </c>
      <c r="I13" s="457"/>
      <c r="J13" s="457"/>
    </row>
    <row r="14" spans="1:10" ht="12.75" customHeight="1">
      <c r="A14" s="739">
        <f t="shared" si="1"/>
        <v>1307</v>
      </c>
      <c r="B14" s="756"/>
      <c r="C14" s="481"/>
      <c r="D14" s="688"/>
      <c r="E14" s="688"/>
      <c r="F14" s="433"/>
      <c r="G14" s="942"/>
      <c r="H14" s="984">
        <f t="shared" si="0"/>
        <v>0</v>
      </c>
      <c r="I14" s="457"/>
      <c r="J14" s="457"/>
    </row>
    <row r="15" spans="1:10" ht="12.75" customHeight="1">
      <c r="A15" s="739">
        <f t="shared" si="1"/>
        <v>1308</v>
      </c>
      <c r="B15" s="756"/>
      <c r="C15" s="481"/>
      <c r="D15" s="688"/>
      <c r="E15" s="688"/>
      <c r="F15" s="433"/>
      <c r="G15" s="942"/>
      <c r="H15" s="984">
        <f t="shared" si="0"/>
        <v>0</v>
      </c>
      <c r="I15" s="457"/>
      <c r="J15" s="457"/>
    </row>
    <row r="16" spans="1:10" ht="12.75" customHeight="1">
      <c r="A16" s="739">
        <f t="shared" si="1"/>
        <v>1309</v>
      </c>
      <c r="B16" s="756"/>
      <c r="C16" s="481"/>
      <c r="D16" s="688"/>
      <c r="E16" s="688"/>
      <c r="F16" s="433"/>
      <c r="G16" s="942"/>
      <c r="H16" s="984">
        <f t="shared" si="0"/>
        <v>0</v>
      </c>
      <c r="I16" s="457"/>
      <c r="J16" s="457"/>
    </row>
    <row r="17" spans="1:10" ht="12.75" customHeight="1">
      <c r="A17" s="739">
        <f t="shared" si="1"/>
        <v>1310</v>
      </c>
      <c r="B17" s="756"/>
      <c r="C17" s="481"/>
      <c r="D17" s="688"/>
      <c r="E17" s="688"/>
      <c r="F17" s="433"/>
      <c r="G17" s="942"/>
      <c r="H17" s="984">
        <f t="shared" si="0"/>
        <v>0</v>
      </c>
      <c r="I17" s="457"/>
      <c r="J17" s="457"/>
    </row>
    <row r="18" spans="1:10" ht="12.75" customHeight="1">
      <c r="A18" s="739">
        <f t="shared" si="1"/>
        <v>1311</v>
      </c>
      <c r="B18" s="756"/>
      <c r="C18" s="481"/>
      <c r="D18" s="688"/>
      <c r="E18" s="688"/>
      <c r="F18" s="433"/>
      <c r="G18" s="942"/>
      <c r="H18" s="984">
        <f t="shared" si="0"/>
        <v>0</v>
      </c>
      <c r="I18" s="457"/>
      <c r="J18" s="457"/>
    </row>
    <row r="19" spans="1:10" ht="12.75" customHeight="1">
      <c r="A19" s="739">
        <f t="shared" si="1"/>
        <v>1312</v>
      </c>
      <c r="B19" s="756"/>
      <c r="C19" s="481"/>
      <c r="D19" s="688"/>
      <c r="E19" s="688"/>
      <c r="F19" s="433"/>
      <c r="G19" s="942"/>
      <c r="H19" s="984">
        <f t="shared" si="0"/>
        <v>0</v>
      </c>
      <c r="I19" s="457"/>
      <c r="J19" s="457"/>
    </row>
    <row r="20" spans="1:10" ht="12.75" customHeight="1">
      <c r="A20" s="739">
        <f t="shared" si="1"/>
        <v>1313</v>
      </c>
      <c r="B20" s="756"/>
      <c r="C20" s="481"/>
      <c r="D20" s="688"/>
      <c r="E20" s="688"/>
      <c r="F20" s="433"/>
      <c r="G20" s="942"/>
      <c r="H20" s="984">
        <f t="shared" si="0"/>
        <v>0</v>
      </c>
      <c r="I20" s="457"/>
      <c r="J20" s="457"/>
    </row>
    <row r="21" spans="1:10" ht="12.75" customHeight="1">
      <c r="A21" s="739">
        <f t="shared" si="1"/>
        <v>1314</v>
      </c>
      <c r="B21" s="756"/>
      <c r="C21" s="481"/>
      <c r="D21" s="688"/>
      <c r="E21" s="688"/>
      <c r="F21" s="433"/>
      <c r="G21" s="942"/>
      <c r="H21" s="984">
        <f t="shared" si="0"/>
        <v>0</v>
      </c>
      <c r="I21" s="457"/>
      <c r="J21" s="457"/>
    </row>
    <row r="22" spans="1:10" ht="12.75" customHeight="1">
      <c r="A22" s="739">
        <f aca="true" t="shared" si="2" ref="A22:A28">A21+1</f>
        <v>1315</v>
      </c>
      <c r="B22" s="756"/>
      <c r="C22" s="481"/>
      <c r="D22" s="688"/>
      <c r="E22" s="688"/>
      <c r="F22" s="433"/>
      <c r="G22" s="942"/>
      <c r="H22" s="984">
        <f t="shared" si="0"/>
        <v>0</v>
      </c>
      <c r="I22" s="457"/>
      <c r="J22" s="457"/>
    </row>
    <row r="23" spans="1:10" ht="12.75" customHeight="1">
      <c r="A23" s="739">
        <f t="shared" si="2"/>
        <v>1316</v>
      </c>
      <c r="B23" s="756"/>
      <c r="C23" s="481"/>
      <c r="D23" s="688"/>
      <c r="E23" s="688"/>
      <c r="F23" s="433"/>
      <c r="G23" s="942"/>
      <c r="H23" s="985">
        <f t="shared" si="0"/>
        <v>0</v>
      </c>
      <c r="I23" s="457"/>
      <c r="J23" s="457"/>
    </row>
    <row r="24" spans="1:10" ht="12.75" customHeight="1">
      <c r="A24" s="739">
        <f t="shared" si="2"/>
        <v>1317</v>
      </c>
      <c r="B24" s="756"/>
      <c r="C24" s="481"/>
      <c r="D24" s="688"/>
      <c r="E24" s="688"/>
      <c r="F24" s="433"/>
      <c r="G24" s="942"/>
      <c r="H24" s="985">
        <f t="shared" si="0"/>
        <v>0</v>
      </c>
      <c r="I24" s="457"/>
      <c r="J24" s="457"/>
    </row>
    <row r="25" spans="1:10" ht="12.75" customHeight="1">
      <c r="A25" s="739">
        <f t="shared" si="2"/>
        <v>1318</v>
      </c>
      <c r="B25" s="756"/>
      <c r="C25" s="481"/>
      <c r="D25" s="688"/>
      <c r="E25" s="688"/>
      <c r="F25" s="433"/>
      <c r="G25" s="942"/>
      <c r="H25" s="984">
        <f t="shared" si="0"/>
        <v>0</v>
      </c>
      <c r="I25" s="457"/>
      <c r="J25" s="457"/>
    </row>
    <row r="26" spans="1:10" ht="12.75" customHeight="1">
      <c r="A26" s="739">
        <f t="shared" si="2"/>
        <v>1319</v>
      </c>
      <c r="B26" s="756"/>
      <c r="C26" s="481"/>
      <c r="D26" s="688"/>
      <c r="E26" s="688"/>
      <c r="F26" s="433"/>
      <c r="G26" s="942"/>
      <c r="H26" s="984">
        <f t="shared" si="0"/>
        <v>0</v>
      </c>
      <c r="I26" s="457"/>
      <c r="J26" s="457"/>
    </row>
    <row r="27" spans="1:10" ht="12.75" customHeight="1">
      <c r="A27" s="739">
        <f t="shared" si="2"/>
        <v>1320</v>
      </c>
      <c r="B27" s="757"/>
      <c r="C27" s="758"/>
      <c r="D27" s="759"/>
      <c r="E27" s="759"/>
      <c r="F27" s="433"/>
      <c r="G27" s="942"/>
      <c r="H27" s="984">
        <f t="shared" si="0"/>
        <v>0</v>
      </c>
      <c r="I27" s="457"/>
      <c r="J27" s="457"/>
    </row>
    <row r="28" spans="1:10" ht="12.75" customHeight="1">
      <c r="A28" s="739">
        <f t="shared" si="2"/>
        <v>1321</v>
      </c>
      <c r="B28" s="753" t="str">
        <f>CONCATENATE("Totaal regel ",A8," t/m ",A27)</f>
        <v>Totaal regel 1301 t/m 1320</v>
      </c>
      <c r="C28" s="761"/>
      <c r="D28" s="762">
        <f>SUM(D8:D27)</f>
        <v>0</v>
      </c>
      <c r="E28" s="763">
        <f>SUM(E8:E27)</f>
        <v>0</v>
      </c>
      <c r="F28" s="763">
        <f>SUM(F8:F27)</f>
        <v>0</v>
      </c>
      <c r="G28" s="763">
        <f>SUM(G8:G27)</f>
        <v>0</v>
      </c>
      <c r="H28" s="763">
        <f>SUM(H8:H27)</f>
        <v>0</v>
      </c>
      <c r="I28" s="457"/>
      <c r="J28" s="457"/>
    </row>
    <row r="29" spans="1:10" ht="12">
      <c r="A29" s="624"/>
      <c r="B29" s="42"/>
      <c r="C29" s="42"/>
      <c r="D29" s="42"/>
      <c r="E29" s="42"/>
      <c r="F29" s="42"/>
      <c r="G29" s="42"/>
      <c r="H29" s="42"/>
      <c r="I29" s="42"/>
      <c r="J29" s="42"/>
    </row>
    <row r="30" spans="1:10" ht="12">
      <c r="A30" s="457"/>
      <c r="B30" s="457"/>
      <c r="C30" s="457"/>
      <c r="D30" s="457"/>
      <c r="E30" s="457"/>
      <c r="F30" s="457"/>
      <c r="G30" s="457"/>
      <c r="H30" s="457"/>
      <c r="I30" s="457"/>
      <c r="J30" s="457"/>
    </row>
    <row r="31" spans="1:10" ht="12" customHeight="1">
      <c r="A31" s="457"/>
      <c r="B31" s="457"/>
      <c r="C31" s="457"/>
      <c r="D31" s="457"/>
      <c r="E31" s="457"/>
      <c r="F31" s="457"/>
      <c r="G31" s="457"/>
      <c r="H31" s="457"/>
      <c r="I31" s="457"/>
      <c r="J31" s="457"/>
    </row>
    <row r="32" spans="1:10" ht="12.75" customHeight="1">
      <c r="A32" s="457"/>
      <c r="B32" s="457"/>
      <c r="C32" s="457"/>
      <c r="D32" s="457"/>
      <c r="E32" s="457"/>
      <c r="F32" s="457"/>
      <c r="G32" s="457"/>
      <c r="H32" s="457"/>
      <c r="I32" s="457"/>
      <c r="J32" s="457"/>
    </row>
    <row r="33" spans="1:10" ht="12">
      <c r="A33" s="457"/>
      <c r="B33" s="457"/>
      <c r="C33" s="457"/>
      <c r="D33" s="457"/>
      <c r="E33" s="457"/>
      <c r="F33" s="457"/>
      <c r="G33" s="457"/>
      <c r="H33" s="457"/>
      <c r="I33" s="457"/>
      <c r="J33" s="457"/>
    </row>
    <row r="34" spans="1:10" ht="4.5" customHeight="1">
      <c r="A34" s="457"/>
      <c r="B34" s="457"/>
      <c r="C34" s="457"/>
      <c r="D34" s="457"/>
      <c r="E34" s="457"/>
      <c r="F34" s="457"/>
      <c r="G34" s="457"/>
      <c r="H34" s="457"/>
      <c r="I34" s="457"/>
      <c r="J34" s="457"/>
    </row>
    <row r="35" spans="1:10" ht="12">
      <c r="A35" s="457"/>
      <c r="B35" s="839"/>
      <c r="C35" s="457"/>
      <c r="D35" s="457"/>
      <c r="E35" s="457"/>
      <c r="F35" s="457"/>
      <c r="G35" s="457"/>
      <c r="H35" s="457"/>
      <c r="I35" s="457"/>
      <c r="J35" s="457"/>
    </row>
    <row r="36" spans="1:10" ht="12">
      <c r="A36" s="457"/>
      <c r="B36" s="457"/>
      <c r="C36" s="457"/>
      <c r="D36" s="457"/>
      <c r="E36" s="457"/>
      <c r="F36" s="457"/>
      <c r="G36" s="457"/>
      <c r="H36" s="457"/>
      <c r="I36" s="457"/>
      <c r="J36" s="457"/>
    </row>
    <row r="37" spans="1:10" ht="12">
      <c r="A37" s="457"/>
      <c r="B37" s="457"/>
      <c r="C37" s="457"/>
      <c r="D37" s="457"/>
      <c r="E37" s="457"/>
      <c r="F37" s="457"/>
      <c r="G37" s="457"/>
      <c r="H37" s="457"/>
      <c r="I37" s="457"/>
      <c r="J37" s="457"/>
    </row>
    <row r="38" spans="1:10" ht="12">
      <c r="A38" s="457"/>
      <c r="B38" s="457"/>
      <c r="C38" s="457"/>
      <c r="D38" s="457"/>
      <c r="E38" s="457"/>
      <c r="F38" s="457"/>
      <c r="G38" s="457"/>
      <c r="H38" s="457"/>
      <c r="I38" s="457"/>
      <c r="J38" s="457"/>
    </row>
    <row r="39" spans="1:10" ht="12">
      <c r="A39" s="457"/>
      <c r="B39" s="457"/>
      <c r="C39" s="457"/>
      <c r="D39" s="457"/>
      <c r="E39" s="457"/>
      <c r="F39" s="457"/>
      <c r="G39" s="457"/>
      <c r="H39" s="457"/>
      <c r="I39" s="457"/>
      <c r="J39" s="457"/>
    </row>
    <row r="40" spans="1:10" ht="12">
      <c r="A40" s="457"/>
      <c r="B40" s="457"/>
      <c r="C40" s="457"/>
      <c r="D40" s="457"/>
      <c r="E40" s="457"/>
      <c r="F40" s="457"/>
      <c r="G40" s="457"/>
      <c r="H40" s="457"/>
      <c r="I40" s="457"/>
      <c r="J40" s="457"/>
    </row>
    <row r="41" spans="1:10" ht="12">
      <c r="A41" s="457"/>
      <c r="B41" s="457"/>
      <c r="C41" s="457"/>
      <c r="D41" s="457"/>
      <c r="E41" s="457"/>
      <c r="F41" s="457"/>
      <c r="G41" s="457"/>
      <c r="H41" s="457"/>
      <c r="I41" s="457"/>
      <c r="J41" s="457"/>
    </row>
    <row r="42" spans="1:10" ht="12">
      <c r="A42" s="457"/>
      <c r="B42" s="457"/>
      <c r="C42" s="457"/>
      <c r="D42" s="457"/>
      <c r="E42" s="457"/>
      <c r="F42" s="457"/>
      <c r="G42" s="457"/>
      <c r="H42" s="457"/>
      <c r="I42" s="457"/>
      <c r="J42" s="457"/>
    </row>
    <row r="43" spans="1:10" ht="12">
      <c r="A43" s="457"/>
      <c r="B43" s="457"/>
      <c r="C43" s="457"/>
      <c r="D43" s="457"/>
      <c r="E43" s="457"/>
      <c r="F43" s="457"/>
      <c r="G43" s="457"/>
      <c r="H43" s="457"/>
      <c r="I43" s="457"/>
      <c r="J43" s="457"/>
    </row>
    <row r="44" spans="1:10" ht="12">
      <c r="A44" s="457"/>
      <c r="B44" s="457"/>
      <c r="C44" s="457"/>
      <c r="D44" s="457"/>
      <c r="E44" s="457"/>
      <c r="F44" s="457"/>
      <c r="G44" s="457"/>
      <c r="H44" s="457"/>
      <c r="I44" s="457"/>
      <c r="J44" s="457"/>
    </row>
    <row r="45" spans="1:10" ht="12">
      <c r="A45" s="457"/>
      <c r="B45" s="457"/>
      <c r="C45" s="457"/>
      <c r="D45" s="457"/>
      <c r="E45" s="457"/>
      <c r="F45" s="457"/>
      <c r="G45" s="457"/>
      <c r="H45" s="457"/>
      <c r="I45" s="457"/>
      <c r="J45" s="457"/>
    </row>
    <row r="46" spans="1:10" ht="12">
      <c r="A46" s="457"/>
      <c r="B46" s="457"/>
      <c r="C46" s="457"/>
      <c r="D46" s="457"/>
      <c r="E46" s="457"/>
      <c r="F46" s="457"/>
      <c r="G46" s="457"/>
      <c r="H46" s="457"/>
      <c r="I46" s="457"/>
      <c r="J46" s="457"/>
    </row>
    <row r="47" ht="12">
      <c r="J47" s="457"/>
    </row>
    <row r="48" ht="12">
      <c r="J48" s="457"/>
    </row>
  </sheetData>
  <sheetProtection password="CFAD" sheet="1" objects="1" scenarios="1"/>
  <mergeCells count="2">
    <mergeCell ref="B5:D5"/>
    <mergeCell ref="F5:G5"/>
  </mergeCells>
  <conditionalFormatting sqref="H8:J27">
    <cfRule type="expression" priority="1" dxfId="1" stopIfTrue="1">
      <formula>$C$2=TRUE</formula>
    </cfRule>
  </conditionalFormatting>
  <conditionalFormatting sqref="B8:G27">
    <cfRule type="expression" priority="2" dxfId="0" stopIfTrue="1">
      <formula>$F$2=TRUE</formula>
    </cfRule>
  </conditionalFormatting>
  <dataValidations count="2">
    <dataValidation allowBlank="1" showInputMessage="1" showErrorMessage="1" promptTitle="Meldingsbrieven CBZ" prompt="In dit overzicht alleen de meldingsbrieven vermelden waarop in het nacalculatiejaar investeringen zijn uitgevoerd." sqref="B5:D5"/>
    <dataValidation allowBlank="1" showInputMessage="1" showErrorMessage="1" promptTitle="Kenmerk" prompt="In deze kolom het jaartal vermelden waarop de melding betrekking heeft en het volgnummer. Bijvoorbeeld: 01 M1 of 02 J1. Een regel per meldingsbrief gebruiken.&#10;" sqref="C6 C8"/>
  </dataValidations>
  <printOptions/>
  <pageMargins left="0.3937007874015748" right="0.3937007874015748" top="0.3937007874015748" bottom="0.3937007874015748" header="0.2362204724409449" footer="0.11811023622047245"/>
  <pageSetup horizontalDpi="300" verticalDpi="300" orientation="landscape" paperSize="9" r:id="rId2"/>
  <headerFooter alignWithMargins="0">
    <oddHeader xml:space="preserve">&amp;R&amp;9 </oddHeader>
  </headerFooter>
  <drawing r:id="rId1"/>
</worksheet>
</file>

<file path=xl/worksheets/sheet12.xml><?xml version="1.0" encoding="utf-8"?>
<worksheet xmlns="http://schemas.openxmlformats.org/spreadsheetml/2006/main" xmlns:r="http://schemas.openxmlformats.org/officeDocument/2006/relationships">
  <sheetPr codeName="Blad15"/>
  <dimension ref="A1:S52"/>
  <sheetViews>
    <sheetView showGridLines="0" view="pageBreakPreview" zoomScaleNormal="86" zoomScaleSheetLayoutView="100" workbookViewId="0" topLeftCell="A10">
      <selection activeCell="G30" sqref="G30"/>
    </sheetView>
  </sheetViews>
  <sheetFormatPr defaultColWidth="9.140625" defaultRowHeight="12.75" customHeight="1"/>
  <cols>
    <col min="1" max="1" width="5.140625" style="892" customWidth="1"/>
    <col min="2" max="2" width="41.8515625" style="892" customWidth="1"/>
    <col min="3" max="7" width="11.7109375" style="892" customWidth="1"/>
    <col min="8" max="16384" width="9.140625" style="892" customWidth="1"/>
  </cols>
  <sheetData>
    <row r="1" spans="1:14" ht="12.75" customHeight="1">
      <c r="A1" s="988"/>
      <c r="B1" s="989"/>
      <c r="C1" s="989"/>
      <c r="D1" s="989"/>
      <c r="E1" s="989"/>
      <c r="F1" s="989"/>
      <c r="G1" s="989"/>
      <c r="H1" s="989"/>
      <c r="I1" s="989"/>
      <c r="J1" s="42"/>
      <c r="K1" s="572"/>
      <c r="L1" s="42"/>
      <c r="M1" s="42"/>
      <c r="N1" s="457"/>
    </row>
    <row r="2" spans="1:19" ht="12.75" customHeight="1">
      <c r="A2" s="812" t="str">
        <f>Inhoud!$A$2</f>
        <v>Nacalculatieformulier 2004</v>
      </c>
      <c r="B2" s="811"/>
      <c r="C2" s="641"/>
      <c r="D2" s="811"/>
      <c r="E2" s="811"/>
      <c r="F2" s="810" t="b">
        <f>Voorblad!D30</f>
        <v>1</v>
      </c>
      <c r="G2" s="810"/>
      <c r="H2" s="641"/>
      <c r="I2" s="600">
        <f>Instandhouding!J2+1</f>
        <v>14</v>
      </c>
      <c r="J2" s="598"/>
      <c r="L2" s="572"/>
      <c r="M2" s="624"/>
      <c r="N2" s="42"/>
      <c r="O2" s="42"/>
      <c r="P2" s="42"/>
      <c r="Q2" s="42"/>
      <c r="R2" s="42"/>
      <c r="S2" s="457"/>
    </row>
    <row r="3" spans="1:12" ht="12.75" customHeight="1">
      <c r="A3" s="624"/>
      <c r="B3" s="42"/>
      <c r="C3" s="42"/>
      <c r="D3" s="42"/>
      <c r="E3" s="42"/>
      <c r="F3" s="42"/>
      <c r="G3" s="42"/>
      <c r="H3" s="42"/>
      <c r="I3" s="42"/>
      <c r="J3" s="42"/>
      <c r="K3" s="572"/>
      <c r="L3" s="503"/>
    </row>
    <row r="4" spans="1:4" ht="12.75" customHeight="1">
      <c r="A4" s="965" t="s">
        <v>389</v>
      </c>
      <c r="B4" s="965" t="s">
        <v>326</v>
      </c>
      <c r="C4" s="965"/>
      <c r="D4" s="965"/>
    </row>
    <row r="5" ht="12.75" customHeight="1">
      <c r="L5" s="572"/>
    </row>
    <row r="6" spans="1:7" ht="12.75" customHeight="1">
      <c r="A6" s="965"/>
      <c r="B6" s="965" t="s">
        <v>400</v>
      </c>
      <c r="C6" s="965"/>
      <c r="D6" s="965"/>
      <c r="E6" s="965"/>
      <c r="F6" s="965"/>
      <c r="G6" s="965"/>
    </row>
    <row r="7" spans="1:10" ht="12.75" customHeight="1">
      <c r="A7" s="739">
        <f>(100*I2)+1</f>
        <v>1401</v>
      </c>
      <c r="B7" s="1309" t="s">
        <v>327</v>
      </c>
      <c r="C7" s="1309"/>
      <c r="D7" s="1309"/>
      <c r="E7" s="1309"/>
      <c r="F7" s="1309"/>
      <c r="G7" s="995">
        <f>0.1*G12</f>
        <v>0</v>
      </c>
      <c r="H7" s="965"/>
      <c r="I7" s="965"/>
      <c r="J7" s="965"/>
    </row>
    <row r="8" spans="1:14" s="965" customFormat="1" ht="12.75" customHeight="1">
      <c r="A8" s="991">
        <f>(100*I2)+2</f>
        <v>1402</v>
      </c>
      <c r="B8" s="1360" t="s">
        <v>328</v>
      </c>
      <c r="C8" s="1360"/>
      <c r="D8" s="1360"/>
      <c r="E8" s="1360"/>
      <c r="F8" s="1360"/>
      <c r="G8" s="995">
        <f>G25</f>
        <v>0</v>
      </c>
      <c r="H8" s="892"/>
      <c r="I8" s="892"/>
      <c r="J8" s="892"/>
      <c r="K8" s="892"/>
      <c r="L8" s="892"/>
      <c r="M8" s="892"/>
      <c r="N8" s="892"/>
    </row>
    <row r="9" spans="1:11" ht="12.75" customHeight="1">
      <c r="A9" s="739">
        <f>(100*I2)+3</f>
        <v>1403</v>
      </c>
      <c r="B9" s="1310" t="s">
        <v>329</v>
      </c>
      <c r="C9" s="1310"/>
      <c r="D9" s="1310"/>
      <c r="E9" s="1310"/>
      <c r="F9" s="1310"/>
      <c r="G9" s="1084">
        <f>G7-G8</f>
        <v>0</v>
      </c>
      <c r="K9" s="965"/>
    </row>
    <row r="10" spans="1:11" ht="12.75" customHeight="1">
      <c r="A10" s="992"/>
      <c r="B10" s="993"/>
      <c r="C10" s="993"/>
      <c r="D10" s="993"/>
      <c r="E10" s="993"/>
      <c r="F10" s="993"/>
      <c r="G10" s="1055"/>
      <c r="K10" s="965"/>
    </row>
    <row r="11" spans="1:11" ht="12.75" customHeight="1">
      <c r="A11" s="992"/>
      <c r="B11" s="993" t="s">
        <v>653</v>
      </c>
      <c r="C11" s="993"/>
      <c r="D11" s="993"/>
      <c r="E11" s="993"/>
      <c r="F11" s="993"/>
      <c r="G11" s="1055"/>
      <c r="K11" s="965"/>
    </row>
    <row r="12" spans="1:7" ht="12.75" customHeight="1">
      <c r="A12" s="739">
        <f>(100*I2)+4</f>
        <v>1404</v>
      </c>
      <c r="B12" s="1309" t="s">
        <v>330</v>
      </c>
      <c r="C12" s="1309"/>
      <c r="D12" s="1309"/>
      <c r="E12" s="1309"/>
      <c r="F12" s="1309"/>
      <c r="G12" s="1052"/>
    </row>
    <row r="13" spans="1:14" ht="12.75" customHeight="1">
      <c r="A13" s="739">
        <f>(100*I2)+5</f>
        <v>1405</v>
      </c>
      <c r="B13" s="1309" t="s">
        <v>654</v>
      </c>
      <c r="C13" s="1309"/>
      <c r="D13" s="1309"/>
      <c r="E13" s="1309"/>
      <c r="F13" s="1309"/>
      <c r="G13" s="1052"/>
      <c r="L13" s="965"/>
      <c r="M13" s="965"/>
      <c r="N13" s="965"/>
    </row>
    <row r="14" spans="1:7" ht="12.75" customHeight="1">
      <c r="A14" s="739">
        <f>(100*I2)+6</f>
        <v>1406</v>
      </c>
      <c r="B14" s="1310" t="s">
        <v>331</v>
      </c>
      <c r="C14" s="1310"/>
      <c r="D14" s="1310"/>
      <c r="E14" s="1310"/>
      <c r="F14" s="1310"/>
      <c r="G14" s="1070">
        <f>IF(G13=0,0,G12/G13)</f>
        <v>0</v>
      </c>
    </row>
    <row r="15" ht="12.75" customHeight="1">
      <c r="A15" s="992"/>
    </row>
    <row r="16" ht="12.75" customHeight="1">
      <c r="B16" s="965" t="s">
        <v>401</v>
      </c>
    </row>
    <row r="17" spans="3:7" ht="12.75" customHeight="1">
      <c r="C17" s="892">
        <v>2004</v>
      </c>
      <c r="D17" s="892">
        <f>C17+1</f>
        <v>2005</v>
      </c>
      <c r="E17" s="892">
        <f>D17+1</f>
        <v>2006</v>
      </c>
      <c r="F17" s="892">
        <f>E17+1</f>
        <v>2007</v>
      </c>
      <c r="G17" s="892">
        <f>F17+1</f>
        <v>2008</v>
      </c>
    </row>
    <row r="18" spans="2:3" ht="12.75" customHeight="1">
      <c r="B18" s="986">
        <f>B19-1</f>
        <v>2000</v>
      </c>
      <c r="C18" s="1082"/>
    </row>
    <row r="19" spans="2:4" ht="12.75" customHeight="1">
      <c r="B19" s="986">
        <f>B20-1</f>
        <v>2001</v>
      </c>
      <c r="C19" s="1082"/>
      <c r="D19" s="740"/>
    </row>
    <row r="20" spans="2:5" ht="12.75" customHeight="1">
      <c r="B20" s="986">
        <f>B21-1</f>
        <v>2002</v>
      </c>
      <c r="C20" s="1082"/>
      <c r="D20" s="740"/>
      <c r="E20" s="740"/>
    </row>
    <row r="21" spans="1:8" s="965" customFormat="1" ht="12.75" customHeight="1">
      <c r="A21" s="892"/>
      <c r="B21" s="986">
        <f>B22-1</f>
        <v>2003</v>
      </c>
      <c r="C21" s="1082"/>
      <c r="D21" s="740"/>
      <c r="E21" s="740"/>
      <c r="F21" s="740"/>
      <c r="H21" s="892"/>
    </row>
    <row r="22" spans="2:7" ht="12.75" customHeight="1">
      <c r="B22" s="986">
        <v>2004</v>
      </c>
      <c r="C22" s="1082"/>
      <c r="D22" s="740"/>
      <c r="E22" s="740"/>
      <c r="F22" s="740"/>
      <c r="G22" s="740"/>
    </row>
    <row r="23" spans="2:7" ht="12.75" customHeight="1">
      <c r="B23" s="965" t="s">
        <v>119</v>
      </c>
      <c r="C23" s="1083">
        <f>SUM(C18:C22)</f>
        <v>0</v>
      </c>
      <c r="D23" s="1083">
        <f>SUM(D19:D22)</f>
        <v>0</v>
      </c>
      <c r="E23" s="1083">
        <f>SUM(E20:E22)</f>
        <v>0</v>
      </c>
      <c r="F23" s="1083">
        <f>SUM(F21:F22)</f>
        <v>0</v>
      </c>
      <c r="G23" s="1083">
        <f>G22</f>
        <v>0</v>
      </c>
    </row>
    <row r="24" spans="12:14" ht="12.75" customHeight="1">
      <c r="L24" s="965"/>
      <c r="M24" s="965"/>
      <c r="N24" s="965"/>
    </row>
    <row r="25" spans="1:7" ht="12.75" customHeight="1">
      <c r="A25" s="739">
        <f>(100*I2)+7</f>
        <v>1407</v>
      </c>
      <c r="B25" s="1297" t="s">
        <v>655</v>
      </c>
      <c r="C25" s="1298"/>
      <c r="D25" s="1298"/>
      <c r="E25" s="1298"/>
      <c r="F25" s="1299"/>
      <c r="G25" s="994">
        <f>C23*G13/100</f>
        <v>0</v>
      </c>
    </row>
    <row r="27" spans="1:2" ht="12.75" customHeight="1">
      <c r="A27" s="965"/>
      <c r="B27" s="965" t="s">
        <v>402</v>
      </c>
    </row>
    <row r="28" spans="1:8" ht="12.75" customHeight="1">
      <c r="A28" s="739">
        <f>(100*I2)+8</f>
        <v>1408</v>
      </c>
      <c r="B28" s="1309" t="s">
        <v>333</v>
      </c>
      <c r="C28" s="1309"/>
      <c r="D28" s="1309"/>
      <c r="E28" s="1309"/>
      <c r="F28" s="1309"/>
      <c r="G28" s="433"/>
      <c r="H28" s="965"/>
    </row>
    <row r="29" spans="1:7" ht="12.75" customHeight="1">
      <c r="A29" s="739">
        <f>(100*I2)+9</f>
        <v>1409</v>
      </c>
      <c r="B29" s="1309" t="s">
        <v>332</v>
      </c>
      <c r="C29" s="1309"/>
      <c r="D29" s="1309"/>
      <c r="E29" s="1309"/>
      <c r="F29" s="1309"/>
      <c r="G29" s="433"/>
    </row>
    <row r="30" spans="1:7" ht="12.75" customHeight="1">
      <c r="A30" s="739">
        <f>(100*I2)+10</f>
        <v>1410</v>
      </c>
      <c r="B30" s="1297" t="s">
        <v>329</v>
      </c>
      <c r="C30" s="1298"/>
      <c r="D30" s="1298"/>
      <c r="E30" s="1298"/>
      <c r="F30" s="1299"/>
      <c r="G30" s="990">
        <f>SUM(G28:G29)</f>
        <v>0</v>
      </c>
    </row>
    <row r="33" spans="1:6" s="965" customFormat="1" ht="12.75" customHeight="1">
      <c r="A33" s="892"/>
      <c r="B33" s="892"/>
      <c r="C33" s="892"/>
      <c r="D33" s="892"/>
      <c r="E33" s="892"/>
      <c r="F33" s="892"/>
    </row>
    <row r="34" spans="3:6" ht="12.75" customHeight="1">
      <c r="C34" s="965"/>
      <c r="D34" s="965"/>
      <c r="E34" s="965"/>
      <c r="F34" s="965"/>
    </row>
    <row r="36" spans="4:6" ht="12.75" customHeight="1">
      <c r="D36" s="965"/>
      <c r="E36" s="965"/>
      <c r="F36" s="965"/>
    </row>
    <row r="45" ht="12.75" customHeight="1">
      <c r="H45" s="987"/>
    </row>
    <row r="46" ht="12.75" customHeight="1">
      <c r="H46" s="987"/>
    </row>
    <row r="47" ht="12.75" customHeight="1">
      <c r="H47" s="987"/>
    </row>
    <row r="48" spans="9:10" ht="12.75" customHeight="1">
      <c r="I48" s="965"/>
      <c r="J48" s="965"/>
    </row>
    <row r="49" spans="1:14" s="965" customFormat="1" ht="12.75" customHeight="1">
      <c r="A49" s="892"/>
      <c r="B49" s="892"/>
      <c r="C49" s="892"/>
      <c r="D49" s="892"/>
      <c r="E49" s="892"/>
      <c r="F49" s="892"/>
      <c r="G49" s="892"/>
      <c r="H49" s="892"/>
      <c r="I49" s="892"/>
      <c r="J49" s="892"/>
      <c r="K49" s="892"/>
      <c r="L49" s="892"/>
      <c r="M49" s="892"/>
      <c r="N49" s="892"/>
    </row>
    <row r="50" ht="12.75" customHeight="1">
      <c r="K50" s="965"/>
    </row>
    <row r="52" spans="12:14" ht="12.75" customHeight="1">
      <c r="L52" s="965"/>
      <c r="M52" s="965"/>
      <c r="N52" s="965"/>
    </row>
  </sheetData>
  <sheetProtection password="CFAD" sheet="1" objects="1" scenarios="1"/>
  <mergeCells count="10">
    <mergeCell ref="B29:F29"/>
    <mergeCell ref="B28:F28"/>
    <mergeCell ref="B30:F30"/>
    <mergeCell ref="B13:F13"/>
    <mergeCell ref="B14:F14"/>
    <mergeCell ref="B25:F25"/>
    <mergeCell ref="B7:F7"/>
    <mergeCell ref="B8:F8"/>
    <mergeCell ref="B9:F9"/>
    <mergeCell ref="B12:F12"/>
  </mergeCells>
  <conditionalFormatting sqref="G12:G13 C18:C22 D19:D22 E20 E21:F22 G22 G28:G29">
    <cfRule type="expression" priority="1" dxfId="0" stopIfTrue="1">
      <formula>$F$2=TRUE</formula>
    </cfRule>
  </conditionalFormatting>
  <printOptions/>
  <pageMargins left="0.3937007874015748" right="0.3937007874015748" top="0.1968503937007874" bottom="0.1968503937007874" header="0.03937007874015748" footer="0.1181102362204724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codeName="Blad16"/>
  <dimension ref="A1:L36"/>
  <sheetViews>
    <sheetView showGridLines="0" view="pageBreakPreview" zoomScaleNormal="86" zoomScaleSheetLayoutView="100" workbookViewId="0" topLeftCell="A13">
      <selection activeCell="E31" sqref="E31"/>
    </sheetView>
  </sheetViews>
  <sheetFormatPr defaultColWidth="9.140625" defaultRowHeight="12.75"/>
  <cols>
    <col min="1" max="1" width="5.00390625" style="900" customWidth="1"/>
    <col min="2" max="2" width="75.7109375" style="565" customWidth="1"/>
    <col min="3" max="4" width="15.7109375" style="565" customWidth="1"/>
    <col min="5" max="5" width="15.7109375" style="963" customWidth="1"/>
    <col min="6" max="6" width="2.7109375" style="565" customWidth="1"/>
    <col min="7" max="7" width="12.7109375" style="964" customWidth="1"/>
    <col min="8" max="8" width="2.7109375" style="565" customWidth="1"/>
    <col min="9" max="16384" width="9.140625" style="565" customWidth="1"/>
  </cols>
  <sheetData>
    <row r="1" spans="1:12" s="457" customFormat="1" ht="15.75" customHeight="1">
      <c r="A1" s="41"/>
      <c r="B1" s="42"/>
      <c r="C1" s="43"/>
      <c r="D1" s="42"/>
      <c r="E1" s="42"/>
      <c r="F1" s="45"/>
      <c r="G1" s="45"/>
      <c r="H1" s="26"/>
      <c r="I1" s="42"/>
      <c r="L1" s="455"/>
    </row>
    <row r="2" spans="1:12" s="503" customFormat="1" ht="15.75" customHeight="1">
      <c r="A2" s="812" t="str">
        <f>Inhoud!$A$2</f>
        <v>Nacalculatieformulier 2004</v>
      </c>
      <c r="B2" s="601"/>
      <c r="C2" s="604" t="b">
        <f>Voorblad!D30</f>
        <v>1</v>
      </c>
      <c r="D2" s="603"/>
      <c r="E2" s="600">
        <f>'Afschr.inventaris'!I2+1</f>
        <v>15</v>
      </c>
      <c r="F2" s="595"/>
      <c r="G2" s="595"/>
      <c r="H2" s="595"/>
      <c r="L2" s="504"/>
    </row>
    <row r="3" spans="1:12" s="457" customFormat="1" ht="12">
      <c r="A3" s="41"/>
      <c r="B3" s="42"/>
      <c r="C3" s="43"/>
      <c r="D3" s="42"/>
      <c r="E3" s="42"/>
      <c r="F3" s="45"/>
      <c r="G3" s="45"/>
      <c r="H3" s="26"/>
      <c r="I3" s="42"/>
      <c r="L3" s="455"/>
    </row>
    <row r="4" spans="1:9" s="457" customFormat="1" ht="12.75" customHeight="1">
      <c r="A4" s="14" t="s">
        <v>390</v>
      </c>
      <c r="B4" s="95"/>
      <c r="C4" s="387"/>
      <c r="D4" s="90"/>
      <c r="E4" s="590"/>
      <c r="F4" s="590"/>
      <c r="G4" s="95"/>
      <c r="H4" s="95"/>
      <c r="I4" s="455"/>
    </row>
    <row r="5" spans="5:7" ht="12">
      <c r="E5" s="964"/>
      <c r="G5" s="565"/>
    </row>
    <row r="6" spans="3:11" ht="12">
      <c r="C6" s="999" t="s">
        <v>491</v>
      </c>
      <c r="D6" s="1034" t="s">
        <v>69</v>
      </c>
      <c r="E6" s="1000" t="s">
        <v>404</v>
      </c>
      <c r="F6" s="892"/>
      <c r="G6" s="892"/>
      <c r="H6" s="892"/>
      <c r="I6" s="892"/>
      <c r="J6" s="892"/>
      <c r="K6" s="892"/>
    </row>
    <row r="7" spans="1:11" ht="12">
      <c r="A7" s="900" t="s">
        <v>140</v>
      </c>
      <c r="B7" s="900" t="s">
        <v>490</v>
      </c>
      <c r="C7" s="1001" t="s">
        <v>492</v>
      </c>
      <c r="D7" s="1035"/>
      <c r="E7" s="1002"/>
      <c r="F7" s="892"/>
      <c r="G7" s="892"/>
      <c r="H7" s="892"/>
      <c r="I7" s="892"/>
      <c r="J7" s="892"/>
      <c r="K7" s="892"/>
    </row>
    <row r="8" spans="3:11" ht="12">
      <c r="C8" s="1003"/>
      <c r="D8" s="1003"/>
      <c r="E8" s="1004"/>
      <c r="F8" s="892"/>
      <c r="G8" s="892"/>
      <c r="H8" s="892"/>
      <c r="I8" s="892"/>
      <c r="J8" s="892"/>
      <c r="K8" s="892"/>
    </row>
    <row r="9" spans="1:11" ht="12.75" customHeight="1">
      <c r="A9" s="937">
        <f>(100*E2)+1</f>
        <v>1501</v>
      </c>
      <c r="B9" s="1198" t="s">
        <v>25</v>
      </c>
      <c r="C9" s="1361"/>
      <c r="D9" s="1361"/>
      <c r="E9" s="1041">
        <f>+'Prod.1.1en1.2'!G36</f>
        <v>0</v>
      </c>
      <c r="F9" s="986"/>
      <c r="G9" s="986"/>
      <c r="H9" s="986"/>
      <c r="I9" s="986"/>
      <c r="J9" s="986"/>
      <c r="K9" s="892"/>
    </row>
    <row r="10" spans="1:11" ht="12">
      <c r="A10" s="937">
        <f>A9+1</f>
        <v>1502</v>
      </c>
      <c r="B10" s="1198" t="s">
        <v>529</v>
      </c>
      <c r="C10" s="1120"/>
      <c r="D10" s="1121"/>
      <c r="E10" s="1041">
        <f>+'Prod.1.1en1.2'!I44</f>
        <v>0</v>
      </c>
      <c r="F10" s="986"/>
      <c r="G10" s="986"/>
      <c r="H10" s="986"/>
      <c r="I10" s="986"/>
      <c r="J10" s="986"/>
      <c r="K10" s="892"/>
    </row>
    <row r="11" spans="1:7" ht="12">
      <c r="A11" s="937">
        <f>A10+1</f>
        <v>1503</v>
      </c>
      <c r="B11" s="773" t="s">
        <v>708</v>
      </c>
      <c r="C11" s="1362"/>
      <c r="D11" s="1363"/>
      <c r="E11" s="1042">
        <f>+'Prod.1.3.'!G25</f>
        <v>0</v>
      </c>
      <c r="G11" s="565"/>
    </row>
    <row r="12" spans="1:7" ht="12">
      <c r="A12" s="937">
        <f>+A11+1</f>
        <v>1504</v>
      </c>
      <c r="B12" s="773" t="str">
        <f>+'Prod.1.4en1.5'!B4</f>
        <v>Aanpassing loonkosten medisch specialisten</v>
      </c>
      <c r="C12" s="1150"/>
      <c r="D12" s="1151"/>
      <c r="E12" s="1042">
        <f>+'Prod.1.4en1.5'!F21</f>
        <v>0</v>
      </c>
      <c r="G12" s="565"/>
    </row>
    <row r="13" spans="1:7" ht="12">
      <c r="A13" s="937">
        <f>+A12+1</f>
        <v>1505</v>
      </c>
      <c r="B13" s="773" t="str">
        <f>+'Prod.1.4en1.5'!B24</f>
        <v>Aanpassing vergoeding loonkosten agio´s</v>
      </c>
      <c r="C13" s="1150"/>
      <c r="D13" s="1151"/>
      <c r="E13" s="1042">
        <f>'Prod.1.4en1.5'!F38</f>
        <v>0</v>
      </c>
      <c r="G13" s="565"/>
    </row>
    <row r="14" spans="1:7" ht="12">
      <c r="A14" s="937">
        <f>+A13+1</f>
        <v>1506</v>
      </c>
      <c r="B14" s="773" t="str">
        <f>+'Prod.1.4en1.5'!B45</f>
        <v>Gerealiseerde extra opleidingsplaatsen 2004</v>
      </c>
      <c r="C14" s="1150"/>
      <c r="D14" s="1151"/>
      <c r="E14" s="1042">
        <f>+'Prod.1.4en1.5'!G52</f>
        <v>0</v>
      </c>
      <c r="G14" s="565"/>
    </row>
    <row r="15" spans="1:7" ht="12">
      <c r="A15" s="937">
        <f>+A14+1</f>
        <v>1507</v>
      </c>
      <c r="B15" s="955" t="str">
        <f>Afschrijvingen!B6</f>
        <v>Nacalculeerbare afschrijvingskosten (normale en verkorte procedures)</v>
      </c>
      <c r="C15" s="995">
        <f>+Afschrijvingen!G19</f>
        <v>0</v>
      </c>
      <c r="D15" s="573"/>
      <c r="E15" s="995">
        <f>C15-D15</f>
        <v>0</v>
      </c>
      <c r="G15" s="565"/>
    </row>
    <row r="16" spans="1:7" ht="12">
      <c r="A16" s="937">
        <f aca="true" t="shared" si="0" ref="A16:A27">A15+1</f>
        <v>1508</v>
      </c>
      <c r="B16" s="955" t="s">
        <v>20</v>
      </c>
      <c r="C16" s="1055"/>
      <c r="D16" s="1055"/>
      <c r="E16" s="995">
        <f>Instandhouding!H28</f>
        <v>0</v>
      </c>
      <c r="G16" s="565"/>
    </row>
    <row r="17" spans="1:7" ht="12">
      <c r="A17" s="937">
        <f t="shared" si="0"/>
        <v>1509</v>
      </c>
      <c r="B17" s="955" t="s">
        <v>21</v>
      </c>
      <c r="C17" s="1056"/>
      <c r="D17" s="1056"/>
      <c r="E17" s="995">
        <f>'Afschr.inventaris'!G9</f>
        <v>0</v>
      </c>
      <c r="G17" s="565"/>
    </row>
    <row r="18" spans="1:7" ht="12">
      <c r="A18" s="937">
        <f t="shared" si="0"/>
        <v>1510</v>
      </c>
      <c r="B18" s="955" t="s">
        <v>22</v>
      </c>
      <c r="C18" s="1056"/>
      <c r="D18" s="1056"/>
      <c r="E18" s="995">
        <f>'Afschr.inventaris'!G30</f>
        <v>0</v>
      </c>
      <c r="G18" s="565"/>
    </row>
    <row r="19" spans="1:7" ht="12">
      <c r="A19" s="937">
        <f t="shared" si="0"/>
        <v>1511</v>
      </c>
      <c r="B19" s="955" t="s">
        <v>403</v>
      </c>
      <c r="C19" s="573"/>
      <c r="D19" s="573"/>
      <c r="E19" s="995">
        <f>C19-D19</f>
        <v>0</v>
      </c>
      <c r="G19" s="565"/>
    </row>
    <row r="20" spans="1:7" ht="12">
      <c r="A20" s="937">
        <f t="shared" si="0"/>
        <v>1512</v>
      </c>
      <c r="B20" s="955" t="s">
        <v>23</v>
      </c>
      <c r="C20" s="1052"/>
      <c r="D20" s="1052"/>
      <c r="E20" s="995">
        <f>C20-D20</f>
        <v>0</v>
      </c>
      <c r="G20" s="565"/>
    </row>
    <row r="21" spans="1:7" ht="12">
      <c r="A21" s="937">
        <f t="shared" si="0"/>
        <v>1513</v>
      </c>
      <c r="B21" s="773" t="s">
        <v>81</v>
      </c>
      <c r="C21" s="1057" t="s">
        <v>111</v>
      </c>
      <c r="D21" s="1052"/>
      <c r="E21" s="995">
        <f>-D21</f>
        <v>0</v>
      </c>
      <c r="G21" s="565"/>
    </row>
    <row r="22" spans="1:7" ht="12">
      <c r="A22" s="937">
        <f t="shared" si="0"/>
        <v>1514</v>
      </c>
      <c r="B22" s="773" t="s">
        <v>42</v>
      </c>
      <c r="C22" s="1009"/>
      <c r="D22" s="951"/>
      <c r="E22" s="1052"/>
      <c r="G22" s="565"/>
    </row>
    <row r="23" spans="1:7" ht="12">
      <c r="A23" s="937">
        <f t="shared" si="0"/>
        <v>1515</v>
      </c>
      <c r="B23" s="744" t="str">
        <f>CONCATENATE("Mutatie aanvaardbare kosten exclusief aanpassing rentekosten (regel ",A9," t/m ",A22,")")</f>
        <v>Mutatie aanvaardbare kosten exclusief aanpassing rentekosten (regel 1501 t/m 1514)</v>
      </c>
      <c r="C23" s="1008"/>
      <c r="D23" s="1008"/>
      <c r="E23" s="969">
        <f>SUM(E9:E22)</f>
        <v>0</v>
      </c>
      <c r="G23" s="565"/>
    </row>
    <row r="24" spans="1:7" ht="12">
      <c r="A24" s="937">
        <f t="shared" si="0"/>
        <v>1516</v>
      </c>
      <c r="B24" s="1036" t="str">
        <f>CONCATENATE("Aanvaardbare kosten op kasbasis volgens laatste rekenstaat ",Voorblad!$D$3)</f>
        <v>Aanvaardbare kosten op kasbasis volgens laatste rekenstaat 2004</v>
      </c>
      <c r="C24" s="1033"/>
      <c r="E24" s="1052"/>
      <c r="G24" s="565"/>
    </row>
    <row r="25" spans="1:7" ht="12">
      <c r="A25" s="937">
        <f t="shared" si="0"/>
        <v>1517</v>
      </c>
      <c r="B25" s="1061" t="str">
        <f>CONCATENATE("Subtotaal (regel ",A23," + ",A24,")")</f>
        <v>Subtotaal (regel 1515 + 1516)</v>
      </c>
      <c r="C25" s="951"/>
      <c r="D25" s="951"/>
      <c r="E25" s="995">
        <f>E23+E24</f>
        <v>0</v>
      </c>
      <c r="G25" s="565"/>
    </row>
    <row r="26" spans="1:7" ht="12">
      <c r="A26" s="937">
        <f t="shared" si="0"/>
        <v>1518</v>
      </c>
      <c r="B26" s="1199" t="s">
        <v>24</v>
      </c>
      <c r="C26" s="1054">
        <f>'Rentecalc.'!E32</f>
        <v>0</v>
      </c>
      <c r="D26" s="1052"/>
      <c r="E26" s="1054">
        <f>C26-D26</f>
        <v>0</v>
      </c>
      <c r="G26" s="565"/>
    </row>
    <row r="27" spans="1:7" ht="12">
      <c r="A27" s="937">
        <f t="shared" si="0"/>
        <v>1519</v>
      </c>
      <c r="B27" s="1060" t="str">
        <f>CONCATENATE("Definitief aanvaardbare kosten ",Voorblad!D3," (regel ",A25," + ",A26,")")</f>
        <v>Definitief aanvaardbare kosten 2004 (regel 1517 + 1518)</v>
      </c>
      <c r="C27" s="1058"/>
      <c r="D27" s="1058"/>
      <c r="E27" s="1064">
        <f>E25+E26</f>
        <v>0</v>
      </c>
      <c r="G27" s="565"/>
    </row>
    <row r="28" spans="1:7" ht="12">
      <c r="A28" s="958"/>
      <c r="C28" s="900"/>
      <c r="E28" s="964"/>
      <c r="G28" s="565"/>
    </row>
    <row r="29" spans="1:7" ht="12">
      <c r="A29" s="900" t="s">
        <v>300</v>
      </c>
      <c r="B29" s="900" t="str">
        <f>CONCATENATE("Opbrengstverrekening ",Voorblad!D3,"")</f>
        <v>Opbrengstverrekening 2004</v>
      </c>
      <c r="E29" s="964"/>
      <c r="G29" s="565"/>
    </row>
    <row r="30" spans="1:7" ht="12">
      <c r="A30" s="937">
        <f>A27+1</f>
        <v>1520</v>
      </c>
      <c r="B30" s="1288" t="s">
        <v>584</v>
      </c>
      <c r="C30" s="1289"/>
      <c r="D30" s="1290"/>
      <c r="E30" s="573"/>
      <c r="G30" s="565"/>
    </row>
    <row r="31" spans="1:7" ht="12">
      <c r="A31" s="937">
        <f>A30+1</f>
        <v>1521</v>
      </c>
      <c r="B31" s="1364" t="str">
        <f>CONCATENATE("Werkelijke opbrengsten ",Voorblad!D3," (regel ",Opbrengsten!G26," van pagina ",Opbrengsten!J2,")")</f>
        <v>Werkelijke opbrengsten 2004 (regel 939 van pagina 9)</v>
      </c>
      <c r="C31" s="1365"/>
      <c r="D31" s="1366"/>
      <c r="E31" s="995">
        <f>Opbrengsten!J26</f>
        <v>0</v>
      </c>
      <c r="G31" s="565"/>
    </row>
    <row r="32" spans="1:7" ht="12">
      <c r="A32" s="937">
        <f>A31+1</f>
        <v>1522</v>
      </c>
      <c r="B32" s="1297" t="str">
        <f>CONCATENATE("Nog te verrekenen opbrengsten m.b.t. ",Voorblad!D3,"")</f>
        <v>Nog te verrekenen opbrengsten m.b.t. 2004</v>
      </c>
      <c r="C32" s="1298"/>
      <c r="D32" s="1299"/>
      <c r="E32" s="969">
        <f>E30-E31</f>
        <v>0</v>
      </c>
      <c r="G32" s="565"/>
    </row>
    <row r="33" spans="2:5" ht="12">
      <c r="B33" s="958"/>
      <c r="C33" s="958"/>
      <c r="D33" s="958"/>
      <c r="E33" s="1005"/>
    </row>
    <row r="34" ht="12">
      <c r="A34" s="993"/>
    </row>
    <row r="36" ht="12">
      <c r="G36" s="996"/>
    </row>
  </sheetData>
  <sheetProtection password="CFAD" sheet="1" objects="1" scenarios="1"/>
  <mergeCells count="5">
    <mergeCell ref="C9:D9"/>
    <mergeCell ref="C11:D11"/>
    <mergeCell ref="B31:D31"/>
    <mergeCell ref="B32:D32"/>
    <mergeCell ref="B30:D30"/>
  </mergeCells>
  <conditionalFormatting sqref="E30 C19:D20 E24 D26 D21 E22 D15">
    <cfRule type="expression" priority="1" dxfId="0" stopIfTrue="1">
      <formula>$C$2=TRUE</formula>
    </cfRule>
  </conditionalFormatting>
  <printOptions/>
  <pageMargins left="0.75" right="0.75" top="1" bottom="1" header="0.5" footer="0.5"/>
  <pageSetup horizontalDpi="1200" verticalDpi="1200" orientation="landscape" paperSize="9" r:id="rId2"/>
  <drawing r:id="rId1"/>
</worksheet>
</file>

<file path=xl/worksheets/sheet14.xml><?xml version="1.0" encoding="utf-8"?>
<worksheet xmlns="http://schemas.openxmlformats.org/spreadsheetml/2006/main" xmlns:r="http://schemas.openxmlformats.org/officeDocument/2006/relationships">
  <sheetPr codeName="Blad17">
    <pageSetUpPr fitToPage="1"/>
  </sheetPr>
  <dimension ref="A1:K32"/>
  <sheetViews>
    <sheetView showGridLines="0" view="pageBreakPreview" zoomScaleNormal="86" zoomScaleSheetLayoutView="100" workbookViewId="0" topLeftCell="A7">
      <selection activeCell="E31" sqref="E31"/>
    </sheetView>
  </sheetViews>
  <sheetFormatPr defaultColWidth="9.140625" defaultRowHeight="12.75"/>
  <cols>
    <col min="1" max="1" width="5.7109375" style="466" customWidth="1"/>
    <col min="2" max="2" width="25.7109375" style="457" customWidth="1"/>
    <col min="3" max="3" width="43.8515625" style="485" customWidth="1"/>
    <col min="4" max="4" width="16.7109375" style="459" customWidth="1"/>
    <col min="5" max="5" width="16.7109375" style="457" customWidth="1"/>
    <col min="6" max="6" width="15.8515625" style="457" customWidth="1"/>
    <col min="7" max="7" width="3.421875" style="457" customWidth="1"/>
    <col min="8" max="8" width="9.00390625" style="467" bestFit="1" customWidth="1"/>
    <col min="9" max="16384" width="9.140625" style="457" customWidth="1"/>
  </cols>
  <sheetData>
    <row r="1" spans="1:11" ht="15.75" customHeight="1">
      <c r="A1" s="41"/>
      <c r="B1" s="42"/>
      <c r="C1" s="42"/>
      <c r="D1" s="43"/>
      <c r="E1" s="42"/>
      <c r="F1" s="45"/>
      <c r="G1" s="458"/>
      <c r="H1" s="459"/>
      <c r="K1" s="455"/>
    </row>
    <row r="2" spans="1:11" s="503" customFormat="1" ht="15.75" customHeight="1">
      <c r="A2" s="586" t="str">
        <f>Inhoud!$A$2</f>
        <v>Nacalculatieformulier 2004</v>
      </c>
      <c r="B2" s="601"/>
      <c r="C2" s="603"/>
      <c r="D2" s="604" t="b">
        <f>Voorblad!D30</f>
        <v>1</v>
      </c>
      <c r="E2" s="604"/>
      <c r="F2" s="538"/>
      <c r="G2" s="600">
        <f>Mutaties!E2+1</f>
        <v>16</v>
      </c>
      <c r="K2" s="504"/>
    </row>
    <row r="3" spans="1:11" ht="12">
      <c r="A3" s="41"/>
      <c r="B3" s="42"/>
      <c r="C3" s="42"/>
      <c r="D3" s="43"/>
      <c r="E3" s="42"/>
      <c r="F3" s="45"/>
      <c r="G3" s="458"/>
      <c r="H3" s="459"/>
      <c r="K3" s="455"/>
    </row>
    <row r="4" spans="2:9" ht="12.75" customHeight="1">
      <c r="B4" s="95"/>
      <c r="C4" s="95"/>
      <c r="D4" s="387"/>
      <c r="E4" s="90"/>
      <c r="F4" s="590"/>
      <c r="G4" s="489"/>
      <c r="H4" s="489"/>
      <c r="I4" s="455"/>
    </row>
    <row r="5" spans="1:8" ht="12.75" customHeight="1">
      <c r="A5" s="41"/>
      <c r="B5" s="95"/>
      <c r="C5" s="95"/>
      <c r="D5" s="95"/>
      <c r="E5" s="163"/>
      <c r="F5" s="165"/>
      <c r="G5" s="499"/>
      <c r="H5" s="499"/>
    </row>
    <row r="6" spans="1:8" ht="12.75" customHeight="1">
      <c r="A6" s="14" t="s">
        <v>432</v>
      </c>
      <c r="B6"/>
      <c r="C6"/>
      <c r="D6"/>
      <c r="E6"/>
      <c r="F6"/>
      <c r="G6" s="475"/>
      <c r="H6" s="484"/>
    </row>
    <row r="7" spans="1:8" s="486" customFormat="1" ht="12.75" customHeight="1">
      <c r="A7"/>
      <c r="B7"/>
      <c r="C7"/>
      <c r="D7"/>
      <c r="E7"/>
      <c r="F7"/>
      <c r="G7" s="475"/>
      <c r="H7" s="484"/>
    </row>
    <row r="8" spans="1:6" ht="12.75" customHeight="1">
      <c r="A8" s="26"/>
      <c r="B8" s="132"/>
      <c r="C8"/>
      <c r="E8" s="477" t="s">
        <v>123</v>
      </c>
      <c r="F8"/>
    </row>
    <row r="9" spans="1:6" ht="12.75" customHeight="1">
      <c r="A9" s="624"/>
      <c r="B9" s="1078" t="s">
        <v>133</v>
      </c>
      <c r="C9" s="637"/>
      <c r="E9" s="472"/>
      <c r="F9"/>
    </row>
    <row r="10" spans="1:6" ht="12.75" customHeight="1">
      <c r="A10" s="739">
        <f>(G2*100)+1</f>
        <v>1601</v>
      </c>
      <c r="B10" s="1079" t="str">
        <f>CONCATENATE('A-G'!B8," (regel ",'A-G'!A23," bijlage ",LEFT('A-G'!A8,1),")")</f>
        <v>Boekwaarde investeringen waarvoor vergunning is verleend (regel 1715 bijlage A)</v>
      </c>
      <c r="C10" s="844"/>
      <c r="D10" s="1080"/>
      <c r="E10" s="432">
        <f>'A-G'!G23</f>
        <v>0</v>
      </c>
      <c r="F10"/>
    </row>
    <row r="11" spans="1:6" ht="12.75" customHeight="1">
      <c r="A11" s="743">
        <f aca="true" t="shared" si="0" ref="A11:A17">A10+1</f>
        <v>1602</v>
      </c>
      <c r="B11" s="559" t="str">
        <f>CONCATENATE('A-G'!B31," (regel ",'A-G'!A45," bijlage ",LEFT('A-G'!A31,1),")")</f>
        <v>Onderhanden bouwprojecten  met WZV vergunning (geen investeringen meldingsregeling) (regel 1731 bijlage B)</v>
      </c>
      <c r="C11" s="559"/>
      <c r="D11" s="626"/>
      <c r="E11" s="432">
        <f>'A-G'!G45</f>
        <v>0</v>
      </c>
      <c r="F11"/>
    </row>
    <row r="12" spans="1:6" ht="12.75" customHeight="1">
      <c r="A12" s="743">
        <f t="shared" si="0"/>
        <v>1603</v>
      </c>
      <c r="B12" s="559" t="str">
        <f>CONCATENATE('A-G'!B53," (regel ",'A-G'!A71," bijlage ",LEFT('A-G'!A53,1),")")</f>
        <v>Werkelijke boekwaarde instandhoudingsinvesteringen (inclusief onderhanden werk) (regel 1818 bijlage C)</v>
      </c>
      <c r="C12" s="559"/>
      <c r="D12" s="626"/>
      <c r="E12" s="432">
        <f>'A-G'!G71</f>
        <v>0</v>
      </c>
      <c r="F12"/>
    </row>
    <row r="13" spans="1:6" ht="12.75" customHeight="1">
      <c r="A13" s="743">
        <f t="shared" si="0"/>
        <v>1604</v>
      </c>
      <c r="B13" s="559" t="str">
        <f>CONCATENATE('A-G'!B79," (regel ",'A-G'!A91," bijlage ",LEFT('A-G'!A79,1),")")</f>
        <v>Normatieve boekwaarde medische en overige inventarissen (regel 1830 bijlage D)</v>
      </c>
      <c r="C13" s="559"/>
      <c r="D13" s="626"/>
      <c r="E13" s="432">
        <f>'A-G'!G91</f>
        <v>0</v>
      </c>
      <c r="F13"/>
    </row>
    <row r="14" spans="1:6" ht="12.75" customHeight="1">
      <c r="A14" s="743">
        <f t="shared" si="0"/>
        <v>1605</v>
      </c>
      <c r="B14" s="559" t="str">
        <f>CONCATENATE('A-G'!B100," (regel ",'A-G'!A111," bijlage ",LEFT('A-G'!A100,1),")")</f>
        <v>Normatieve boekwaarde medische en overige inventarissen artikel 2 WBMV apparatuur (regel 1911 bijlage E)</v>
      </c>
      <c r="C14" s="745"/>
      <c r="D14" s="764"/>
      <c r="E14" s="767">
        <f>'A-G'!G111</f>
        <v>0</v>
      </c>
      <c r="F14"/>
    </row>
    <row r="15" spans="1:6" ht="12.75" customHeight="1">
      <c r="A15" s="743">
        <f t="shared" si="0"/>
        <v>1606</v>
      </c>
      <c r="B15" s="559" t="str">
        <f>CONCATENATE('A-G'!B114," (regel ",'A-G'!A117," bijlage ",LEFT('A-G'!A114,1),")")</f>
        <v>Normatief werkkapitaal (regel 1914 bijlage F)</v>
      </c>
      <c r="C15" s="620"/>
      <c r="D15" s="771"/>
      <c r="E15" s="767">
        <f>'A-G'!G117</f>
        <v>0</v>
      </c>
      <c r="F15"/>
    </row>
    <row r="16" spans="1:6" ht="12.75" customHeight="1">
      <c r="A16" s="743">
        <f t="shared" si="0"/>
        <v>1607</v>
      </c>
      <c r="B16" s="559" t="str">
        <f>CONCATENATE('A-G'!B123," (regel ",'A-G'!A144," of ",'A-G'!A146," bijlage ",LEFT('A-G'!A123,1),")")</f>
        <v>Nog in tarieven te verrekenen kosten/opbrengsten (regel 2018 of 2020 bijlage G)</v>
      </c>
      <c r="C16" s="620"/>
      <c r="D16" s="771"/>
      <c r="E16" s="767">
        <f>IF('A-G'!G144&gt;'A-G'!G146,'A-G'!G146,'A-G'!G144)</f>
        <v>0</v>
      </c>
      <c r="F16"/>
    </row>
    <row r="17" spans="1:6" ht="12.75" customHeight="1">
      <c r="A17" s="743">
        <f t="shared" si="0"/>
        <v>1608</v>
      </c>
      <c r="B17" s="769" t="str">
        <f>CONCATENATE("Totaal in aanmerking te nemen activa (regel ",A10," t/m ",A16,")")</f>
        <v>Totaal in aanmerking te nemen activa (regel 1601 t/m 1607)</v>
      </c>
      <c r="C17" s="779"/>
      <c r="D17" s="766"/>
      <c r="E17" s="768">
        <f>SUM(E10:E16)</f>
        <v>0</v>
      </c>
      <c r="F17"/>
    </row>
    <row r="18" spans="1:6" ht="12.75" customHeight="1">
      <c r="A18" s="636"/>
      <c r="B18" s="1078" t="s">
        <v>134</v>
      </c>
      <c r="C18" s="639"/>
      <c r="D18" s="639"/>
      <c r="E18" s="479"/>
      <c r="F18"/>
    </row>
    <row r="19" spans="1:6" ht="12.75" customHeight="1">
      <c r="A19" s="743">
        <f>A17+1</f>
        <v>1609</v>
      </c>
      <c r="B19" s="1079" t="str">
        <f>CONCATENATE(H!B7," (regel ",H!A38," bijlage ",LEFT(H!A7,1),")")</f>
        <v>Langlopende leningen (incl. langlopende leasecontracten) (regel 2131 bijlage H)</v>
      </c>
      <c r="C19" s="844"/>
      <c r="D19" s="1080"/>
      <c r="E19" s="432">
        <f>H!R38</f>
        <v>0</v>
      </c>
      <c r="F19"/>
    </row>
    <row r="20" spans="1:6" ht="12.75" customHeight="1">
      <c r="A20" s="743">
        <f>A19+1</f>
        <v>1610</v>
      </c>
      <c r="B20" s="745" t="str">
        <f>CONCATENATE('I-J'!B6," (regel ",'I-J'!A22," bijlage ",LEFT('I-J'!A6,1),")")</f>
        <v>Eigen vermogen (regel 2316 bijlage I)</v>
      </c>
      <c r="C20" s="745"/>
      <c r="D20" s="764"/>
      <c r="E20" s="767">
        <f>'I-J'!E22</f>
        <v>0</v>
      </c>
      <c r="F20"/>
    </row>
    <row r="21" spans="1:6" ht="12.75" customHeight="1">
      <c r="A21" s="743">
        <f>A20+1</f>
        <v>1611</v>
      </c>
      <c r="B21" s="765" t="str">
        <f>CONCATENATE("Totaal in aanmerking te nemen passiva (regel ",A19," + ",A20,")")</f>
        <v>Totaal in aanmerking te nemen passiva (regel 1609 + 1610)</v>
      </c>
      <c r="C21" s="776"/>
      <c r="D21" s="766"/>
      <c r="E21" s="770">
        <f>E19+E20</f>
        <v>0</v>
      </c>
      <c r="F21"/>
    </row>
    <row r="22" spans="1:6" ht="12.75" customHeight="1">
      <c r="A22" s="618"/>
      <c r="B22" s="618"/>
      <c r="C22" s="639"/>
      <c r="D22" s="639"/>
      <c r="E22" s="479"/>
      <c r="F22"/>
    </row>
    <row r="23" spans="1:6" ht="12.75" customHeight="1">
      <c r="A23" s="743">
        <f>A21+1</f>
        <v>1612</v>
      </c>
      <c r="B23" s="744" t="str">
        <f>CONCATENATE("Verschil tussen activa en passiva (regel ",A17," -/- ",A21,")")</f>
        <v>Verschil tussen activa en passiva (regel 1608 -/- 1611)</v>
      </c>
      <c r="C23" s="776"/>
      <c r="D23" s="766"/>
      <c r="E23" s="768">
        <f>E17-E21</f>
        <v>0</v>
      </c>
      <c r="F23"/>
    </row>
    <row r="24" spans="1:6" ht="12.75" customHeight="1">
      <c r="A24" s="743">
        <f>A23+1</f>
        <v>1613</v>
      </c>
      <c r="B24" s="643" t="s">
        <v>423</v>
      </c>
      <c r="C24" s="772"/>
      <c r="D24" s="772"/>
      <c r="E24" s="1097">
        <f>IF(E20&gt;E15,80%*(E10+SUM(E12:E15)-E20),0.8*(E10+SUM(E12:E14)))</f>
        <v>0</v>
      </c>
      <c r="F24"/>
    </row>
    <row r="25" spans="1:6" ht="12.75" customHeight="1">
      <c r="A25" s="743">
        <f>A24+1</f>
        <v>1614</v>
      </c>
      <c r="B25" s="1079" t="s">
        <v>383</v>
      </c>
      <c r="C25" s="1123"/>
      <c r="D25" s="1122"/>
      <c r="E25" s="775">
        <f>IF(E24&gt;E19,E24-E19,0)</f>
        <v>0</v>
      </c>
      <c r="F25"/>
    </row>
    <row r="26" spans="1:6" ht="12.75" customHeight="1">
      <c r="A26" s="743">
        <f>A25+1</f>
        <v>1615</v>
      </c>
      <c r="B26" s="773" t="s">
        <v>393</v>
      </c>
      <c r="C26" s="619"/>
      <c r="D26" s="774"/>
      <c r="E26" s="556"/>
      <c r="F26"/>
    </row>
    <row r="27" spans="1:6" ht="12.75">
      <c r="A27" s="572"/>
      <c r="B27" s="1081" t="s">
        <v>119</v>
      </c>
      <c r="C27" s="618"/>
      <c r="D27" s="572"/>
      <c r="F27"/>
    </row>
    <row r="28" spans="1:5" ht="12">
      <c r="A28" s="743">
        <f>A26+1</f>
        <v>1616</v>
      </c>
      <c r="B28" s="559" t="str">
        <f>CONCATENATE('I-J'!B26," (regel ",'I-J'!A32," bijlage ",LEFT('I-J'!A26,1),")")</f>
        <v>Rentekosten langlopende leningen (regel 2322 bijlage J)</v>
      </c>
      <c r="C28" s="844"/>
      <c r="D28" s="638"/>
      <c r="E28" s="432">
        <f>'I-J'!E32</f>
        <v>0</v>
      </c>
    </row>
    <row r="29" spans="1:5" ht="12">
      <c r="A29" s="743">
        <f>A28+1</f>
        <v>1617</v>
      </c>
      <c r="B29" s="559" t="str">
        <f>CONCATENATE("Normrente over verschil activa en passiva (2,83% van regel ",A23,")")</f>
        <v>Normrente over verschil activa en passiva (2,83% van regel 1612)</v>
      </c>
      <c r="C29" s="559"/>
      <c r="D29" s="626"/>
      <c r="E29" s="432">
        <f>0.0283*(E23)</f>
        <v>0</v>
      </c>
    </row>
    <row r="30" spans="1:5" ht="12">
      <c r="A30" s="743">
        <f>A29+1</f>
        <v>1618</v>
      </c>
      <c r="B30" s="745" t="str">
        <f>CONCATENATE("Rentekorting 1,5% over verschil tussen regel ",A25," en regel ",A26)</f>
        <v>Rentekorting 1,5% over verschil tussen regel 1614 en regel 1615</v>
      </c>
      <c r="C30" s="745"/>
      <c r="D30" s="764"/>
      <c r="E30" s="767">
        <f>IF((E25-E26)&gt;0,-0.015*(E25-E26),0)</f>
        <v>0</v>
      </c>
    </row>
    <row r="31" spans="1:5" ht="12">
      <c r="A31" s="743">
        <f>A30+1</f>
        <v>1619</v>
      </c>
      <c r="B31" s="745" t="str">
        <f>CONCATENATE("Inflatievergoeding over eigen vermogen 0,78% over regel ",'I-J'!A22," bijlage ",LEFT('I-J'!A6,1)," (exclusief instandhoudingsreserve)")</f>
        <v>Inflatievergoeding over eigen vermogen 0,78% over regel 2316 bijlage I (exclusief instandhoudingsreserve)</v>
      </c>
      <c r="C31" s="745"/>
      <c r="D31" s="764"/>
      <c r="E31" s="1175">
        <f>IF(('I-J'!E22-'I-J'!E13)&gt;0,0.78%*('I-J'!E22-'I-J'!E13),0)</f>
        <v>0</v>
      </c>
    </row>
    <row r="32" spans="1:5" ht="12">
      <c r="A32" s="743">
        <f>A31+1</f>
        <v>1620</v>
      </c>
      <c r="B32" s="765" t="str">
        <f>CONCATENATE("Totaal aanvaardbare rentekosten (regel ",A28," tot en met ",A31,")")</f>
        <v>Totaal aanvaardbare rentekosten (regel 1616 tot en met 1619)</v>
      </c>
      <c r="C32" s="776"/>
      <c r="D32" s="766"/>
      <c r="E32" s="768">
        <f>E28+E29+E30+E31</f>
        <v>0</v>
      </c>
    </row>
  </sheetData>
  <sheetProtection password="CFAD" sheet="1" objects="1" scenarios="1"/>
  <conditionalFormatting sqref="E26">
    <cfRule type="expression" priority="1" dxfId="0" stopIfTrue="1">
      <formula>$E$2=TRUE</formula>
    </cfRule>
  </conditionalFormatting>
  <conditionalFormatting sqref="G9:G14">
    <cfRule type="expression" priority="2" dxfId="1" stopIfTrue="1">
      <formula>$G$2=TRUE</formula>
    </cfRule>
  </conditionalFormatting>
  <printOptions/>
  <pageMargins left="0.3937007874015748" right="0.3937007874015748" top="0.3937007874015748" bottom="0.3937007874015748" header="0.5118110236220472" footer="0.5118110236220472"/>
  <pageSetup fitToHeight="1" fitToWidth="1" horizontalDpi="300" verticalDpi="300" orientation="landscape" paperSize="9" scale="96" r:id="rId2"/>
  <headerFooter alignWithMargins="0">
    <oddFooter>&amp;C&amp;"Arial,Vet"&amp;8
</oddFooter>
  </headerFooter>
  <drawing r:id="rId1"/>
</worksheet>
</file>

<file path=xl/worksheets/sheet15.xml><?xml version="1.0" encoding="utf-8"?>
<worksheet xmlns="http://schemas.openxmlformats.org/spreadsheetml/2006/main" xmlns:r="http://schemas.openxmlformats.org/officeDocument/2006/relationships">
  <sheetPr codeName="Blad18"/>
  <dimension ref="A1:L157"/>
  <sheetViews>
    <sheetView showGridLines="0" view="pageBreakPreview" zoomScaleNormal="86" zoomScaleSheetLayoutView="100" workbookViewId="0" topLeftCell="A1">
      <selection activeCell="F9" sqref="F9"/>
    </sheetView>
  </sheetViews>
  <sheetFormatPr defaultColWidth="9.140625" defaultRowHeight="12.75"/>
  <cols>
    <col min="1" max="1" width="5.7109375" style="466" customWidth="1"/>
    <col min="2" max="2" width="37.00390625" style="457" customWidth="1"/>
    <col min="3" max="3" width="17.00390625" style="459" customWidth="1"/>
    <col min="4" max="4" width="13.7109375" style="459" customWidth="1"/>
    <col min="5" max="5" width="16.7109375" style="459" customWidth="1"/>
    <col min="6" max="6" width="17.7109375" style="459" customWidth="1"/>
    <col min="7" max="7" width="17.7109375" style="457" customWidth="1"/>
    <col min="8" max="8" width="1.7109375" style="457" customWidth="1"/>
    <col min="9" max="9" width="10.7109375" style="457" customWidth="1"/>
    <col min="10" max="10" width="10.7109375" style="455" customWidth="1"/>
    <col min="11" max="15" width="10.7109375" style="457" customWidth="1"/>
    <col min="16" max="23" width="9.140625" style="457" customWidth="1"/>
    <col min="24" max="24" width="1.7109375" style="457" customWidth="1"/>
    <col min="25" max="16384" width="9.140625" style="457" customWidth="1"/>
  </cols>
  <sheetData>
    <row r="1" spans="1:7" ht="15.75" customHeight="1">
      <c r="A1" s="624"/>
      <c r="B1" s="572"/>
      <c r="C1" s="42"/>
      <c r="D1" s="42"/>
      <c r="E1" s="42"/>
      <c r="F1" s="42"/>
      <c r="G1" s="572"/>
    </row>
    <row r="2" spans="1:10" s="503" customFormat="1" ht="15.75" customHeight="1">
      <c r="A2" s="586" t="str">
        <f>Inhoud!$A$2</f>
        <v>Nacalculatieformulier 2004</v>
      </c>
      <c r="B2" s="601"/>
      <c r="C2" s="603"/>
      <c r="D2" s="603"/>
      <c r="E2" s="604" t="b">
        <f>Voorblad!D30</f>
        <v>1</v>
      </c>
      <c r="F2" s="604"/>
      <c r="G2" s="600">
        <f>'Rentecalc.'!G2+1</f>
        <v>17</v>
      </c>
      <c r="J2" s="504"/>
    </row>
    <row r="3" spans="1:7" ht="12.75" customHeight="1">
      <c r="A3" s="624"/>
      <c r="B3" s="572"/>
      <c r="C3" s="42"/>
      <c r="D3" s="42"/>
      <c r="E3" s="42"/>
      <c r="F3" s="42"/>
      <c r="G3" s="572"/>
    </row>
    <row r="4" spans="1:7" ht="12.75" customHeight="1">
      <c r="A4" s="14" t="s">
        <v>433</v>
      </c>
      <c r="B4" s="572"/>
      <c r="C4" s="42"/>
      <c r="D4" s="42"/>
      <c r="E4" s="42"/>
      <c r="F4" s="42"/>
      <c r="G4" s="572"/>
    </row>
    <row r="5" spans="1:10" ht="12.75" customHeight="1">
      <c r="A5" s="595"/>
      <c r="B5" s="646"/>
      <c r="C5" s="616" t="s">
        <v>143</v>
      </c>
      <c r="D5" s="621" t="s">
        <v>106</v>
      </c>
      <c r="E5" s="616" t="s">
        <v>105</v>
      </c>
      <c r="F5" s="1373" t="s">
        <v>70</v>
      </c>
      <c r="G5" s="1374"/>
      <c r="H5" s="503"/>
      <c r="I5" s="503"/>
      <c r="J5" s="503"/>
    </row>
    <row r="6" spans="1:7" s="503" customFormat="1" ht="12.75" customHeight="1">
      <c r="A6" s="595"/>
      <c r="B6" s="646"/>
      <c r="C6" s="623"/>
      <c r="D6" s="623"/>
      <c r="E6" s="623"/>
      <c r="F6" s="647" t="s">
        <v>97</v>
      </c>
      <c r="G6" s="622" t="s">
        <v>92</v>
      </c>
    </row>
    <row r="7" spans="1:10" s="503" customFormat="1" ht="12" customHeight="1">
      <c r="A7" s="645"/>
      <c r="B7" s="648"/>
      <c r="C7" s="29"/>
      <c r="D7" s="29"/>
      <c r="E7" s="30"/>
      <c r="F7" s="649"/>
      <c r="G7" s="30"/>
      <c r="H7" s="455"/>
      <c r="I7" s="455"/>
      <c r="J7" s="455"/>
    </row>
    <row r="8" spans="1:10" s="455" customFormat="1" ht="12" customHeight="1">
      <c r="A8" s="14" t="s">
        <v>148</v>
      </c>
      <c r="B8" s="627" t="s">
        <v>304</v>
      </c>
      <c r="C8" s="650"/>
      <c r="D8" s="637"/>
      <c r="E8" s="95"/>
      <c r="F8" s="590"/>
      <c r="G8" s="637"/>
      <c r="I8" s="457"/>
      <c r="J8" s="457"/>
    </row>
    <row r="9" spans="1:10" ht="12" customHeight="1">
      <c r="A9" s="739">
        <f>(100*G2)+1</f>
        <v>1701</v>
      </c>
      <c r="B9" s="625" t="str">
        <f>CONCATENATE("Stand per 31-12-",Voorblad!D3-1)</f>
        <v>Stand per 31-12-2003</v>
      </c>
      <c r="C9" s="490"/>
      <c r="D9" s="493">
        <v>0</v>
      </c>
      <c r="E9" s="492">
        <f aca="true" t="shared" si="0" ref="E9:E22">C9-D9</f>
        <v>0</v>
      </c>
      <c r="F9" s="848">
        <v>1</v>
      </c>
      <c r="G9" s="482">
        <f>E9*F9</f>
        <v>0</v>
      </c>
      <c r="J9" s="457"/>
    </row>
    <row r="10" spans="1:10" ht="12" customHeight="1">
      <c r="A10" s="739">
        <f aca="true" t="shared" si="1" ref="A10:A25">A9+1</f>
        <v>1702</v>
      </c>
      <c r="B10" s="625" t="str">
        <f>CONCATENATE("Geheel afgeschreven in ",Voorblad!D3)</f>
        <v>Geheel afgeschreven in 2004</v>
      </c>
      <c r="C10" s="491"/>
      <c r="D10" s="490"/>
      <c r="E10" s="492">
        <f t="shared" si="0"/>
        <v>0</v>
      </c>
      <c r="F10" s="845"/>
      <c r="G10" s="482"/>
      <c r="J10" s="457"/>
    </row>
    <row r="11" spans="1:10" ht="12" customHeight="1">
      <c r="A11" s="739">
        <f t="shared" si="1"/>
        <v>1703</v>
      </c>
      <c r="B11" s="625" t="s">
        <v>438</v>
      </c>
      <c r="C11" s="490"/>
      <c r="D11" s="493">
        <v>0</v>
      </c>
      <c r="E11" s="492">
        <f t="shared" si="0"/>
        <v>0</v>
      </c>
      <c r="F11" s="848">
        <v>0.9583</v>
      </c>
      <c r="G11" s="482">
        <f aca="true" t="shared" si="2" ref="G11:G22">E11*F11</f>
        <v>0</v>
      </c>
      <c r="J11" s="457"/>
    </row>
    <row r="12" spans="1:10" ht="12" customHeight="1">
      <c r="A12" s="739">
        <f t="shared" si="1"/>
        <v>1704</v>
      </c>
      <c r="B12" s="625" t="s">
        <v>439</v>
      </c>
      <c r="C12" s="490"/>
      <c r="D12" s="493">
        <v>0</v>
      </c>
      <c r="E12" s="492">
        <f t="shared" si="0"/>
        <v>0</v>
      </c>
      <c r="F12" s="848">
        <v>0.875</v>
      </c>
      <c r="G12" s="482">
        <f t="shared" si="2"/>
        <v>0</v>
      </c>
      <c r="J12" s="457"/>
    </row>
    <row r="13" spans="1:10" ht="12" customHeight="1">
      <c r="A13" s="739">
        <f t="shared" si="1"/>
        <v>1705</v>
      </c>
      <c r="B13" s="625" t="s">
        <v>440</v>
      </c>
      <c r="C13" s="490"/>
      <c r="D13" s="493">
        <v>0</v>
      </c>
      <c r="E13" s="492">
        <f t="shared" si="0"/>
        <v>0</v>
      </c>
      <c r="F13" s="848">
        <v>0.7917</v>
      </c>
      <c r="G13" s="482">
        <f t="shared" si="2"/>
        <v>0</v>
      </c>
      <c r="J13" s="457"/>
    </row>
    <row r="14" spans="1:10" ht="12" customHeight="1">
      <c r="A14" s="739">
        <f t="shared" si="1"/>
        <v>1706</v>
      </c>
      <c r="B14" s="625" t="s">
        <v>441</v>
      </c>
      <c r="C14" s="490"/>
      <c r="D14" s="493">
        <v>0</v>
      </c>
      <c r="E14" s="492">
        <f t="shared" si="0"/>
        <v>0</v>
      </c>
      <c r="F14" s="848">
        <v>0.7083</v>
      </c>
      <c r="G14" s="482">
        <f t="shared" si="2"/>
        <v>0</v>
      </c>
      <c r="J14" s="457"/>
    </row>
    <row r="15" spans="1:10" ht="12" customHeight="1">
      <c r="A15" s="739">
        <f t="shared" si="1"/>
        <v>1707</v>
      </c>
      <c r="B15" s="625" t="s">
        <v>442</v>
      </c>
      <c r="C15" s="490"/>
      <c r="D15" s="493">
        <v>0</v>
      </c>
      <c r="E15" s="492">
        <f t="shared" si="0"/>
        <v>0</v>
      </c>
      <c r="F15" s="848">
        <v>0.625</v>
      </c>
      <c r="G15" s="482">
        <f t="shared" si="2"/>
        <v>0</v>
      </c>
      <c r="J15" s="457"/>
    </row>
    <row r="16" spans="1:10" ht="12" customHeight="1">
      <c r="A16" s="739">
        <f t="shared" si="1"/>
        <v>1708</v>
      </c>
      <c r="B16" s="625" t="s">
        <v>443</v>
      </c>
      <c r="C16" s="490"/>
      <c r="D16" s="493">
        <v>0</v>
      </c>
      <c r="E16" s="492">
        <f t="shared" si="0"/>
        <v>0</v>
      </c>
      <c r="F16" s="848">
        <v>0.5417</v>
      </c>
      <c r="G16" s="482">
        <f t="shared" si="2"/>
        <v>0</v>
      </c>
      <c r="J16" s="457"/>
    </row>
    <row r="17" spans="1:10" ht="12" customHeight="1">
      <c r="A17" s="739">
        <f t="shared" si="1"/>
        <v>1709</v>
      </c>
      <c r="B17" s="625" t="s">
        <v>444</v>
      </c>
      <c r="C17" s="490"/>
      <c r="D17" s="493">
        <v>0</v>
      </c>
      <c r="E17" s="492">
        <f t="shared" si="0"/>
        <v>0</v>
      </c>
      <c r="F17" s="848">
        <v>0.4583</v>
      </c>
      <c r="G17" s="482">
        <f t="shared" si="2"/>
        <v>0</v>
      </c>
      <c r="J17" s="457"/>
    </row>
    <row r="18" spans="1:10" ht="12" customHeight="1">
      <c r="A18" s="739">
        <f t="shared" si="1"/>
        <v>1710</v>
      </c>
      <c r="B18" s="625" t="s">
        <v>445</v>
      </c>
      <c r="C18" s="490"/>
      <c r="D18" s="493">
        <v>0</v>
      </c>
      <c r="E18" s="492">
        <f t="shared" si="0"/>
        <v>0</v>
      </c>
      <c r="F18" s="848">
        <v>0.375</v>
      </c>
      <c r="G18" s="482">
        <f t="shared" si="2"/>
        <v>0</v>
      </c>
      <c r="J18" s="457"/>
    </row>
    <row r="19" spans="1:10" ht="12" customHeight="1">
      <c r="A19" s="739">
        <f t="shared" si="1"/>
        <v>1711</v>
      </c>
      <c r="B19" s="625" t="s">
        <v>446</v>
      </c>
      <c r="C19" s="490"/>
      <c r="D19" s="493">
        <v>0</v>
      </c>
      <c r="E19" s="492">
        <f t="shared" si="0"/>
        <v>0</v>
      </c>
      <c r="F19" s="848">
        <v>0.2917</v>
      </c>
      <c r="G19" s="482">
        <f t="shared" si="2"/>
        <v>0</v>
      </c>
      <c r="J19" s="457"/>
    </row>
    <row r="20" spans="1:10" ht="12" customHeight="1">
      <c r="A20" s="739">
        <f t="shared" si="1"/>
        <v>1712</v>
      </c>
      <c r="B20" s="625" t="s">
        <v>447</v>
      </c>
      <c r="C20" s="490"/>
      <c r="D20" s="493">
        <v>0</v>
      </c>
      <c r="E20" s="492">
        <f t="shared" si="0"/>
        <v>0</v>
      </c>
      <c r="F20" s="848">
        <v>0.2083</v>
      </c>
      <c r="G20" s="482">
        <f t="shared" si="2"/>
        <v>0</v>
      </c>
      <c r="J20" s="457"/>
    </row>
    <row r="21" spans="1:10" ht="12" customHeight="1">
      <c r="A21" s="739">
        <f t="shared" si="1"/>
        <v>1713</v>
      </c>
      <c r="B21" s="625" t="s">
        <v>448</v>
      </c>
      <c r="C21" s="490"/>
      <c r="D21" s="493">
        <v>0</v>
      </c>
      <c r="E21" s="492">
        <f t="shared" si="0"/>
        <v>0</v>
      </c>
      <c r="F21" s="848">
        <v>0.125</v>
      </c>
      <c r="G21" s="482">
        <f t="shared" si="2"/>
        <v>0</v>
      </c>
      <c r="J21" s="457"/>
    </row>
    <row r="22" spans="1:10" ht="12" customHeight="1">
      <c r="A22" s="739">
        <f t="shared" si="1"/>
        <v>1714</v>
      </c>
      <c r="B22" s="651" t="s">
        <v>449</v>
      </c>
      <c r="C22" s="746"/>
      <c r="D22" s="849">
        <v>0</v>
      </c>
      <c r="E22" s="850">
        <f t="shared" si="0"/>
        <v>0</v>
      </c>
      <c r="F22" s="851">
        <v>0.0417</v>
      </c>
      <c r="G22" s="760">
        <f t="shared" si="2"/>
        <v>0</v>
      </c>
      <c r="J22" s="457"/>
    </row>
    <row r="23" spans="1:7" ht="12" customHeight="1">
      <c r="A23" s="739">
        <f t="shared" si="1"/>
        <v>1715</v>
      </c>
      <c r="B23" s="753" t="str">
        <f>CONCATENATE("Stand per 31-12-",Voorblad!$D$3," (",A9," t/m ",A22,")")</f>
        <v>Stand per 31-12-2004 (1701 t/m 1714)</v>
      </c>
      <c r="C23" s="762">
        <f>C9-C10+SUM(C11:C22)</f>
        <v>0</v>
      </c>
      <c r="D23" s="834">
        <f>D9-D10+SUM(D11:D22)</f>
        <v>0</v>
      </c>
      <c r="E23" s="777">
        <f>SUM(E9:E22)</f>
        <v>0</v>
      </c>
      <c r="F23" s="778"/>
      <c r="G23" s="741">
        <f>SUM(G9:G22)</f>
        <v>0</v>
      </c>
    </row>
    <row r="24" spans="1:10" ht="12" customHeight="1">
      <c r="A24" s="739">
        <f t="shared" si="1"/>
        <v>1716</v>
      </c>
      <c r="B24" s="782" t="str">
        <f>CONCATENATE("Overzicht afschrijvingen + regel ",A9," - ","regel ",A10)</f>
        <v>Overzicht afschrijvingen + regel 1701 - regel 1702</v>
      </c>
      <c r="C24" s="1044"/>
      <c r="D24" s="995">
        <f>Afschrijvingen!G19+D9-D10</f>
        <v>0</v>
      </c>
      <c r="E24" s="467"/>
      <c r="F24" s="467"/>
      <c r="G24" s="467"/>
      <c r="H24" s="476"/>
      <c r="I24" s="467"/>
      <c r="J24" s="457"/>
    </row>
    <row r="25" spans="1:9" s="467" customFormat="1" ht="12" customHeight="1">
      <c r="A25" s="739">
        <f t="shared" si="1"/>
        <v>1717</v>
      </c>
      <c r="B25" s="753" t="s">
        <v>370</v>
      </c>
      <c r="C25" s="1045"/>
      <c r="D25" s="1059">
        <f>D23-D24</f>
        <v>0</v>
      </c>
      <c r="E25" s="459"/>
      <c r="F25" s="457"/>
      <c r="G25" s="457"/>
      <c r="H25" s="457"/>
      <c r="I25" s="455"/>
    </row>
    <row r="26" spans="1:7" ht="12" customHeight="1">
      <c r="A26" s="572"/>
      <c r="G26" s="929"/>
    </row>
    <row r="27" spans="1:7" ht="12">
      <c r="A27" s="595"/>
      <c r="B27" s="646"/>
      <c r="C27" s="616" t="s">
        <v>452</v>
      </c>
      <c r="D27" s="659" t="s">
        <v>100</v>
      </c>
      <c r="E27" s="1376" t="s">
        <v>73</v>
      </c>
      <c r="F27" s="1377"/>
      <c r="G27" s="1378"/>
    </row>
    <row r="28" spans="1:7" ht="12">
      <c r="A28" s="595"/>
      <c r="B28" s="646"/>
      <c r="C28" s="631" t="s">
        <v>465</v>
      </c>
      <c r="D28" s="1043" t="s">
        <v>103</v>
      </c>
      <c r="E28" s="1379"/>
      <c r="F28" s="1380"/>
      <c r="G28" s="1381"/>
    </row>
    <row r="29" spans="1:7" ht="12">
      <c r="A29" s="595"/>
      <c r="B29" s="646"/>
      <c r="C29" s="623" t="s">
        <v>104</v>
      </c>
      <c r="D29" s="981" t="s">
        <v>108</v>
      </c>
      <c r="E29" s="647" t="s">
        <v>450</v>
      </c>
      <c r="F29" s="647" t="s">
        <v>451</v>
      </c>
      <c r="G29" s="1098" t="s">
        <v>92</v>
      </c>
    </row>
    <row r="30" spans="1:7" ht="12">
      <c r="A30" s="645"/>
      <c r="B30" s="648"/>
      <c r="C30" s="29"/>
      <c r="D30" s="29"/>
      <c r="E30" s="30"/>
      <c r="F30" s="649"/>
      <c r="G30" s="30"/>
    </row>
    <row r="31" spans="1:7" ht="12">
      <c r="A31" s="14" t="s">
        <v>149</v>
      </c>
      <c r="B31" s="648" t="s">
        <v>425</v>
      </c>
      <c r="C31" s="650"/>
      <c r="D31" s="637"/>
      <c r="E31" s="637"/>
      <c r="F31" s="590"/>
      <c r="G31" s="637"/>
    </row>
    <row r="32" spans="1:7" ht="12.75">
      <c r="A32" s="739">
        <f>A25+1</f>
        <v>1718</v>
      </c>
      <c r="B32" s="625" t="str">
        <f>CONCATENATE("Stand per 31-12-",Voorblad!D3-1)</f>
        <v>Stand per 31-12-2003</v>
      </c>
      <c r="C32" s="490"/>
      <c r="D32"/>
      <c r="E32" s="852">
        <v>1</v>
      </c>
      <c r="F32" s="846"/>
      <c r="G32" s="482">
        <f>C32*E32</f>
        <v>0</v>
      </c>
    </row>
    <row r="33" spans="1:7" ht="12">
      <c r="A33" s="739">
        <f>A32+1</f>
        <v>1719</v>
      </c>
      <c r="B33" s="625" t="s">
        <v>453</v>
      </c>
      <c r="C33" s="490"/>
      <c r="D33" s="493">
        <v>0</v>
      </c>
      <c r="E33" s="852">
        <f>10.5/12</f>
        <v>0.875</v>
      </c>
      <c r="F33" s="852">
        <v>0.9583</v>
      </c>
      <c r="G33" s="482">
        <f aca="true" t="shared" si="3" ref="G33:G44">C33*E33-D33*F33</f>
        <v>0</v>
      </c>
    </row>
    <row r="34" spans="1:7" ht="12">
      <c r="A34" s="739">
        <f aca="true" t="shared" si="4" ref="A34:A45">A33+1</f>
        <v>1720</v>
      </c>
      <c r="B34" s="625" t="s">
        <v>454</v>
      </c>
      <c r="C34" s="490"/>
      <c r="D34" s="493">
        <v>0</v>
      </c>
      <c r="E34" s="852">
        <f>9.5/12</f>
        <v>0.7916666666666666</v>
      </c>
      <c r="F34" s="852">
        <v>0.875</v>
      </c>
      <c r="G34" s="482">
        <f t="shared" si="3"/>
        <v>0</v>
      </c>
    </row>
    <row r="35" spans="1:7" ht="12">
      <c r="A35" s="739">
        <f t="shared" si="4"/>
        <v>1721</v>
      </c>
      <c r="B35" s="625" t="s">
        <v>455</v>
      </c>
      <c r="C35" s="490"/>
      <c r="D35" s="493">
        <v>0</v>
      </c>
      <c r="E35" s="852">
        <f>8.5/12</f>
        <v>0.7083333333333334</v>
      </c>
      <c r="F35" s="852">
        <v>0.7917</v>
      </c>
      <c r="G35" s="482">
        <f t="shared" si="3"/>
        <v>0</v>
      </c>
    </row>
    <row r="36" spans="1:7" ht="12">
      <c r="A36" s="739">
        <f t="shared" si="4"/>
        <v>1722</v>
      </c>
      <c r="B36" s="625" t="s">
        <v>456</v>
      </c>
      <c r="C36" s="490"/>
      <c r="D36" s="493">
        <v>0</v>
      </c>
      <c r="E36" s="852">
        <f>7.5/12</f>
        <v>0.625</v>
      </c>
      <c r="F36" s="852">
        <v>0.7083</v>
      </c>
      <c r="G36" s="482">
        <f t="shared" si="3"/>
        <v>0</v>
      </c>
    </row>
    <row r="37" spans="1:7" ht="12">
      <c r="A37" s="739">
        <f t="shared" si="4"/>
        <v>1723</v>
      </c>
      <c r="B37" s="625" t="s">
        <v>457</v>
      </c>
      <c r="C37" s="490"/>
      <c r="D37" s="493">
        <v>0</v>
      </c>
      <c r="E37" s="852">
        <f>6.5/12</f>
        <v>0.5416666666666666</v>
      </c>
      <c r="F37" s="852">
        <v>0.625</v>
      </c>
      <c r="G37" s="482">
        <f t="shared" si="3"/>
        <v>0</v>
      </c>
    </row>
    <row r="38" spans="1:7" ht="12">
      <c r="A38" s="739">
        <f t="shared" si="4"/>
        <v>1724</v>
      </c>
      <c r="B38" s="625" t="s">
        <v>458</v>
      </c>
      <c r="C38" s="490"/>
      <c r="D38" s="493">
        <v>0</v>
      </c>
      <c r="E38" s="852">
        <f>5.5/12</f>
        <v>0.4583333333333333</v>
      </c>
      <c r="F38" s="852">
        <v>0.5417</v>
      </c>
      <c r="G38" s="482">
        <f t="shared" si="3"/>
        <v>0</v>
      </c>
    </row>
    <row r="39" spans="1:7" ht="12">
      <c r="A39" s="739">
        <f t="shared" si="4"/>
        <v>1725</v>
      </c>
      <c r="B39" s="625" t="s">
        <v>459</v>
      </c>
      <c r="C39" s="490"/>
      <c r="D39" s="493">
        <v>0</v>
      </c>
      <c r="E39" s="852">
        <f>4.5/12</f>
        <v>0.375</v>
      </c>
      <c r="F39" s="852">
        <v>0.4583</v>
      </c>
      <c r="G39" s="482">
        <f t="shared" si="3"/>
        <v>0</v>
      </c>
    </row>
    <row r="40" spans="1:7" ht="12">
      <c r="A40" s="739">
        <f t="shared" si="4"/>
        <v>1726</v>
      </c>
      <c r="B40" s="625" t="s">
        <v>460</v>
      </c>
      <c r="C40" s="490"/>
      <c r="D40" s="493">
        <v>0</v>
      </c>
      <c r="E40" s="852">
        <f>3.5/12</f>
        <v>0.2916666666666667</v>
      </c>
      <c r="F40" s="852">
        <v>0.375</v>
      </c>
      <c r="G40" s="482">
        <f t="shared" si="3"/>
        <v>0</v>
      </c>
    </row>
    <row r="41" spans="1:7" ht="12">
      <c r="A41" s="739">
        <f t="shared" si="4"/>
        <v>1727</v>
      </c>
      <c r="B41" s="625" t="s">
        <v>461</v>
      </c>
      <c r="C41" s="490"/>
      <c r="D41" s="493">
        <v>0</v>
      </c>
      <c r="E41" s="852">
        <f>2.5/12</f>
        <v>0.20833333333333334</v>
      </c>
      <c r="F41" s="852">
        <v>0.2917</v>
      </c>
      <c r="G41" s="482">
        <f t="shared" si="3"/>
        <v>0</v>
      </c>
    </row>
    <row r="42" spans="1:7" ht="12">
      <c r="A42" s="739">
        <f t="shared" si="4"/>
        <v>1728</v>
      </c>
      <c r="B42" s="625" t="s">
        <v>462</v>
      </c>
      <c r="C42" s="490"/>
      <c r="D42" s="493">
        <v>0</v>
      </c>
      <c r="E42" s="852">
        <f>1.5/12</f>
        <v>0.125</v>
      </c>
      <c r="F42" s="852">
        <v>0.2083</v>
      </c>
      <c r="G42" s="482">
        <f t="shared" si="3"/>
        <v>0</v>
      </c>
    </row>
    <row r="43" spans="1:7" ht="12">
      <c r="A43" s="739">
        <f t="shared" si="4"/>
        <v>1729</v>
      </c>
      <c r="B43" s="625" t="s">
        <v>463</v>
      </c>
      <c r="C43" s="490"/>
      <c r="D43" s="493">
        <v>0</v>
      </c>
      <c r="E43" s="852">
        <f>0.5/12</f>
        <v>0.041666666666666664</v>
      </c>
      <c r="F43" s="852">
        <v>0.125</v>
      </c>
      <c r="G43" s="482">
        <f t="shared" si="3"/>
        <v>0</v>
      </c>
    </row>
    <row r="44" spans="1:7" ht="12">
      <c r="A44" s="739">
        <f t="shared" si="4"/>
        <v>1730</v>
      </c>
      <c r="B44" s="625" t="s">
        <v>464</v>
      </c>
      <c r="C44" s="490"/>
      <c r="D44" s="493">
        <v>0</v>
      </c>
      <c r="E44" s="853">
        <f>-0.5/12</f>
        <v>-0.041666666666666664</v>
      </c>
      <c r="F44" s="852">
        <v>0.0417</v>
      </c>
      <c r="G44" s="482">
        <f t="shared" si="3"/>
        <v>0</v>
      </c>
    </row>
    <row r="45" spans="1:7" ht="12.75">
      <c r="A45" s="739">
        <f t="shared" si="4"/>
        <v>1731</v>
      </c>
      <c r="B45" s="753" t="str">
        <f>CONCATENATE("Stand per 31-12-",Voorblad!$D$3," (",A32," t/m ",A44,")")</f>
        <v>Stand per 31-12-2004 (1718 t/m 1730)</v>
      </c>
      <c r="C45" s="748">
        <f>SUM(C32:C44)</f>
        <v>0</v>
      </c>
      <c r="D45" s="834">
        <f>SUM(D33:D44)</f>
        <v>0</v>
      </c>
      <c r="E45"/>
      <c r="F45"/>
      <c r="G45" s="748">
        <f>SUM(G32:G44)</f>
        <v>0</v>
      </c>
    </row>
    <row r="46" spans="1:5" ht="12.75">
      <c r="A46" s="739">
        <f>A45+1</f>
        <v>1732</v>
      </c>
      <c r="B46" s="753" t="str">
        <f>CONCATENATE("Saldo per 31-12-",Voorblad!$D$3,)</f>
        <v>Saldo per 31-12-2004</v>
      </c>
      <c r="C46" s="748">
        <f>C45-D45</f>
        <v>0</v>
      </c>
      <c r="D46"/>
      <c r="E46" s="468"/>
    </row>
    <row r="47" spans="1:5" ht="12">
      <c r="A47" s="480"/>
      <c r="B47" s="455"/>
      <c r="C47" s="468"/>
      <c r="D47" s="468"/>
      <c r="E47" s="468"/>
    </row>
    <row r="48" spans="1:7" ht="12">
      <c r="A48" s="586" t="str">
        <f>Inhoud!$A$2</f>
        <v>Nacalculatieformulier 2004</v>
      </c>
      <c r="B48" s="601"/>
      <c r="C48" s="603"/>
      <c r="D48" s="603"/>
      <c r="E48" s="604" t="b">
        <f>Voorblad!D30</f>
        <v>1</v>
      </c>
      <c r="F48" s="604">
        <f>Voorblad!I30</f>
        <v>0</v>
      </c>
      <c r="G48" s="600">
        <f>G2+1</f>
        <v>18</v>
      </c>
    </row>
    <row r="49" spans="1:7" ht="12.75">
      <c r="A49" s="624"/>
      <c r="B49" s="637"/>
      <c r="C49" s="637"/>
      <c r="D49" s="637"/>
      <c r="E49"/>
      <c r="F49" s="590"/>
      <c r="G49" s="637"/>
    </row>
    <row r="50" spans="1:7" ht="12">
      <c r="A50" s="595"/>
      <c r="B50" s="646"/>
      <c r="C50" s="616" t="s">
        <v>143</v>
      </c>
      <c r="D50" s="616" t="s">
        <v>144</v>
      </c>
      <c r="E50" s="1099" t="s">
        <v>105</v>
      </c>
      <c r="F50" s="1375" t="s">
        <v>70</v>
      </c>
      <c r="G50" s="1374"/>
    </row>
    <row r="51" spans="1:7" ht="12">
      <c r="A51" s="595"/>
      <c r="B51" s="646"/>
      <c r="C51" s="623"/>
      <c r="D51" s="652"/>
      <c r="E51" s="623"/>
      <c r="F51" s="653" t="s">
        <v>97</v>
      </c>
      <c r="G51" s="1098" t="s">
        <v>92</v>
      </c>
    </row>
    <row r="52" spans="1:7" ht="12">
      <c r="A52" s="645"/>
      <c r="B52" s="618"/>
      <c r="C52" s="42"/>
      <c r="D52" s="42"/>
      <c r="E52" s="42"/>
      <c r="F52" s="42"/>
      <c r="G52" s="572"/>
    </row>
    <row r="53" spans="1:7" ht="12">
      <c r="A53" s="14" t="s">
        <v>150</v>
      </c>
      <c r="B53" s="627" t="s">
        <v>426</v>
      </c>
      <c r="C53" s="650"/>
      <c r="D53" s="637"/>
      <c r="E53" s="637"/>
      <c r="F53" s="590"/>
      <c r="G53" s="637"/>
    </row>
    <row r="54" spans="1:7" ht="13.5" customHeight="1">
      <c r="A54" s="739">
        <f>G48*100+1</f>
        <v>1801</v>
      </c>
      <c r="B54" s="625" t="str">
        <f>CONCATENATE("Geactiveerd per 31-12-",Voorblad!D3-1)</f>
        <v>Geactiveerd per 31-12-2003</v>
      </c>
      <c r="C54" s="490"/>
      <c r="D54" s="491">
        <v>0</v>
      </c>
      <c r="E54" s="495">
        <f>C54-D54</f>
        <v>0</v>
      </c>
      <c r="F54" s="654">
        <v>1</v>
      </c>
      <c r="G54" s="482">
        <f>E54*F54</f>
        <v>0</v>
      </c>
    </row>
    <row r="55" spans="1:7" ht="12">
      <c r="A55" s="739">
        <f aca="true" t="shared" si="5" ref="A55:A71">A54+1</f>
        <v>1802</v>
      </c>
      <c r="B55" s="625" t="str">
        <f>CONCATENATE("Geheel afgeschreven in ",Voorblad!D3-1)</f>
        <v>Geheel afgeschreven in 2003</v>
      </c>
      <c r="C55" s="491">
        <v>0</v>
      </c>
      <c r="D55" s="490"/>
      <c r="E55" s="492">
        <f>C55-D55</f>
        <v>0</v>
      </c>
      <c r="F55" s="654"/>
      <c r="G55" s="482"/>
    </row>
    <row r="56" spans="1:7" ht="12.75">
      <c r="A56" s="739">
        <f t="shared" si="5"/>
        <v>1803</v>
      </c>
      <c r="B56" s="625" t="str">
        <f>CONCATENATE("Onderhanden werk per  31-12-",Voorblad!D3-1)</f>
        <v>Onderhanden werk per  31-12-2003</v>
      </c>
      <c r="C56" s="490"/>
      <c r="D56"/>
      <c r="E56" s="495">
        <f>C56</f>
        <v>0</v>
      </c>
      <c r="F56" s="654">
        <v>1</v>
      </c>
      <c r="G56" s="482">
        <f>E56*F56</f>
        <v>0</v>
      </c>
    </row>
    <row r="57" spans="1:7" ht="12" customHeight="1">
      <c r="A57" s="739">
        <f t="shared" si="5"/>
        <v>1804</v>
      </c>
      <c r="B57" s="625" t="s">
        <v>537</v>
      </c>
      <c r="C57" s="490"/>
      <c r="D57"/>
      <c r="E57" s="495">
        <f aca="true" t="shared" si="6" ref="E57:E68">C57</f>
        <v>0</v>
      </c>
      <c r="F57" s="852">
        <f>10.5/12</f>
        <v>0.875</v>
      </c>
      <c r="G57" s="482">
        <f aca="true" t="shared" si="7" ref="G57:G67">E57*F57</f>
        <v>0</v>
      </c>
    </row>
    <row r="58" spans="1:7" ht="12" customHeight="1">
      <c r="A58" s="739">
        <f t="shared" si="5"/>
        <v>1805</v>
      </c>
      <c r="B58" s="625" t="s">
        <v>538</v>
      </c>
      <c r="C58" s="490"/>
      <c r="D58"/>
      <c r="E58" s="495">
        <f t="shared" si="6"/>
        <v>0</v>
      </c>
      <c r="F58" s="852">
        <f>9.5/12</f>
        <v>0.7916666666666666</v>
      </c>
      <c r="G58" s="482">
        <f t="shared" si="7"/>
        <v>0</v>
      </c>
    </row>
    <row r="59" spans="1:7" ht="12" customHeight="1">
      <c r="A59" s="739">
        <f t="shared" si="5"/>
        <v>1806</v>
      </c>
      <c r="B59" s="625" t="s">
        <v>539</v>
      </c>
      <c r="C59" s="490"/>
      <c r="D59"/>
      <c r="E59" s="495">
        <f t="shared" si="6"/>
        <v>0</v>
      </c>
      <c r="F59" s="852">
        <f>8.5/12</f>
        <v>0.7083333333333334</v>
      </c>
      <c r="G59" s="482">
        <f t="shared" si="7"/>
        <v>0</v>
      </c>
    </row>
    <row r="60" spans="1:7" ht="12" customHeight="1">
      <c r="A60" s="739">
        <f t="shared" si="5"/>
        <v>1807</v>
      </c>
      <c r="B60" s="625" t="s">
        <v>545</v>
      </c>
      <c r="C60" s="490"/>
      <c r="D60"/>
      <c r="E60" s="495">
        <f t="shared" si="6"/>
        <v>0</v>
      </c>
      <c r="F60" s="852">
        <f>7.5/12</f>
        <v>0.625</v>
      </c>
      <c r="G60" s="482">
        <f t="shared" si="7"/>
        <v>0</v>
      </c>
    </row>
    <row r="61" spans="1:7" ht="12" customHeight="1">
      <c r="A61" s="739">
        <f t="shared" si="5"/>
        <v>1808</v>
      </c>
      <c r="B61" s="625" t="s">
        <v>546</v>
      </c>
      <c r="C61" s="490"/>
      <c r="D61"/>
      <c r="E61" s="495">
        <f t="shared" si="6"/>
        <v>0</v>
      </c>
      <c r="F61" s="852">
        <f>6.5/12</f>
        <v>0.5416666666666666</v>
      </c>
      <c r="G61" s="482">
        <f t="shared" si="7"/>
        <v>0</v>
      </c>
    </row>
    <row r="62" spans="1:7" ht="12" customHeight="1">
      <c r="A62" s="739">
        <f t="shared" si="5"/>
        <v>1809</v>
      </c>
      <c r="B62" s="625" t="s">
        <v>547</v>
      </c>
      <c r="C62" s="490"/>
      <c r="D62"/>
      <c r="E62" s="495">
        <f t="shared" si="6"/>
        <v>0</v>
      </c>
      <c r="F62" s="852">
        <f>5.5/12</f>
        <v>0.4583333333333333</v>
      </c>
      <c r="G62" s="482">
        <f t="shared" si="7"/>
        <v>0</v>
      </c>
    </row>
    <row r="63" spans="1:7" ht="12" customHeight="1">
      <c r="A63" s="739">
        <f t="shared" si="5"/>
        <v>1810</v>
      </c>
      <c r="B63" s="625" t="s">
        <v>548</v>
      </c>
      <c r="C63" s="490"/>
      <c r="D63"/>
      <c r="E63" s="495">
        <f t="shared" si="6"/>
        <v>0</v>
      </c>
      <c r="F63" s="852">
        <f>4.5/12</f>
        <v>0.375</v>
      </c>
      <c r="G63" s="482">
        <f t="shared" si="7"/>
        <v>0</v>
      </c>
    </row>
    <row r="64" spans="1:7" ht="12" customHeight="1">
      <c r="A64" s="739">
        <f t="shared" si="5"/>
        <v>1811</v>
      </c>
      <c r="B64" s="625" t="s">
        <v>549</v>
      </c>
      <c r="C64" s="490"/>
      <c r="D64"/>
      <c r="E64" s="495">
        <f t="shared" si="6"/>
        <v>0</v>
      </c>
      <c r="F64" s="852">
        <f>3.5/12</f>
        <v>0.2916666666666667</v>
      </c>
      <c r="G64" s="482">
        <f t="shared" si="7"/>
        <v>0</v>
      </c>
    </row>
    <row r="65" spans="1:7" ht="12" customHeight="1">
      <c r="A65" s="739">
        <f t="shared" si="5"/>
        <v>1812</v>
      </c>
      <c r="B65" s="625" t="s">
        <v>550</v>
      </c>
      <c r="C65" s="490"/>
      <c r="D65"/>
      <c r="E65" s="495">
        <f t="shared" si="6"/>
        <v>0</v>
      </c>
      <c r="F65" s="852">
        <f>2.5/12</f>
        <v>0.20833333333333334</v>
      </c>
      <c r="G65" s="482">
        <f t="shared" si="7"/>
        <v>0</v>
      </c>
    </row>
    <row r="66" spans="1:7" ht="12" customHeight="1">
      <c r="A66" s="739">
        <f t="shared" si="5"/>
        <v>1813</v>
      </c>
      <c r="B66" s="625" t="s">
        <v>551</v>
      </c>
      <c r="C66" s="490"/>
      <c r="D66"/>
      <c r="E66" s="495">
        <f t="shared" si="6"/>
        <v>0</v>
      </c>
      <c r="F66" s="852">
        <f>1.5/12</f>
        <v>0.125</v>
      </c>
      <c r="G66" s="482">
        <f t="shared" si="7"/>
        <v>0</v>
      </c>
    </row>
    <row r="67" spans="1:9" ht="12" customHeight="1">
      <c r="A67" s="739">
        <f t="shared" si="5"/>
        <v>1814</v>
      </c>
      <c r="B67" s="625" t="s">
        <v>552</v>
      </c>
      <c r="C67" s="490"/>
      <c r="D67"/>
      <c r="E67" s="495">
        <f t="shared" si="6"/>
        <v>0</v>
      </c>
      <c r="F67" s="852">
        <f>0.5/12</f>
        <v>0.041666666666666664</v>
      </c>
      <c r="G67" s="482">
        <f t="shared" si="7"/>
        <v>0</v>
      </c>
      <c r="I67" s="455"/>
    </row>
    <row r="68" spans="1:9" ht="12" customHeight="1">
      <c r="A68" s="739">
        <f t="shared" si="5"/>
        <v>1815</v>
      </c>
      <c r="B68" s="625" t="s">
        <v>553</v>
      </c>
      <c r="C68" s="490"/>
      <c r="D68"/>
      <c r="E68" s="495">
        <f t="shared" si="6"/>
        <v>0</v>
      </c>
      <c r="F68" s="853">
        <f>-0.5/12</f>
        <v>-0.041666666666666664</v>
      </c>
      <c r="G68" s="482">
        <f>E68*F68</f>
        <v>0</v>
      </c>
      <c r="I68" s="565"/>
    </row>
    <row r="69" spans="1:9" ht="12" customHeight="1">
      <c r="A69" s="739">
        <f t="shared" si="5"/>
        <v>1816</v>
      </c>
      <c r="B69" s="625" t="str">
        <f>CONCATENATE("Afschrijving ",Voorblad!D3)</f>
        <v>Afschrijving 2004</v>
      </c>
      <c r="C69"/>
      <c r="D69" s="491">
        <v>0</v>
      </c>
      <c r="E69" s="496">
        <f>D69</f>
        <v>0</v>
      </c>
      <c r="F69" s="654">
        <v>0.5</v>
      </c>
      <c r="G69" s="496">
        <f>E69*F69</f>
        <v>0</v>
      </c>
      <c r="I69" s="565"/>
    </row>
    <row r="70" spans="1:7" ht="12" customHeight="1">
      <c r="A70" s="739">
        <f t="shared" si="5"/>
        <v>1817</v>
      </c>
      <c r="B70" s="625" t="str">
        <f>CONCATENATE("Onderhanden werk per  31-12-",Voorblad!D3)</f>
        <v>Onderhanden werk per  31-12-2004</v>
      </c>
      <c r="C70" s="491">
        <v>0</v>
      </c>
      <c r="D70"/>
      <c r="E70" s="496">
        <f>C70</f>
        <v>0</v>
      </c>
      <c r="F70"/>
      <c r="G70"/>
    </row>
    <row r="71" spans="1:9" ht="12" customHeight="1">
      <c r="A71" s="739">
        <f t="shared" si="5"/>
        <v>1818</v>
      </c>
      <c r="B71" s="753" t="str">
        <f>CONCATENATE("Geactiveerd per 31-12-",Voorblad!D3," (",A54," t/m ",A71,")")</f>
        <v>Geactiveerd per 31-12-2004 (1801 t/m 1818)</v>
      </c>
      <c r="C71" s="748">
        <f>C54-C55+SUM(C56:C68)-C70</f>
        <v>0</v>
      </c>
      <c r="D71" s="751">
        <f>D54-D55+D69</f>
        <v>0</v>
      </c>
      <c r="E71" s="748">
        <f>E54+SUM(E56:E68)-E69-E70</f>
        <v>0</v>
      </c>
      <c r="F71"/>
      <c r="G71" s="748">
        <f>SUM(G54:G68)-G69</f>
        <v>0</v>
      </c>
      <c r="I71" s="459"/>
    </row>
    <row r="72" spans="1:5" ht="12" customHeight="1">
      <c r="A72" s="992"/>
      <c r="B72" s="1071"/>
      <c r="C72" s="1072"/>
      <c r="D72" s="1073"/>
      <c r="E72" s="1072"/>
    </row>
    <row r="73" spans="1:6" ht="12" customHeight="1">
      <c r="A73" s="992"/>
      <c r="B73" s="1074"/>
      <c r="C73" s="1075"/>
      <c r="D73" s="1073"/>
      <c r="E73" s="1075"/>
      <c r="F73" s="457"/>
    </row>
    <row r="74" ht="12">
      <c r="A74" s="835"/>
    </row>
    <row r="75" spans="1:6" ht="12">
      <c r="A75" s="457"/>
      <c r="C75" s="457"/>
      <c r="D75" s="457"/>
      <c r="E75" s="457"/>
      <c r="F75" s="457"/>
    </row>
    <row r="76" spans="1:12" ht="12">
      <c r="A76" s="658"/>
      <c r="B76" s="572"/>
      <c r="C76" s="616" t="s">
        <v>373</v>
      </c>
      <c r="D76" s="659" t="s">
        <v>510</v>
      </c>
      <c r="E76" s="616" t="s">
        <v>508</v>
      </c>
      <c r="F76" s="659" t="s">
        <v>71</v>
      </c>
      <c r="G76" s="659" t="s">
        <v>373</v>
      </c>
      <c r="I76" s="567"/>
      <c r="J76" s="567"/>
      <c r="K76" s="486"/>
      <c r="L76" s="455"/>
    </row>
    <row r="77" spans="1:12" ht="12" customHeight="1">
      <c r="A77" s="658"/>
      <c r="B77" s="572"/>
      <c r="C77" s="617" t="s">
        <v>374</v>
      </c>
      <c r="D77" s="617"/>
      <c r="E77" s="617" t="s">
        <v>509</v>
      </c>
      <c r="F77" s="660"/>
      <c r="G77" s="660" t="s">
        <v>375</v>
      </c>
      <c r="I77" s="567"/>
      <c r="J77" s="567"/>
      <c r="K77" s="486"/>
      <c r="L77" s="455"/>
    </row>
    <row r="78" spans="1:12" ht="12" customHeight="1">
      <c r="A78" s="14"/>
      <c r="B78" s="661"/>
      <c r="C78" s="29"/>
      <c r="D78" s="29"/>
      <c r="E78" s="29"/>
      <c r="F78" s="572"/>
      <c r="G78" s="161"/>
      <c r="I78" s="567"/>
      <c r="J78" s="567"/>
      <c r="K78" s="486"/>
      <c r="L78" s="455"/>
    </row>
    <row r="79" spans="1:12" ht="12" customHeight="1">
      <c r="A79" s="41" t="s">
        <v>515</v>
      </c>
      <c r="B79" s="47" t="s">
        <v>154</v>
      </c>
      <c r="C79" s="163"/>
      <c r="D79" s="163"/>
      <c r="E79" s="163"/>
      <c r="F79" s="42"/>
      <c r="G79" s="42"/>
      <c r="I79" s="567"/>
      <c r="J79" s="567"/>
      <c r="K79" s="486"/>
      <c r="L79" s="455"/>
    </row>
    <row r="80" spans="1:12" ht="12" customHeight="1">
      <c r="A80" s="739">
        <f>A71+1</f>
        <v>1819</v>
      </c>
      <c r="B80" s="189">
        <f>Voorblad!D$3</f>
        <v>2004</v>
      </c>
      <c r="C80" s="433"/>
      <c r="D80" s="1190">
        <v>2014</v>
      </c>
      <c r="E80" s="433"/>
      <c r="F80" s="1106">
        <v>9.5</v>
      </c>
      <c r="G80" s="482">
        <f>(C80+E80)*F80</f>
        <v>0</v>
      </c>
      <c r="I80" s="567"/>
      <c r="J80" s="567"/>
      <c r="K80" s="486"/>
      <c r="L80" s="455"/>
    </row>
    <row r="81" spans="1:12" ht="12" customHeight="1">
      <c r="A81" s="739">
        <f>A80+1</f>
        <v>1820</v>
      </c>
      <c r="B81" s="189">
        <f>Voorblad!D$3-1</f>
        <v>2003</v>
      </c>
      <c r="C81" s="433"/>
      <c r="D81" s="1190">
        <v>2013</v>
      </c>
      <c r="E81" s="433"/>
      <c r="F81" s="1106">
        <v>8.5</v>
      </c>
      <c r="G81" s="482">
        <f aca="true" t="shared" si="8" ref="G81:G89">(C81+E81)*F81</f>
        <v>0</v>
      </c>
      <c r="I81" s="567"/>
      <c r="J81" s="567"/>
      <c r="K81" s="486"/>
      <c r="L81" s="455"/>
    </row>
    <row r="82" spans="1:12" ht="12" customHeight="1">
      <c r="A82" s="739">
        <f>A81+1</f>
        <v>1821</v>
      </c>
      <c r="B82" s="189">
        <f>Voorblad!D$3-2</f>
        <v>2002</v>
      </c>
      <c r="C82" s="433"/>
      <c r="D82" s="1190">
        <v>2012</v>
      </c>
      <c r="E82" s="433"/>
      <c r="F82" s="1106">
        <v>7.5</v>
      </c>
      <c r="G82" s="482">
        <f t="shared" si="8"/>
        <v>0</v>
      </c>
      <c r="I82" s="567"/>
      <c r="J82" s="567"/>
      <c r="K82" s="486"/>
      <c r="L82" s="455"/>
    </row>
    <row r="83" spans="1:12" ht="12" customHeight="1">
      <c r="A83" s="739">
        <f>A82+1</f>
        <v>1822</v>
      </c>
      <c r="B83" s="189">
        <f>Voorblad!D$3-3</f>
        <v>2001</v>
      </c>
      <c r="C83" s="433"/>
      <c r="D83" s="1190">
        <v>2011</v>
      </c>
      <c r="E83" s="433"/>
      <c r="F83" s="1106">
        <v>6.5</v>
      </c>
      <c r="G83" s="482">
        <f t="shared" si="8"/>
        <v>0</v>
      </c>
      <c r="I83" s="567"/>
      <c r="J83" s="567"/>
      <c r="K83" s="486"/>
      <c r="L83" s="455"/>
    </row>
    <row r="84" spans="1:12" ht="12" customHeight="1">
      <c r="A84" s="739">
        <f aca="true" t="shared" si="9" ref="A84:A90">A83+1</f>
        <v>1823</v>
      </c>
      <c r="B84" s="189">
        <f>Voorblad!D$3-4</f>
        <v>2000</v>
      </c>
      <c r="C84" s="433"/>
      <c r="D84" s="1190">
        <v>2010</v>
      </c>
      <c r="E84" s="433"/>
      <c r="F84" s="1106">
        <v>5.5</v>
      </c>
      <c r="G84" s="482">
        <f t="shared" si="8"/>
        <v>0</v>
      </c>
      <c r="J84" s="457"/>
      <c r="K84" s="455"/>
      <c r="L84" s="455"/>
    </row>
    <row r="85" spans="1:12" ht="12" customHeight="1">
      <c r="A85" s="739">
        <f t="shared" si="9"/>
        <v>1824</v>
      </c>
      <c r="B85" s="189">
        <f>Voorblad!D$3-5</f>
        <v>1999</v>
      </c>
      <c r="C85" s="433"/>
      <c r="D85" s="1190">
        <v>2009</v>
      </c>
      <c r="E85" s="433"/>
      <c r="F85" s="1106">
        <v>4.5</v>
      </c>
      <c r="G85" s="482">
        <f t="shared" si="8"/>
        <v>0</v>
      </c>
      <c r="J85" s="459"/>
      <c r="K85" s="468"/>
      <c r="L85" s="455"/>
    </row>
    <row r="86" spans="1:12" ht="12" customHeight="1">
      <c r="A86" s="739">
        <f t="shared" si="9"/>
        <v>1825</v>
      </c>
      <c r="B86" s="189">
        <f>Voorblad!D$3-6</f>
        <v>1998</v>
      </c>
      <c r="C86" s="433"/>
      <c r="D86" s="1190">
        <v>2008</v>
      </c>
      <c r="E86" s="433"/>
      <c r="F86" s="1106">
        <v>3.5</v>
      </c>
      <c r="G86" s="482">
        <f t="shared" si="8"/>
        <v>0</v>
      </c>
      <c r="J86" s="459"/>
      <c r="K86" s="468"/>
      <c r="L86" s="455"/>
    </row>
    <row r="87" spans="1:12" ht="12" customHeight="1">
      <c r="A87" s="739">
        <f t="shared" si="9"/>
        <v>1826</v>
      </c>
      <c r="B87" s="189">
        <f>Voorblad!D$3-7</f>
        <v>1997</v>
      </c>
      <c r="C87" s="433"/>
      <c r="D87" s="1190">
        <v>2007</v>
      </c>
      <c r="E87" s="433"/>
      <c r="F87" s="1106">
        <v>2.5</v>
      </c>
      <c r="G87" s="482">
        <f t="shared" si="8"/>
        <v>0</v>
      </c>
      <c r="J87" s="457"/>
      <c r="K87" s="455"/>
      <c r="L87" s="455"/>
    </row>
    <row r="88" spans="1:12" ht="12" customHeight="1">
      <c r="A88" s="739">
        <f t="shared" si="9"/>
        <v>1827</v>
      </c>
      <c r="B88" s="189">
        <f>Voorblad!D$3-8</f>
        <v>1996</v>
      </c>
      <c r="C88" s="433"/>
      <c r="D88" s="1190">
        <v>2006</v>
      </c>
      <c r="E88" s="433"/>
      <c r="F88" s="1106">
        <v>1.5</v>
      </c>
      <c r="G88" s="482">
        <f t="shared" si="8"/>
        <v>0</v>
      </c>
      <c r="J88" s="457"/>
      <c r="K88" s="455"/>
      <c r="L88" s="455"/>
    </row>
    <row r="89" spans="1:12" ht="12" customHeight="1">
      <c r="A89" s="739">
        <f t="shared" si="9"/>
        <v>1828</v>
      </c>
      <c r="B89" s="253">
        <f>Voorblad!D$3-9</f>
        <v>1995</v>
      </c>
      <c r="C89" s="740"/>
      <c r="D89" s="1191">
        <v>2005</v>
      </c>
      <c r="E89" s="740"/>
      <c r="F89" s="1107">
        <v>0.5</v>
      </c>
      <c r="G89" s="482">
        <f t="shared" si="8"/>
        <v>0</v>
      </c>
      <c r="J89" s="457"/>
      <c r="K89" s="455"/>
      <c r="L89" s="455"/>
    </row>
    <row r="90" spans="1:9" ht="12" customHeight="1">
      <c r="A90" s="739">
        <f t="shared" si="9"/>
        <v>1829</v>
      </c>
      <c r="B90" s="1382" t="str">
        <f>CONCATENATE("toegerekende boekwaarde automatiseringsapparatuur (27% * regel ",A80," * 10)")</f>
        <v>toegerekende boekwaarde automatiseringsapparatuur (27% * regel 1819 * 10)</v>
      </c>
      <c r="C90" s="1383"/>
      <c r="D90" s="1383"/>
      <c r="E90" s="1383"/>
      <c r="F90" s="1384"/>
      <c r="G90" s="1010">
        <f>0.27*10*C80</f>
        <v>0</v>
      </c>
      <c r="I90" s="455"/>
    </row>
    <row r="91" spans="1:9" ht="12" customHeight="1">
      <c r="A91" s="739">
        <f>A90+1</f>
        <v>1830</v>
      </c>
      <c r="B91" s="1085" t="str">
        <f>CONCATENATE("Totaal (regel ",A80," t/m ",A90,")")</f>
        <v>Totaal (regel 1819 t/m 1829)</v>
      </c>
      <c r="C91" s="1086">
        <f>SUM(C80:C89)</f>
        <v>0</v>
      </c>
      <c r="D91" s="1087"/>
      <c r="E91" s="1086">
        <f>SUM(E80:E90)</f>
        <v>0</v>
      </c>
      <c r="F91" s="1088"/>
      <c r="G91" s="1110">
        <f>SUM(G80:G90)</f>
        <v>0</v>
      </c>
      <c r="I91" s="455"/>
    </row>
    <row r="92" spans="1:9" ht="12" customHeight="1">
      <c r="A92" s="166" t="str">
        <f>CONCATENATE("* zie onderbouwing regel 40 laatste rekenstaat ",Voorblad!D3,)</f>
        <v>* zie onderbouwing regel 40 laatste rekenstaat 2004</v>
      </c>
      <c r="C92" s="457"/>
      <c r="D92" s="457"/>
      <c r="E92" s="457"/>
      <c r="F92" s="457"/>
      <c r="I92" s="455"/>
    </row>
    <row r="93" spans="1:7" ht="12" customHeight="1">
      <c r="A93" s="624"/>
      <c r="B93" s="572"/>
      <c r="C93" s="42"/>
      <c r="D93" s="42"/>
      <c r="E93" s="42"/>
      <c r="F93" s="42"/>
      <c r="G93" s="572"/>
    </row>
    <row r="94" spans="1:10" ht="12" customHeight="1">
      <c r="A94" s="586" t="str">
        <f>Inhoud!$A$2</f>
        <v>Nacalculatieformulier 2004</v>
      </c>
      <c r="B94" s="601"/>
      <c r="C94" s="603"/>
      <c r="D94" s="603"/>
      <c r="E94" s="604">
        <f>Voorblad!D122</f>
        <v>0</v>
      </c>
      <c r="F94" s="604"/>
      <c r="G94" s="600">
        <f>G48+1</f>
        <v>19</v>
      </c>
      <c r="H94" s="503"/>
      <c r="I94" s="503"/>
      <c r="J94" s="504"/>
    </row>
    <row r="95" spans="1:10" ht="12" customHeight="1">
      <c r="A95" s="598"/>
      <c r="B95" s="91"/>
      <c r="C95" s="595"/>
      <c r="D95" s="595"/>
      <c r="E95" s="596"/>
      <c r="F95" s="596"/>
      <c r="G95" s="597"/>
      <c r="H95" s="503"/>
      <c r="I95" s="503"/>
      <c r="J95" s="504"/>
    </row>
    <row r="96" spans="1:10" ht="12" customHeight="1">
      <c r="A96" s="598"/>
      <c r="B96" s="91"/>
      <c r="C96" s="595"/>
      <c r="D96" s="595"/>
      <c r="E96" s="596"/>
      <c r="F96" s="596"/>
      <c r="G96" s="597"/>
      <c r="H96" s="503"/>
      <c r="I96" s="503"/>
      <c r="J96" s="504"/>
    </row>
    <row r="97" spans="1:12" ht="12" customHeight="1">
      <c r="A97" s="658"/>
      <c r="B97" s="572"/>
      <c r="C97" s="616" t="s">
        <v>373</v>
      </c>
      <c r="D97" s="659" t="s">
        <v>511</v>
      </c>
      <c r="E97" s="659" t="s">
        <v>508</v>
      </c>
      <c r="F97" s="659" t="s">
        <v>71</v>
      </c>
      <c r="G97" s="659" t="s">
        <v>373</v>
      </c>
      <c r="I97" s="567"/>
      <c r="J97" s="567"/>
      <c r="K97" s="486"/>
      <c r="L97" s="504"/>
    </row>
    <row r="98" spans="1:12" ht="12" customHeight="1">
      <c r="A98" s="658"/>
      <c r="B98" s="572"/>
      <c r="C98" s="617" t="s">
        <v>374</v>
      </c>
      <c r="D98" s="660"/>
      <c r="E98" s="660" t="s">
        <v>509</v>
      </c>
      <c r="F98" s="660"/>
      <c r="G98" s="660" t="s">
        <v>375</v>
      </c>
      <c r="I98" s="567"/>
      <c r="J98" s="567"/>
      <c r="K98" s="486"/>
      <c r="L98" s="504"/>
    </row>
    <row r="99" spans="1:12" ht="12" customHeight="1">
      <c r="A99" s="14"/>
      <c r="B99" s="661"/>
      <c r="C99" s="29"/>
      <c r="D99" s="572"/>
      <c r="E99" s="572"/>
      <c r="F99" s="572"/>
      <c r="G99" s="161"/>
      <c r="I99" s="567"/>
      <c r="J99" s="567"/>
      <c r="K99" s="486"/>
      <c r="L99" s="504"/>
    </row>
    <row r="100" spans="1:12" ht="12" customHeight="1">
      <c r="A100" s="41" t="s">
        <v>153</v>
      </c>
      <c r="B100" s="47" t="s">
        <v>516</v>
      </c>
      <c r="C100" s="163"/>
      <c r="D100" s="42"/>
      <c r="E100" s="42"/>
      <c r="F100" s="42"/>
      <c r="G100" s="42"/>
      <c r="I100" s="567"/>
      <c r="J100" s="567"/>
      <c r="K100" s="486"/>
      <c r="L100" s="504"/>
    </row>
    <row r="101" spans="1:12" ht="12" customHeight="1">
      <c r="A101" s="1011">
        <f>G94*100+1</f>
        <v>1901</v>
      </c>
      <c r="B101" s="189">
        <f>Voorblad!D$3</f>
        <v>2004</v>
      </c>
      <c r="C101" s="433"/>
      <c r="D101" s="1089">
        <v>2014</v>
      </c>
      <c r="E101" s="433"/>
      <c r="F101" s="500">
        <v>9.5</v>
      </c>
      <c r="G101" s="482">
        <f>(C101+E101)*F101</f>
        <v>0</v>
      </c>
      <c r="I101" s="567"/>
      <c r="J101" s="567"/>
      <c r="K101" s="486"/>
      <c r="L101" s="504"/>
    </row>
    <row r="102" spans="1:12" ht="12" customHeight="1">
      <c r="A102" s="739">
        <f>A101+1</f>
        <v>1902</v>
      </c>
      <c r="B102" s="189">
        <f>Voorblad!D$3-1</f>
        <v>2003</v>
      </c>
      <c r="C102" s="433"/>
      <c r="D102" s="1089">
        <v>2013</v>
      </c>
      <c r="E102" s="433"/>
      <c r="F102" s="500">
        <v>8.5</v>
      </c>
      <c r="G102" s="482">
        <f aca="true" t="shared" si="10" ref="G102:G110">(C102+E102)*F102</f>
        <v>0</v>
      </c>
      <c r="I102" s="567"/>
      <c r="J102" s="567"/>
      <c r="K102" s="486"/>
      <c r="L102" s="504"/>
    </row>
    <row r="103" spans="1:12" ht="12" customHeight="1">
      <c r="A103" s="739">
        <f>A102+1</f>
        <v>1903</v>
      </c>
      <c r="B103" s="189">
        <f>Voorblad!D$3-2</f>
        <v>2002</v>
      </c>
      <c r="C103" s="433"/>
      <c r="D103" s="1089">
        <v>2012</v>
      </c>
      <c r="E103" s="433"/>
      <c r="F103" s="500">
        <v>7.5</v>
      </c>
      <c r="G103" s="482">
        <f t="shared" si="10"/>
        <v>0</v>
      </c>
      <c r="I103" s="567"/>
      <c r="J103" s="567"/>
      <c r="K103" s="486"/>
      <c r="L103" s="504"/>
    </row>
    <row r="104" spans="1:12" ht="12" customHeight="1">
      <c r="A104" s="739">
        <f>A103+1</f>
        <v>1904</v>
      </c>
      <c r="B104" s="189">
        <f>Voorblad!D$3-3</f>
        <v>2001</v>
      </c>
      <c r="C104" s="433"/>
      <c r="D104" s="1089">
        <v>2011</v>
      </c>
      <c r="E104" s="433"/>
      <c r="F104" s="500">
        <v>6.5</v>
      </c>
      <c r="G104" s="482">
        <f t="shared" si="10"/>
        <v>0</v>
      </c>
      <c r="I104" s="567"/>
      <c r="J104" s="567"/>
      <c r="K104" s="486"/>
      <c r="L104" s="504"/>
    </row>
    <row r="105" spans="1:12" ht="12" customHeight="1">
      <c r="A105" s="739">
        <f aca="true" t="shared" si="11" ref="A105:A110">A104+1</f>
        <v>1905</v>
      </c>
      <c r="B105" s="189">
        <f>Voorblad!D$3-4</f>
        <v>2000</v>
      </c>
      <c r="C105" s="433"/>
      <c r="D105" s="1089">
        <v>2010</v>
      </c>
      <c r="E105" s="433"/>
      <c r="F105" s="500">
        <v>5.5</v>
      </c>
      <c r="G105" s="482">
        <f t="shared" si="10"/>
        <v>0</v>
      </c>
      <c r="J105" s="457"/>
      <c r="K105" s="455"/>
      <c r="L105" s="504"/>
    </row>
    <row r="106" spans="1:12" ht="12" customHeight="1">
      <c r="A106" s="739">
        <f t="shared" si="11"/>
        <v>1906</v>
      </c>
      <c r="B106" s="189">
        <f>Voorblad!D$3-5</f>
        <v>1999</v>
      </c>
      <c r="C106" s="433"/>
      <c r="D106" s="1089">
        <v>2009</v>
      </c>
      <c r="E106" s="433"/>
      <c r="F106" s="500">
        <v>4.5</v>
      </c>
      <c r="G106" s="482">
        <f t="shared" si="10"/>
        <v>0</v>
      </c>
      <c r="J106" s="459"/>
      <c r="K106" s="468"/>
      <c r="L106" s="504"/>
    </row>
    <row r="107" spans="1:12" ht="12" customHeight="1">
      <c r="A107" s="739">
        <f t="shared" si="11"/>
        <v>1907</v>
      </c>
      <c r="B107" s="189">
        <f>Voorblad!D$3-6</f>
        <v>1998</v>
      </c>
      <c r="C107" s="433"/>
      <c r="D107" s="1089">
        <v>2008</v>
      </c>
      <c r="E107" s="433"/>
      <c r="F107" s="500">
        <v>3.5</v>
      </c>
      <c r="G107" s="482">
        <f t="shared" si="10"/>
        <v>0</v>
      </c>
      <c r="J107" s="459"/>
      <c r="K107" s="468"/>
      <c r="L107" s="504"/>
    </row>
    <row r="108" spans="1:12" ht="12" customHeight="1">
      <c r="A108" s="739">
        <f t="shared" si="11"/>
        <v>1908</v>
      </c>
      <c r="B108" s="189">
        <f>Voorblad!D$3-7</f>
        <v>1997</v>
      </c>
      <c r="C108" s="433"/>
      <c r="D108" s="1089">
        <v>2007</v>
      </c>
      <c r="E108" s="433"/>
      <c r="F108" s="500">
        <v>2.5</v>
      </c>
      <c r="G108" s="482">
        <f t="shared" si="10"/>
        <v>0</v>
      </c>
      <c r="J108" s="457"/>
      <c r="K108" s="455"/>
      <c r="L108" s="504"/>
    </row>
    <row r="109" spans="1:12" ht="12" customHeight="1">
      <c r="A109" s="739">
        <f t="shared" si="11"/>
        <v>1909</v>
      </c>
      <c r="B109" s="189">
        <f>Voorblad!D$3-8</f>
        <v>1996</v>
      </c>
      <c r="C109" s="433"/>
      <c r="D109" s="1089">
        <v>2006</v>
      </c>
      <c r="E109" s="433"/>
      <c r="F109" s="500">
        <v>1.5</v>
      </c>
      <c r="G109" s="482">
        <f t="shared" si="10"/>
        <v>0</v>
      </c>
      <c r="J109" s="457"/>
      <c r="K109" s="455"/>
      <c r="L109" s="504"/>
    </row>
    <row r="110" spans="1:12" ht="12" customHeight="1">
      <c r="A110" s="739">
        <f t="shared" si="11"/>
        <v>1910</v>
      </c>
      <c r="B110" s="253">
        <f>Voorblad!D$3-9</f>
        <v>1995</v>
      </c>
      <c r="C110" s="740"/>
      <c r="D110" s="1090">
        <v>2005</v>
      </c>
      <c r="E110" s="433"/>
      <c r="F110" s="781">
        <v>0.5</v>
      </c>
      <c r="G110" s="482">
        <f t="shared" si="10"/>
        <v>0</v>
      </c>
      <c r="J110" s="457"/>
      <c r="K110" s="455"/>
      <c r="L110" s="504"/>
    </row>
    <row r="111" spans="1:12" ht="12" customHeight="1">
      <c r="A111" s="739">
        <f>A110+1</f>
        <v>1911</v>
      </c>
      <c r="B111" s="753" t="str">
        <f>CONCATENATE("Totaal (regel ",A101," t/m ",A110,")")</f>
        <v>Totaal (regel 1901 t/m 1910)</v>
      </c>
      <c r="C111" s="1096">
        <f>SUM(C101:C110)</f>
        <v>0</v>
      </c>
      <c r="D111" s="1097"/>
      <c r="E111" s="1092"/>
      <c r="F111" s="1097"/>
      <c r="G111" s="1096">
        <f>SUM(G101:G110)</f>
        <v>0</v>
      </c>
      <c r="J111" s="457"/>
      <c r="K111" s="455"/>
      <c r="L111" s="504"/>
    </row>
    <row r="112" spans="1:10" ht="12" customHeight="1">
      <c r="A112" s="166" t="str">
        <f>CONCATENATE("* zie onderbouwing regel 41 laatste rekenstaat ",Voorblad!D3,)</f>
        <v>* zie onderbouwing regel 41 laatste rekenstaat 2004</v>
      </c>
      <c r="C112" s="457"/>
      <c r="D112" s="457"/>
      <c r="E112" s="1091"/>
      <c r="F112" s="457"/>
      <c r="I112" s="455"/>
      <c r="J112" s="504"/>
    </row>
    <row r="113" spans="1:10" ht="12" customHeight="1">
      <c r="A113" s="598"/>
      <c r="B113" s="91"/>
      <c r="C113" s="595"/>
      <c r="D113" s="595"/>
      <c r="E113" s="1091"/>
      <c r="F113" s="596"/>
      <c r="G113" s="597"/>
      <c r="H113" s="503"/>
      <c r="I113" s="503"/>
      <c r="J113" s="504"/>
    </row>
    <row r="114" spans="1:10" ht="12" customHeight="1">
      <c r="A114" s="595" t="s">
        <v>517</v>
      </c>
      <c r="B114" s="1012" t="s">
        <v>293</v>
      </c>
      <c r="C114" s="595"/>
      <c r="D114" s="595"/>
      <c r="E114" s="1091"/>
      <c r="F114" s="596"/>
      <c r="G114" s="597"/>
      <c r="H114" s="503"/>
      <c r="I114" s="503"/>
      <c r="J114" s="504"/>
    </row>
    <row r="115" spans="1:7" ht="12" customHeight="1">
      <c r="A115" s="780">
        <f>A111+1</f>
        <v>1912</v>
      </c>
      <c r="B115" s="1093" t="str">
        <f>CONCATENATE("Aanvaardbare kosten op kasbasis conform nacalculatieformulier voor budgetaanpassing rente (regel ",Mutaties!A25,")")</f>
        <v>Aanvaardbare kosten op kasbasis conform nacalculatieformulier voor budgetaanpassing rente (regel 1517)</v>
      </c>
      <c r="C115" s="1094"/>
      <c r="D115" s="1094"/>
      <c r="E115" s="351"/>
      <c r="F115" s="1095"/>
      <c r="G115" s="1108">
        <f>Mutaties!E25</f>
        <v>0</v>
      </c>
    </row>
    <row r="116" spans="1:7" ht="12" customHeight="1">
      <c r="A116" s="780">
        <f>A115+1</f>
        <v>1913</v>
      </c>
      <c r="B116" s="191" t="s">
        <v>335</v>
      </c>
      <c r="C116" s="655"/>
      <c r="D116" s="655"/>
      <c r="E116" s="656"/>
      <c r="F116" s="657"/>
      <c r="G116" s="1052"/>
    </row>
    <row r="117" spans="1:7" ht="12" customHeight="1">
      <c r="A117" s="780">
        <f>A116+1</f>
        <v>1914</v>
      </c>
      <c r="B117" s="1007" t="str">
        <f>CONCATENATE("Normatief werkkapitaal regel ",A115,"+ (6,8% x regel ",A116,")")</f>
        <v>Normatief werkkapitaal regel 1912+ (6,8% x regel 1913)</v>
      </c>
      <c r="C117" s="1013"/>
      <c r="D117" s="1013"/>
      <c r="E117" s="747"/>
      <c r="F117" s="1014"/>
      <c r="G117" s="1053">
        <f>G116+(0.068*G115)</f>
        <v>0</v>
      </c>
    </row>
    <row r="118" spans="1:6" ht="12" customHeight="1">
      <c r="A118" s="457"/>
      <c r="C118" s="457"/>
      <c r="D118" s="457"/>
      <c r="E118" s="457"/>
      <c r="F118" s="457"/>
    </row>
    <row r="119" ht="12" customHeight="1">
      <c r="A119" s="835"/>
    </row>
    <row r="120" spans="1:7" ht="12" customHeight="1">
      <c r="A120" s="624"/>
      <c r="B120" s="572"/>
      <c r="C120" s="42"/>
      <c r="D120" s="42"/>
      <c r="E120" s="42"/>
      <c r="F120" s="42"/>
      <c r="G120" s="572"/>
    </row>
    <row r="121" spans="1:10" ht="12" customHeight="1">
      <c r="A121" s="586" t="str">
        <f>Inhoud!$A$2</f>
        <v>Nacalculatieformulier 2004</v>
      </c>
      <c r="B121" s="601"/>
      <c r="C121" s="603"/>
      <c r="D121" s="603"/>
      <c r="E121" s="604">
        <f>Voorblad!D149</f>
        <v>0</v>
      </c>
      <c r="F121" s="604"/>
      <c r="G121" s="600">
        <f>G94+1</f>
        <v>20</v>
      </c>
      <c r="H121" s="503"/>
      <c r="I121" s="503"/>
      <c r="J121" s="504"/>
    </row>
    <row r="122" spans="1:10" ht="12" customHeight="1">
      <c r="A122" s="598"/>
      <c r="B122" s="91"/>
      <c r="C122" s="595"/>
      <c r="D122" s="595"/>
      <c r="E122" s="596"/>
      <c r="F122" s="596"/>
      <c r="G122" s="597"/>
      <c r="H122" s="503"/>
      <c r="I122" s="503"/>
      <c r="J122" s="504"/>
    </row>
    <row r="123" spans="1:2" ht="12">
      <c r="A123" s="466" t="s">
        <v>296</v>
      </c>
      <c r="B123" s="467" t="s">
        <v>518</v>
      </c>
    </row>
    <row r="124" spans="1:6" ht="12">
      <c r="A124" s="565"/>
      <c r="B124" s="565"/>
      <c r="C124" s="1030" t="s">
        <v>656</v>
      </c>
      <c r="D124" s="1031" t="s">
        <v>682</v>
      </c>
      <c r="E124" s="1032" t="s">
        <v>657</v>
      </c>
      <c r="F124" s="1031" t="s">
        <v>658</v>
      </c>
    </row>
    <row r="125" spans="1:6" ht="12">
      <c r="A125" s="937">
        <f>(100*G121)+1</f>
        <v>2001</v>
      </c>
      <c r="B125" s="878" t="s">
        <v>408</v>
      </c>
      <c r="C125" s="740"/>
      <c r="D125" s="740"/>
      <c r="E125" s="740"/>
      <c r="F125" s="1051">
        <f>C125+D125+E125</f>
        <v>0</v>
      </c>
    </row>
    <row r="126" spans="1:6" ht="12">
      <c r="A126" s="937">
        <f>A125+1</f>
        <v>2002</v>
      </c>
      <c r="B126" s="878" t="s">
        <v>28</v>
      </c>
      <c r="C126" s="1100"/>
      <c r="D126" s="740"/>
      <c r="E126" s="740"/>
      <c r="F126" s="1039">
        <f>D126+E126</f>
        <v>0</v>
      </c>
    </row>
    <row r="127" spans="1:6" ht="12">
      <c r="A127" s="937">
        <f>A126+1</f>
        <v>2003</v>
      </c>
      <c r="B127" s="968" t="s">
        <v>29</v>
      </c>
      <c r="C127" s="1020">
        <f>C125-C126</f>
        <v>0</v>
      </c>
      <c r="D127" s="1020">
        <f>D125-D126</f>
        <v>0</v>
      </c>
      <c r="E127" s="1020">
        <f>E125-E126</f>
        <v>0</v>
      </c>
      <c r="F127" s="1040">
        <f>F125-F126</f>
        <v>0</v>
      </c>
    </row>
    <row r="128" spans="1:6" ht="12">
      <c r="A128" s="565"/>
      <c r="B128" s="565"/>
      <c r="C128" s="908"/>
      <c r="D128" s="908"/>
      <c r="E128" s="908"/>
      <c r="F128" s="908"/>
    </row>
    <row r="129" spans="1:8" ht="12">
      <c r="A129" s="965"/>
      <c r="B129" s="1015"/>
      <c r="C129" s="1027" t="s">
        <v>520</v>
      </c>
      <c r="D129" s="1028" t="s">
        <v>521</v>
      </c>
      <c r="E129" s="1028" t="s">
        <v>139</v>
      </c>
      <c r="F129" s="1028" t="s">
        <v>71</v>
      </c>
      <c r="G129" s="1029" t="s">
        <v>359</v>
      </c>
      <c r="H129" s="892"/>
    </row>
    <row r="130" spans="1:8" ht="12.75" customHeight="1">
      <c r="A130" s="1006">
        <f>A127+1</f>
        <v>2004</v>
      </c>
      <c r="B130" s="1023" t="s">
        <v>659</v>
      </c>
      <c r="C130" s="1367"/>
      <c r="D130" s="1368"/>
      <c r="E130" s="1368"/>
      <c r="F130" s="1369"/>
      <c r="G130" s="1026">
        <f>F127</f>
        <v>0</v>
      </c>
      <c r="H130" s="911"/>
    </row>
    <row r="131" spans="1:8" ht="12.75" customHeight="1">
      <c r="A131" s="1006">
        <f>A130+1</f>
        <v>2005</v>
      </c>
      <c r="B131" s="1024" t="s">
        <v>519</v>
      </c>
      <c r="C131" s="1370"/>
      <c r="D131" s="1371"/>
      <c r="E131" s="1371"/>
      <c r="F131" s="1372"/>
      <c r="G131" s="740"/>
      <c r="H131" s="892"/>
    </row>
    <row r="132" spans="1:10" ht="12">
      <c r="A132" s="1006">
        <f>A131+1</f>
        <v>2006</v>
      </c>
      <c r="B132" s="1023" t="s">
        <v>30</v>
      </c>
      <c r="C132" s="1022">
        <f>G$115/12</f>
        <v>0</v>
      </c>
      <c r="D132" s="740"/>
      <c r="E132" s="995">
        <f aca="true" t="shared" si="12" ref="E132:E143">C132-D132</f>
        <v>0</v>
      </c>
      <c r="F132" s="1021">
        <v>0.9583</v>
      </c>
      <c r="G132" s="995">
        <f aca="true" t="shared" si="13" ref="G132:G143">ROUND(E132*F132,0)</f>
        <v>0</v>
      </c>
      <c r="H132" s="892"/>
      <c r="J132" s="457"/>
    </row>
    <row r="133" spans="1:10" ht="12">
      <c r="A133" s="1006">
        <f aca="true" t="shared" si="14" ref="A133:A145">A132+1</f>
        <v>2007</v>
      </c>
      <c r="B133" s="1023" t="s">
        <v>31</v>
      </c>
      <c r="C133" s="1022">
        <f aca="true" t="shared" si="15" ref="C133:C143">G$115/12</f>
        <v>0</v>
      </c>
      <c r="D133" s="740"/>
      <c r="E133" s="995">
        <f t="shared" si="12"/>
        <v>0</v>
      </c>
      <c r="F133" s="1021">
        <v>0.875</v>
      </c>
      <c r="G133" s="995">
        <f t="shared" si="13"/>
        <v>0</v>
      </c>
      <c r="H133" s="892"/>
      <c r="J133" s="565"/>
    </row>
    <row r="134" spans="1:10" ht="12">
      <c r="A134" s="1006">
        <f t="shared" si="14"/>
        <v>2008</v>
      </c>
      <c r="B134" s="1023" t="s">
        <v>32</v>
      </c>
      <c r="C134" s="1022">
        <f t="shared" si="15"/>
        <v>0</v>
      </c>
      <c r="D134" s="740"/>
      <c r="E134" s="995">
        <f t="shared" si="12"/>
        <v>0</v>
      </c>
      <c r="F134" s="1021">
        <v>0.7917</v>
      </c>
      <c r="G134" s="995">
        <f t="shared" si="13"/>
        <v>0</v>
      </c>
      <c r="H134" s="892"/>
      <c r="J134" s="565"/>
    </row>
    <row r="135" spans="1:10" ht="12">
      <c r="A135" s="1006">
        <f t="shared" si="14"/>
        <v>2009</v>
      </c>
      <c r="B135" s="1023" t="s">
        <v>33</v>
      </c>
      <c r="C135" s="1022">
        <f t="shared" si="15"/>
        <v>0</v>
      </c>
      <c r="D135" s="740"/>
      <c r="E135" s="995">
        <f t="shared" si="12"/>
        <v>0</v>
      </c>
      <c r="F135" s="1021">
        <v>0.7083</v>
      </c>
      <c r="G135" s="995">
        <f t="shared" si="13"/>
        <v>0</v>
      </c>
      <c r="H135" s="892"/>
      <c r="J135" s="498"/>
    </row>
    <row r="136" spans="1:10" ht="12">
      <c r="A136" s="1006">
        <f t="shared" si="14"/>
        <v>2010</v>
      </c>
      <c r="B136" s="1023" t="s">
        <v>34</v>
      </c>
      <c r="C136" s="1022">
        <f t="shared" si="15"/>
        <v>0</v>
      </c>
      <c r="D136" s="740"/>
      <c r="E136" s="995">
        <f t="shared" si="12"/>
        <v>0</v>
      </c>
      <c r="F136" s="1021">
        <v>0.625</v>
      </c>
      <c r="G136" s="995">
        <f t="shared" si="13"/>
        <v>0</v>
      </c>
      <c r="H136" s="892"/>
      <c r="J136" s="459"/>
    </row>
    <row r="137" spans="1:8" ht="12">
      <c r="A137" s="1006">
        <f t="shared" si="14"/>
        <v>2011</v>
      </c>
      <c r="B137" s="1023" t="s">
        <v>35</v>
      </c>
      <c r="C137" s="1022">
        <f t="shared" si="15"/>
        <v>0</v>
      </c>
      <c r="D137" s="740"/>
      <c r="E137" s="995">
        <f t="shared" si="12"/>
        <v>0</v>
      </c>
      <c r="F137" s="1021">
        <v>0.5417</v>
      </c>
      <c r="G137" s="995">
        <f t="shared" si="13"/>
        <v>0</v>
      </c>
      <c r="H137" s="892"/>
    </row>
    <row r="138" spans="1:8" ht="12" customHeight="1">
      <c r="A138" s="1006">
        <f t="shared" si="14"/>
        <v>2012</v>
      </c>
      <c r="B138" s="1023" t="s">
        <v>36</v>
      </c>
      <c r="C138" s="1022">
        <f t="shared" si="15"/>
        <v>0</v>
      </c>
      <c r="D138" s="740"/>
      <c r="E138" s="995">
        <f t="shared" si="12"/>
        <v>0</v>
      </c>
      <c r="F138" s="1021">
        <v>0.4583</v>
      </c>
      <c r="G138" s="995">
        <f t="shared" si="13"/>
        <v>0</v>
      </c>
      <c r="H138" s="892"/>
    </row>
    <row r="139" spans="1:8" ht="12">
      <c r="A139" s="1006">
        <f t="shared" si="14"/>
        <v>2013</v>
      </c>
      <c r="B139" s="1023" t="s">
        <v>37</v>
      </c>
      <c r="C139" s="1022">
        <f t="shared" si="15"/>
        <v>0</v>
      </c>
      <c r="D139" s="740"/>
      <c r="E139" s="995">
        <f t="shared" si="12"/>
        <v>0</v>
      </c>
      <c r="F139" s="1021">
        <v>0.375</v>
      </c>
      <c r="G139" s="995">
        <f t="shared" si="13"/>
        <v>0</v>
      </c>
      <c r="H139" s="892"/>
    </row>
    <row r="140" spans="1:8" ht="12">
      <c r="A140" s="1006">
        <f t="shared" si="14"/>
        <v>2014</v>
      </c>
      <c r="B140" s="1023" t="s">
        <v>38</v>
      </c>
      <c r="C140" s="1022">
        <f t="shared" si="15"/>
        <v>0</v>
      </c>
      <c r="D140" s="740"/>
      <c r="E140" s="995">
        <f t="shared" si="12"/>
        <v>0</v>
      </c>
      <c r="F140" s="1021">
        <v>0.2917</v>
      </c>
      <c r="G140" s="995">
        <f t="shared" si="13"/>
        <v>0</v>
      </c>
      <c r="H140" s="892"/>
    </row>
    <row r="141" spans="1:10" ht="12">
      <c r="A141" s="1006">
        <f t="shared" si="14"/>
        <v>2015</v>
      </c>
      <c r="B141" s="1023" t="s">
        <v>39</v>
      </c>
      <c r="C141" s="1022">
        <f t="shared" si="15"/>
        <v>0</v>
      </c>
      <c r="D141" s="740"/>
      <c r="E141" s="995">
        <f t="shared" si="12"/>
        <v>0</v>
      </c>
      <c r="F141" s="1021">
        <v>0.2083</v>
      </c>
      <c r="G141" s="995">
        <f t="shared" si="13"/>
        <v>0</v>
      </c>
      <c r="H141" s="892"/>
      <c r="J141" s="457"/>
    </row>
    <row r="142" spans="1:10" ht="12">
      <c r="A142" s="1006">
        <f t="shared" si="14"/>
        <v>2016</v>
      </c>
      <c r="B142" s="1023" t="s">
        <v>40</v>
      </c>
      <c r="C142" s="1022">
        <f t="shared" si="15"/>
        <v>0</v>
      </c>
      <c r="D142" s="740"/>
      <c r="E142" s="995">
        <f t="shared" si="12"/>
        <v>0</v>
      </c>
      <c r="F142" s="1021">
        <v>0.125</v>
      </c>
      <c r="G142" s="995">
        <f t="shared" si="13"/>
        <v>0</v>
      </c>
      <c r="H142" s="892"/>
      <c r="J142" s="457"/>
    </row>
    <row r="143" spans="1:10" ht="12">
      <c r="A143" s="1006">
        <f t="shared" si="14"/>
        <v>2017</v>
      </c>
      <c r="B143" s="1023" t="s">
        <v>41</v>
      </c>
      <c r="C143" s="1022">
        <f t="shared" si="15"/>
        <v>0</v>
      </c>
      <c r="D143" s="740"/>
      <c r="E143" s="995">
        <f t="shared" si="12"/>
        <v>0</v>
      </c>
      <c r="F143" s="1021">
        <v>0.0417</v>
      </c>
      <c r="G143" s="995">
        <f t="shared" si="13"/>
        <v>0</v>
      </c>
      <c r="H143" s="892"/>
      <c r="J143" s="457"/>
    </row>
    <row r="144" spans="1:8" s="467" customFormat="1" ht="12.75" customHeight="1">
      <c r="A144" s="1006">
        <f t="shared" si="14"/>
        <v>2018</v>
      </c>
      <c r="B144" s="1046" t="str">
        <f>CONCATENATE("Totaal ",A130," t/m ",A143)</f>
        <v>Totaal 2004 t/m 2017</v>
      </c>
      <c r="C144" s="1047">
        <f>SUM(C132:C143)</f>
        <v>0</v>
      </c>
      <c r="D144" s="1111">
        <f>SUM(D132:D143)</f>
        <v>0</v>
      </c>
      <c r="E144" s="969">
        <f>SUM(E132:E143)</f>
        <v>0</v>
      </c>
      <c r="F144" s="1048"/>
      <c r="G144" s="969">
        <f>SUM(G130:G143)</f>
        <v>0</v>
      </c>
      <c r="H144" s="965"/>
    </row>
    <row r="145" spans="1:10" ht="12" customHeight="1">
      <c r="A145" s="1006">
        <f t="shared" si="14"/>
        <v>2019</v>
      </c>
      <c r="B145" s="1023" t="str">
        <f>CONCATENATE("Opbrengsten volgens regel ",Opbrengsten!G26)</f>
        <v>Opbrengsten volgens regel 939</v>
      </c>
      <c r="C145" s="1016"/>
      <c r="D145" s="1025">
        <f>+Opbrengsten!J26</f>
        <v>0</v>
      </c>
      <c r="E145" s="1016"/>
      <c r="F145" s="1018"/>
      <c r="G145" s="1019"/>
      <c r="H145" s="892"/>
      <c r="J145" s="457"/>
    </row>
    <row r="146" spans="1:10" ht="12" customHeight="1">
      <c r="A146" s="1168">
        <f>A145+1</f>
        <v>2020</v>
      </c>
      <c r="B146" s="1169" t="s">
        <v>292</v>
      </c>
      <c r="C146" s="1169"/>
      <c r="D146" s="1170"/>
      <c r="E146" s="1169"/>
      <c r="F146" s="1171"/>
      <c r="G146" s="1172">
        <f>0.045*Mutaties!E25</f>
        <v>0</v>
      </c>
      <c r="H146" s="892"/>
      <c r="J146" s="457"/>
    </row>
    <row r="147" spans="1:10" ht="12" customHeight="1">
      <c r="A147" s="1016"/>
      <c r="B147" s="1016"/>
      <c r="C147" s="1016"/>
      <c r="D147" s="1173"/>
      <c r="E147" s="1016"/>
      <c r="F147" s="1018"/>
      <c r="G147" s="1174"/>
      <c r="H147" s="892"/>
      <c r="J147" s="457"/>
    </row>
    <row r="148" spans="1:10" ht="12" customHeight="1">
      <c r="A148" s="911"/>
      <c r="B148" s="457" t="str">
        <f>CONCATENATE("De gedeclareerde bedragen op regel ",A144," en ",A145," moeten aan elkaar gelijk zijn.")</f>
        <v>De gedeclareerde bedragen op regel 2018 en 2019 moeten aan elkaar gelijk zijn.</v>
      </c>
      <c r="C148" s="1016"/>
      <c r="D148" s="1016"/>
      <c r="E148" s="1016"/>
      <c r="F148" s="1018"/>
      <c r="G148" s="1017"/>
      <c r="H148" s="892"/>
      <c r="J148" s="457"/>
    </row>
    <row r="149" spans="1:10" ht="12" customHeight="1">
      <c r="A149" s="911"/>
      <c r="B149" s="1016"/>
      <c r="C149" s="1016"/>
      <c r="D149" s="1016"/>
      <c r="E149" s="1016"/>
      <c r="F149" s="1018"/>
      <c r="G149" s="1017"/>
      <c r="H149" s="892"/>
      <c r="J149" s="457"/>
    </row>
    <row r="150" spans="1:10" ht="12" customHeight="1">
      <c r="A150" s="911"/>
      <c r="B150" s="1016"/>
      <c r="C150" s="1016"/>
      <c r="D150" s="1016"/>
      <c r="E150" s="1016"/>
      <c r="F150" s="1018"/>
      <c r="G150" s="1017"/>
      <c r="H150" s="892"/>
      <c r="J150" s="457"/>
    </row>
    <row r="151" spans="1:10" ht="12" customHeight="1">
      <c r="A151" s="911"/>
      <c r="B151" s="1016"/>
      <c r="C151" s="1016"/>
      <c r="D151" s="1016"/>
      <c r="E151" s="1016"/>
      <c r="F151" s="1018"/>
      <c r="G151" s="1017"/>
      <c r="H151" s="892"/>
      <c r="J151" s="459"/>
    </row>
    <row r="152" spans="1:10" ht="12" customHeight="1">
      <c r="A152" s="911"/>
      <c r="B152" s="1016"/>
      <c r="C152" s="1016"/>
      <c r="D152" s="1016"/>
      <c r="E152" s="1016"/>
      <c r="F152" s="1018"/>
      <c r="G152" s="1017"/>
      <c r="H152" s="892"/>
      <c r="J152" s="459"/>
    </row>
    <row r="153" spans="1:10" ht="12" customHeight="1">
      <c r="A153" s="911"/>
      <c r="B153" s="892"/>
      <c r="C153" s="1016"/>
      <c r="D153" s="1016"/>
      <c r="E153" s="1016"/>
      <c r="F153" s="1018"/>
      <c r="G153" s="1017"/>
      <c r="H153" s="892"/>
      <c r="J153" s="457"/>
    </row>
    <row r="154" spans="1:10" ht="12" customHeight="1">
      <c r="A154" s="911"/>
      <c r="B154" s="1016"/>
      <c r="C154" s="892"/>
      <c r="D154" s="892"/>
      <c r="E154" s="892"/>
      <c r="F154" s="892"/>
      <c r="G154" s="892"/>
      <c r="H154" s="892"/>
      <c r="J154" s="457"/>
    </row>
    <row r="155" spans="1:10" ht="12" customHeight="1">
      <c r="A155" s="892"/>
      <c r="B155" s="892"/>
      <c r="C155" s="892"/>
      <c r="D155" s="892"/>
      <c r="E155" s="892"/>
      <c r="F155" s="892"/>
      <c r="G155" s="892"/>
      <c r="H155" s="892"/>
      <c r="J155" s="457"/>
    </row>
    <row r="156" spans="1:10" ht="12" customHeight="1">
      <c r="A156" s="892"/>
      <c r="J156" s="457"/>
    </row>
    <row r="157" ht="12" customHeight="1">
      <c r="J157" s="457"/>
    </row>
    <row r="158" ht="12" customHeight="1"/>
    <row r="165" ht="12" customHeight="1"/>
    <row r="166" ht="12" customHeight="1"/>
    <row r="167" ht="12" customHeight="1"/>
    <row r="168" ht="12" customHeight="1"/>
    <row r="169" ht="12" customHeight="1"/>
  </sheetData>
  <sheetProtection password="CFAD" sheet="1" objects="1" scenarios="1"/>
  <mergeCells count="5">
    <mergeCell ref="C130:F131"/>
    <mergeCell ref="F5:G5"/>
    <mergeCell ref="F50:G50"/>
    <mergeCell ref="E27:G28"/>
    <mergeCell ref="B90:F90"/>
  </mergeCells>
  <conditionalFormatting sqref="C25 C73 E73">
    <cfRule type="cellIs" priority="1" dxfId="2" operator="notEqual" stopIfTrue="1">
      <formula>0</formula>
    </cfRule>
  </conditionalFormatting>
  <conditionalFormatting sqref="D69 C9:D22 C70 C56:C68 C101:C110 D33:D44 C54:D55 C32:C44 C125 G116 D132:D143 G131 D125:E126 C80:C89 E80:E89 E101:E110">
    <cfRule type="expression" priority="2" dxfId="0" stopIfTrue="1">
      <formula>$E$2=TRUE</formula>
    </cfRule>
  </conditionalFormatting>
  <printOptions/>
  <pageMargins left="0.3937007874015748" right="0.3937007874015748" top="0.1968503937007874" bottom="0.1968503937007874" header="0.6299212598425197" footer="0.11811023622047245"/>
  <pageSetup horizontalDpi="300" verticalDpi="300" orientation="landscape" paperSize="9" r:id="rId2"/>
  <headerFooter alignWithMargins="0">
    <oddHeader xml:space="preserve">&amp;R&amp;9 </oddHeader>
  </headerFooter>
  <rowBreaks count="2" manualBreakCount="2">
    <brk id="92" max="7" man="1"/>
    <brk id="119" max="255" man="1"/>
  </rowBreaks>
  <drawing r:id="rId1"/>
</worksheet>
</file>

<file path=xl/worksheets/sheet16.xml><?xml version="1.0" encoding="utf-8"?>
<worksheet xmlns="http://schemas.openxmlformats.org/spreadsheetml/2006/main" xmlns:r="http://schemas.openxmlformats.org/officeDocument/2006/relationships">
  <sheetPr codeName="Blad19"/>
  <dimension ref="A1:AN80"/>
  <sheetViews>
    <sheetView showGridLines="0" view="pageBreakPreview" zoomScaleNormal="86" zoomScaleSheetLayoutView="100" workbookViewId="0" topLeftCell="K1">
      <selection activeCell="T8" sqref="T8"/>
    </sheetView>
  </sheetViews>
  <sheetFormatPr defaultColWidth="9.140625" defaultRowHeight="12.75"/>
  <cols>
    <col min="1" max="1" width="5.7109375" style="470" customWidth="1"/>
    <col min="2" max="2" width="12.7109375" style="439" customWidth="1"/>
    <col min="3" max="3" width="7.00390625" style="439" customWidth="1"/>
    <col min="4" max="4" width="7.7109375" style="436" customWidth="1"/>
    <col min="5" max="7" width="5.8515625" style="439" customWidth="1"/>
    <col min="8" max="8" width="11.28125" style="435" customWidth="1"/>
    <col min="9" max="9" width="10.7109375" style="435" customWidth="1"/>
    <col min="10" max="10" width="3.7109375" style="435" customWidth="1"/>
    <col min="11" max="16" width="2.7109375" style="435" customWidth="1"/>
    <col min="17" max="18" width="11.28125" style="435" customWidth="1"/>
    <col min="19" max="19" width="10.28125" style="439" customWidth="1"/>
    <col min="20" max="20" width="12.00390625" style="439" customWidth="1"/>
    <col min="21" max="21" width="0.13671875" style="439" hidden="1" customWidth="1"/>
    <col min="22" max="22" width="0.2890625" style="439" hidden="1" customWidth="1"/>
    <col min="23" max="23" width="14.28125" style="439" hidden="1" customWidth="1"/>
    <col min="24" max="24" width="14.7109375" style="439" hidden="1" customWidth="1"/>
    <col min="25" max="25" width="15.00390625" style="439" hidden="1" customWidth="1"/>
    <col min="26" max="26" width="15.28125" style="439" hidden="1" customWidth="1"/>
    <col min="27" max="27" width="13.7109375" style="439" hidden="1" customWidth="1"/>
    <col min="28" max="28" width="11.7109375" style="439" hidden="1" customWidth="1"/>
    <col min="29" max="29" width="15.28125" style="439" customWidth="1"/>
    <col min="30" max="30" width="13.7109375" style="439" customWidth="1"/>
    <col min="31" max="31" width="12.8515625" style="439" customWidth="1"/>
    <col min="32" max="32" width="13.28125" style="439" customWidth="1"/>
    <col min="33" max="33" width="12.421875" style="439" customWidth="1"/>
    <col min="34" max="34" width="12.8515625" style="439" customWidth="1"/>
    <col min="35" max="35" width="11.8515625" style="439" customWidth="1"/>
    <col min="36" max="40" width="10.28125" style="439" customWidth="1"/>
    <col min="41" max="16384" width="9.140625" style="439" customWidth="1"/>
  </cols>
  <sheetData>
    <row r="1" spans="1:27" ht="15.75" customHeight="1">
      <c r="A1" s="662"/>
      <c r="B1" s="640"/>
      <c r="C1" s="640"/>
      <c r="D1" s="2"/>
      <c r="E1" s="2"/>
      <c r="F1" s="2"/>
      <c r="G1" s="2"/>
      <c r="H1" s="2"/>
      <c r="I1" s="2"/>
      <c r="J1" s="2"/>
      <c r="K1" s="2"/>
      <c r="L1" s="2"/>
      <c r="M1" s="2"/>
      <c r="N1" s="2"/>
      <c r="O1" s="2"/>
      <c r="P1" s="2"/>
      <c r="Q1" s="2"/>
      <c r="R1" s="2"/>
      <c r="S1" s="640"/>
      <c r="T1" s="640"/>
      <c r="U1" s="440"/>
      <c r="V1" s="441"/>
      <c r="W1" s="440"/>
      <c r="X1" s="440"/>
      <c r="Y1" s="440"/>
      <c r="Z1" s="440"/>
      <c r="AA1" s="440"/>
    </row>
    <row r="2" spans="1:27" s="447" customFormat="1" ht="15.75" customHeight="1">
      <c r="A2" s="6" t="str">
        <f>Inhoud!$A$2</f>
        <v>Nacalculatieformulier 2004</v>
      </c>
      <c r="B2" s="7"/>
      <c r="C2" s="7"/>
      <c r="D2" s="7"/>
      <c r="E2" s="7"/>
      <c r="F2" s="7"/>
      <c r="G2" s="7"/>
      <c r="H2" s="7"/>
      <c r="I2" s="8" t="b">
        <f>Voorblad!D30</f>
        <v>1</v>
      </c>
      <c r="J2" s="8"/>
      <c r="K2" s="8"/>
      <c r="L2" s="635"/>
      <c r="M2" s="635"/>
      <c r="N2" s="8"/>
      <c r="O2" s="635"/>
      <c r="P2" s="635"/>
      <c r="Q2" s="8"/>
      <c r="R2" s="635"/>
      <c r="S2" s="809"/>
      <c r="T2" s="10">
        <f>'A-G'!G121+1</f>
        <v>21</v>
      </c>
      <c r="U2" s="448"/>
      <c r="V2" s="449"/>
      <c r="W2" s="448"/>
      <c r="X2" s="448"/>
      <c r="Y2" s="448"/>
      <c r="Z2" s="448"/>
      <c r="AA2" s="448"/>
    </row>
    <row r="3" spans="1:20" s="457" customFormat="1" ht="12.75" customHeight="1">
      <c r="A3" s="624"/>
      <c r="B3" s="663"/>
      <c r="C3" s="663"/>
      <c r="D3" s="167"/>
      <c r="E3" s="663"/>
      <c r="F3" s="663"/>
      <c r="G3" s="663"/>
      <c r="H3" s="168"/>
      <c r="I3" s="168"/>
      <c r="J3" s="168"/>
      <c r="K3" s="168"/>
      <c r="L3" s="168"/>
      <c r="M3" s="168"/>
      <c r="N3" s="168"/>
      <c r="O3" s="168"/>
      <c r="P3" s="168"/>
      <c r="Q3" s="168"/>
      <c r="R3" s="168"/>
      <c r="S3" s="572"/>
      <c r="T3" s="572"/>
    </row>
    <row r="4" spans="1:39" s="502" customFormat="1" ht="12.75" customHeight="1">
      <c r="A4" s="213"/>
      <c r="B4" s="664" t="s">
        <v>72</v>
      </c>
      <c r="C4" s="665" t="s">
        <v>80</v>
      </c>
      <c r="D4" s="214" t="s">
        <v>376</v>
      </c>
      <c r="E4" s="215" t="s">
        <v>91</v>
      </c>
      <c r="F4" s="215" t="s">
        <v>67</v>
      </c>
      <c r="G4" s="215" t="s">
        <v>379</v>
      </c>
      <c r="H4" s="215" t="s">
        <v>73</v>
      </c>
      <c r="I4" s="1386" t="str">
        <f>CONCATENATE("Storting/Aflossing ",Voorblad!D3)</f>
        <v>Storting/Aflossing 2004</v>
      </c>
      <c r="J4" s="1389"/>
      <c r="K4" s="1389"/>
      <c r="L4" s="1389"/>
      <c r="M4" s="1389"/>
      <c r="N4" s="1389"/>
      <c r="O4" s="1389"/>
      <c r="P4" s="1390"/>
      <c r="Q4" s="665" t="s">
        <v>73</v>
      </c>
      <c r="R4" s="215" t="s">
        <v>96</v>
      </c>
      <c r="S4" s="215" t="s">
        <v>411</v>
      </c>
      <c r="T4" s="198" t="s">
        <v>382</v>
      </c>
      <c r="U4" s="582"/>
      <c r="V4" s="582"/>
      <c r="W4" s="582"/>
      <c r="X4" s="582"/>
      <c r="Y4" s="582"/>
      <c r="Z4" s="582"/>
      <c r="AA4" s="582"/>
      <c r="AB4" s="582"/>
      <c r="AC4" s="582"/>
      <c r="AD4" s="582"/>
      <c r="AE4" s="582"/>
      <c r="AF4" s="582"/>
      <c r="AG4" s="582"/>
      <c r="AH4" s="582"/>
      <c r="AI4" s="582"/>
      <c r="AJ4" s="582"/>
      <c r="AK4" s="582"/>
      <c r="AL4" s="582"/>
      <c r="AM4" s="582"/>
    </row>
    <row r="5" spans="1:39" s="502" customFormat="1" ht="12.75" customHeight="1">
      <c r="A5" s="216"/>
      <c r="B5" s="666"/>
      <c r="C5" s="667" t="s">
        <v>416</v>
      </c>
      <c r="D5" s="1103" t="s">
        <v>420</v>
      </c>
      <c r="E5" s="217" t="s">
        <v>377</v>
      </c>
      <c r="F5" s="217" t="s">
        <v>378</v>
      </c>
      <c r="G5" s="217" t="s">
        <v>380</v>
      </c>
      <c r="H5" s="218" t="str">
        <f>CONCATENATE("31-12-",Voorblad!D3-1," ")</f>
        <v>31-12-2003 </v>
      </c>
      <c r="I5" s="219" t="s">
        <v>512</v>
      </c>
      <c r="J5" s="220" t="s">
        <v>88</v>
      </c>
      <c r="K5" s="1386" t="s">
        <v>89</v>
      </c>
      <c r="L5" s="1387"/>
      <c r="M5" s="1387"/>
      <c r="N5" s="1387"/>
      <c r="O5" s="1387"/>
      <c r="P5" s="1388"/>
      <c r="Q5" s="218" t="str">
        <f>CONCATENATE("31-12-",Voorblad!D3," ")</f>
        <v>31-12-2004 </v>
      </c>
      <c r="R5" s="109" t="s">
        <v>417</v>
      </c>
      <c r="S5" s="109" t="s">
        <v>381</v>
      </c>
      <c r="T5" s="109" t="s">
        <v>381</v>
      </c>
      <c r="U5" s="582"/>
      <c r="V5" s="582"/>
      <c r="W5" s="582"/>
      <c r="X5" s="582"/>
      <c r="Y5" s="582"/>
      <c r="Z5" s="582"/>
      <c r="AA5" s="582"/>
      <c r="AB5" s="582"/>
      <c r="AC5" s="582"/>
      <c r="AD5" s="582"/>
      <c r="AE5" s="582"/>
      <c r="AF5" s="582"/>
      <c r="AG5" s="582"/>
      <c r="AH5" s="582"/>
      <c r="AI5" s="582"/>
      <c r="AJ5" s="582"/>
      <c r="AK5" s="582"/>
      <c r="AL5" s="582"/>
      <c r="AM5" s="582"/>
    </row>
    <row r="6" spans="1:20" s="503" customFormat="1" ht="12.75" customHeight="1">
      <c r="A6" s="169"/>
      <c r="B6" s="92"/>
      <c r="C6" s="92"/>
      <c r="D6" s="92"/>
      <c r="E6" s="92"/>
      <c r="F6" s="92"/>
      <c r="G6" s="92"/>
      <c r="H6" s="92"/>
      <c r="I6" s="92"/>
      <c r="J6" s="92"/>
      <c r="K6" s="92"/>
      <c r="L6" s="91"/>
      <c r="M6" s="92"/>
      <c r="N6" s="92"/>
      <c r="O6" s="92"/>
      <c r="P6" s="92"/>
      <c r="Q6" s="92"/>
      <c r="R6" s="92"/>
      <c r="S6" s="92"/>
      <c r="T6" s="92" t="s">
        <v>421</v>
      </c>
    </row>
    <row r="7" spans="1:20" s="457" customFormat="1" ht="12.75" customHeight="1">
      <c r="A7" s="624" t="s">
        <v>297</v>
      </c>
      <c r="B7" s="668" t="s">
        <v>295</v>
      </c>
      <c r="C7" s="668"/>
      <c r="D7" s="167"/>
      <c r="E7" s="663"/>
      <c r="F7" s="663"/>
      <c r="G7" s="663"/>
      <c r="H7" s="168"/>
      <c r="I7" s="168"/>
      <c r="J7" s="168"/>
      <c r="K7" s="168"/>
      <c r="L7" s="168"/>
      <c r="M7" s="168"/>
      <c r="N7" s="168"/>
      <c r="O7" s="168"/>
      <c r="P7" s="168"/>
      <c r="Q7" s="168"/>
      <c r="R7" s="168"/>
      <c r="S7" s="572"/>
      <c r="T7" s="572"/>
    </row>
    <row r="8" spans="1:39" s="457" customFormat="1" ht="12.75" customHeight="1">
      <c r="A8" s="739">
        <f>(100*T2)+1</f>
        <v>2101</v>
      </c>
      <c r="B8" s="783"/>
      <c r="C8" s="558"/>
      <c r="D8" s="558"/>
      <c r="E8" s="512"/>
      <c r="F8" s="512"/>
      <c r="G8" s="896"/>
      <c r="H8" s="573"/>
      <c r="I8" s="573"/>
      <c r="J8" s="505"/>
      <c r="K8" s="505"/>
      <c r="L8" s="505"/>
      <c r="M8" s="505"/>
      <c r="N8" s="505"/>
      <c r="O8" s="505"/>
      <c r="P8" s="505"/>
      <c r="Q8" s="576">
        <f>H8-AB8</f>
        <v>0</v>
      </c>
      <c r="R8" s="575">
        <f aca="true" t="shared" si="0" ref="R8:R34">R46</f>
        <v>0</v>
      </c>
      <c r="S8" s="576">
        <f>R8*F8/100</f>
        <v>0</v>
      </c>
      <c r="T8" s="575">
        <f>IF(G8="n",S8,E8/100*R8)</f>
        <v>0</v>
      </c>
      <c r="U8" s="578">
        <f aca="true" t="shared" si="1" ref="U8:Z8">IF(K8&gt;0,1,0)</f>
        <v>0</v>
      </c>
      <c r="V8" s="578">
        <f t="shared" si="1"/>
        <v>0</v>
      </c>
      <c r="W8" s="578">
        <f t="shared" si="1"/>
        <v>0</v>
      </c>
      <c r="X8" s="578">
        <f t="shared" si="1"/>
        <v>0</v>
      </c>
      <c r="Y8" s="578">
        <f t="shared" si="1"/>
        <v>0</v>
      </c>
      <c r="Z8" s="578">
        <f t="shared" si="1"/>
        <v>0</v>
      </c>
      <c r="AA8" s="578">
        <f>SUM(U8:Z8)</f>
        <v>0</v>
      </c>
      <c r="AB8" s="578">
        <f>AA8*I8</f>
        <v>0</v>
      </c>
      <c r="AC8"/>
      <c r="AD8"/>
      <c r="AE8"/>
      <c r="AF8"/>
      <c r="AG8"/>
      <c r="AH8"/>
      <c r="AI8"/>
      <c r="AJ8" s="577"/>
      <c r="AK8" s="577"/>
      <c r="AL8" s="577"/>
      <c r="AM8" s="577"/>
    </row>
    <row r="9" spans="1:39" s="457" customFormat="1" ht="12.75" customHeight="1">
      <c r="A9" s="739">
        <f>A8+1</f>
        <v>2102</v>
      </c>
      <c r="B9" s="783"/>
      <c r="C9" s="558"/>
      <c r="D9" s="558"/>
      <c r="E9" s="512"/>
      <c r="F9" s="557"/>
      <c r="G9" s="896"/>
      <c r="H9" s="573"/>
      <c r="I9" s="573"/>
      <c r="J9" s="505"/>
      <c r="K9" s="505"/>
      <c r="L9" s="505"/>
      <c r="M9" s="505"/>
      <c r="N9" s="505"/>
      <c r="O9" s="505"/>
      <c r="P9" s="505"/>
      <c r="Q9" s="576">
        <f aca="true" t="shared" si="2" ref="Q9:Q34">H9-AB9</f>
        <v>0</v>
      </c>
      <c r="R9" s="575">
        <f t="shared" si="0"/>
        <v>0</v>
      </c>
      <c r="S9" s="576">
        <f aca="true" t="shared" si="3" ref="S9:S34">R9*F9/100</f>
        <v>0</v>
      </c>
      <c r="T9" s="575">
        <f aca="true" t="shared" si="4" ref="T9:T34">IF(G9="n",S9,E9/100*R9)</f>
        <v>0</v>
      </c>
      <c r="U9" s="578">
        <f aca="true" t="shared" si="5" ref="U9:U34">IF(K9&gt;0,1,0)</f>
        <v>0</v>
      </c>
      <c r="V9" s="578">
        <f aca="true" t="shared" si="6" ref="V9:V34">IF(L9&gt;0,1,0)</f>
        <v>0</v>
      </c>
      <c r="W9" s="578">
        <f aca="true" t="shared" si="7" ref="W9:W34">IF(M9&gt;0,1,0)</f>
        <v>0</v>
      </c>
      <c r="X9" s="578">
        <f aca="true" t="shared" si="8" ref="X9:X34">IF(N9&gt;0,1,0)</f>
        <v>0</v>
      </c>
      <c r="Y9" s="578">
        <f aca="true" t="shared" si="9" ref="Y9:Y34">IF(O9&gt;0,1,0)</f>
        <v>0</v>
      </c>
      <c r="Z9" s="578">
        <f aca="true" t="shared" si="10" ref="Z9:Z34">IF(P9&gt;0,1,0)</f>
        <v>0</v>
      </c>
      <c r="AA9" s="578">
        <f aca="true" t="shared" si="11" ref="AA9:AA34">SUM(U9:Z9)</f>
        <v>0</v>
      </c>
      <c r="AB9" s="578">
        <f aca="true" t="shared" si="12" ref="AB9:AB34">AA9*I9</f>
        <v>0</v>
      </c>
      <c r="AC9"/>
      <c r="AD9"/>
      <c r="AE9"/>
      <c r="AF9"/>
      <c r="AG9"/>
      <c r="AH9"/>
      <c r="AI9"/>
      <c r="AJ9" s="577"/>
      <c r="AK9" s="577"/>
      <c r="AL9" s="577"/>
      <c r="AM9" s="577"/>
    </row>
    <row r="10" spans="1:39" s="457" customFormat="1" ht="12.75" customHeight="1">
      <c r="A10" s="739">
        <f>A9+1</f>
        <v>2103</v>
      </c>
      <c r="B10" s="783"/>
      <c r="C10" s="558"/>
      <c r="D10" s="558"/>
      <c r="E10" s="512"/>
      <c r="F10" s="557"/>
      <c r="G10" s="896"/>
      <c r="H10" s="573"/>
      <c r="I10" s="573"/>
      <c r="J10" s="505"/>
      <c r="K10" s="505"/>
      <c r="L10" s="505"/>
      <c r="M10" s="505"/>
      <c r="N10" s="505"/>
      <c r="O10" s="505"/>
      <c r="P10" s="505"/>
      <c r="Q10" s="576">
        <f t="shared" si="2"/>
        <v>0</v>
      </c>
      <c r="R10" s="575">
        <f t="shared" si="0"/>
        <v>0</v>
      </c>
      <c r="S10" s="576">
        <f t="shared" si="3"/>
        <v>0</v>
      </c>
      <c r="T10" s="575">
        <f t="shared" si="4"/>
        <v>0</v>
      </c>
      <c r="U10" s="578">
        <f t="shared" si="5"/>
        <v>0</v>
      </c>
      <c r="V10" s="578">
        <f t="shared" si="6"/>
        <v>0</v>
      </c>
      <c r="W10" s="578">
        <f t="shared" si="7"/>
        <v>0</v>
      </c>
      <c r="X10" s="578">
        <f t="shared" si="8"/>
        <v>0</v>
      </c>
      <c r="Y10" s="578">
        <f t="shared" si="9"/>
        <v>0</v>
      </c>
      <c r="Z10" s="578">
        <f t="shared" si="10"/>
        <v>0</v>
      </c>
      <c r="AA10" s="578">
        <f t="shared" si="11"/>
        <v>0</v>
      </c>
      <c r="AB10" s="578">
        <f t="shared" si="12"/>
        <v>0</v>
      </c>
      <c r="AC10"/>
      <c r="AD10"/>
      <c r="AE10"/>
      <c r="AF10"/>
      <c r="AG10"/>
      <c r="AH10"/>
      <c r="AI10"/>
      <c r="AJ10" s="577"/>
      <c r="AK10" s="577"/>
      <c r="AL10" s="577"/>
      <c r="AM10" s="577"/>
    </row>
    <row r="11" spans="1:39" s="457" customFormat="1" ht="12.75" customHeight="1">
      <c r="A11" s="739">
        <f aca="true" t="shared" si="13" ref="A11:A17">A10+1</f>
        <v>2104</v>
      </c>
      <c r="B11" s="783"/>
      <c r="C11" s="558"/>
      <c r="D11" s="558"/>
      <c r="E11" s="512"/>
      <c r="F11" s="557"/>
      <c r="G11" s="896"/>
      <c r="H11" s="573"/>
      <c r="I11" s="573"/>
      <c r="J11" s="505"/>
      <c r="K11" s="505"/>
      <c r="L11" s="505"/>
      <c r="M11" s="505"/>
      <c r="N11" s="505"/>
      <c r="O11" s="505"/>
      <c r="P11" s="505"/>
      <c r="Q11" s="576">
        <f t="shared" si="2"/>
        <v>0</v>
      </c>
      <c r="R11" s="575">
        <f t="shared" si="0"/>
        <v>0</v>
      </c>
      <c r="S11" s="576">
        <f t="shared" si="3"/>
        <v>0</v>
      </c>
      <c r="T11" s="575">
        <f t="shared" si="4"/>
        <v>0</v>
      </c>
      <c r="U11" s="578">
        <f t="shared" si="5"/>
        <v>0</v>
      </c>
      <c r="V11" s="578">
        <f t="shared" si="6"/>
        <v>0</v>
      </c>
      <c r="W11" s="578">
        <f t="shared" si="7"/>
        <v>0</v>
      </c>
      <c r="X11" s="578">
        <f t="shared" si="8"/>
        <v>0</v>
      </c>
      <c r="Y11" s="578">
        <f t="shared" si="9"/>
        <v>0</v>
      </c>
      <c r="Z11" s="578">
        <f t="shared" si="10"/>
        <v>0</v>
      </c>
      <c r="AA11" s="578">
        <f t="shared" si="11"/>
        <v>0</v>
      </c>
      <c r="AB11" s="578">
        <f t="shared" si="12"/>
        <v>0</v>
      </c>
      <c r="AC11"/>
      <c r="AD11"/>
      <c r="AE11"/>
      <c r="AF11"/>
      <c r="AG11"/>
      <c r="AH11"/>
      <c r="AI11"/>
      <c r="AJ11" s="577"/>
      <c r="AK11" s="577"/>
      <c r="AL11" s="577"/>
      <c r="AM11" s="577"/>
    </row>
    <row r="12" spans="1:39" s="457" customFormat="1" ht="12.75" customHeight="1">
      <c r="A12" s="739">
        <f t="shared" si="13"/>
        <v>2105</v>
      </c>
      <c r="B12" s="783"/>
      <c r="C12" s="558"/>
      <c r="D12" s="558"/>
      <c r="E12" s="512"/>
      <c r="F12" s="557"/>
      <c r="G12" s="896"/>
      <c r="H12" s="573"/>
      <c r="I12" s="573"/>
      <c r="J12" s="505"/>
      <c r="K12" s="505"/>
      <c r="L12" s="505"/>
      <c r="M12" s="505"/>
      <c r="N12" s="505"/>
      <c r="O12" s="505"/>
      <c r="P12" s="505"/>
      <c r="Q12" s="576">
        <f t="shared" si="2"/>
        <v>0</v>
      </c>
      <c r="R12" s="575">
        <f t="shared" si="0"/>
        <v>0</v>
      </c>
      <c r="S12" s="576">
        <f t="shared" si="3"/>
        <v>0</v>
      </c>
      <c r="T12" s="575">
        <f t="shared" si="4"/>
        <v>0</v>
      </c>
      <c r="U12" s="578">
        <f t="shared" si="5"/>
        <v>0</v>
      </c>
      <c r="V12" s="578">
        <f t="shared" si="6"/>
        <v>0</v>
      </c>
      <c r="W12" s="578">
        <f t="shared" si="7"/>
        <v>0</v>
      </c>
      <c r="X12" s="578">
        <f t="shared" si="8"/>
        <v>0</v>
      </c>
      <c r="Y12" s="578">
        <f t="shared" si="9"/>
        <v>0</v>
      </c>
      <c r="Z12" s="578">
        <f t="shared" si="10"/>
        <v>0</v>
      </c>
      <c r="AA12" s="578">
        <f t="shared" si="11"/>
        <v>0</v>
      </c>
      <c r="AB12" s="578">
        <f t="shared" si="12"/>
        <v>0</v>
      </c>
      <c r="AC12"/>
      <c r="AD12"/>
      <c r="AE12"/>
      <c r="AF12"/>
      <c r="AG12"/>
      <c r="AH12"/>
      <c r="AI12"/>
      <c r="AJ12" s="577"/>
      <c r="AK12" s="577"/>
      <c r="AL12" s="577"/>
      <c r="AM12" s="577"/>
    </row>
    <row r="13" spans="1:39" s="457" customFormat="1" ht="12.75" customHeight="1">
      <c r="A13" s="739">
        <f t="shared" si="13"/>
        <v>2106</v>
      </c>
      <c r="B13" s="783"/>
      <c r="C13" s="558"/>
      <c r="D13" s="558"/>
      <c r="E13" s="512"/>
      <c r="F13" s="557"/>
      <c r="G13" s="896"/>
      <c r="H13" s="573"/>
      <c r="I13" s="573"/>
      <c r="J13" s="505"/>
      <c r="K13" s="505"/>
      <c r="L13" s="505"/>
      <c r="M13" s="505"/>
      <c r="N13" s="505"/>
      <c r="O13" s="505"/>
      <c r="P13" s="505"/>
      <c r="Q13" s="576">
        <f t="shared" si="2"/>
        <v>0</v>
      </c>
      <c r="R13" s="575">
        <f t="shared" si="0"/>
        <v>0</v>
      </c>
      <c r="S13" s="576">
        <f t="shared" si="3"/>
        <v>0</v>
      </c>
      <c r="T13" s="575">
        <f t="shared" si="4"/>
        <v>0</v>
      </c>
      <c r="U13" s="578">
        <f t="shared" si="5"/>
        <v>0</v>
      </c>
      <c r="V13" s="578">
        <f t="shared" si="6"/>
        <v>0</v>
      </c>
      <c r="W13" s="578">
        <f t="shared" si="7"/>
        <v>0</v>
      </c>
      <c r="X13" s="578">
        <f t="shared" si="8"/>
        <v>0</v>
      </c>
      <c r="Y13" s="578">
        <f t="shared" si="9"/>
        <v>0</v>
      </c>
      <c r="Z13" s="578">
        <f t="shared" si="10"/>
        <v>0</v>
      </c>
      <c r="AA13" s="578">
        <f t="shared" si="11"/>
        <v>0</v>
      </c>
      <c r="AB13" s="578">
        <f t="shared" si="12"/>
        <v>0</v>
      </c>
      <c r="AC13"/>
      <c r="AD13"/>
      <c r="AE13"/>
      <c r="AF13"/>
      <c r="AG13"/>
      <c r="AH13"/>
      <c r="AI13"/>
      <c r="AJ13" s="577"/>
      <c r="AK13" s="577"/>
      <c r="AL13" s="577"/>
      <c r="AM13" s="577"/>
    </row>
    <row r="14" spans="1:39" s="457" customFormat="1" ht="12.75" customHeight="1">
      <c r="A14" s="739">
        <f t="shared" si="13"/>
        <v>2107</v>
      </c>
      <c r="B14" s="783"/>
      <c r="C14" s="558"/>
      <c r="D14" s="558"/>
      <c r="E14" s="512"/>
      <c r="F14" s="557"/>
      <c r="G14" s="896"/>
      <c r="H14" s="573"/>
      <c r="I14" s="573"/>
      <c r="J14" s="505"/>
      <c r="K14" s="505"/>
      <c r="L14" s="505"/>
      <c r="M14" s="505"/>
      <c r="N14" s="505"/>
      <c r="O14" s="505"/>
      <c r="P14" s="505"/>
      <c r="Q14" s="576">
        <f t="shared" si="2"/>
        <v>0</v>
      </c>
      <c r="R14" s="575">
        <f t="shared" si="0"/>
        <v>0</v>
      </c>
      <c r="S14" s="576">
        <f t="shared" si="3"/>
        <v>0</v>
      </c>
      <c r="T14" s="575">
        <f t="shared" si="4"/>
        <v>0</v>
      </c>
      <c r="U14" s="578">
        <f t="shared" si="5"/>
        <v>0</v>
      </c>
      <c r="V14" s="578">
        <f t="shared" si="6"/>
        <v>0</v>
      </c>
      <c r="W14" s="578">
        <f t="shared" si="7"/>
        <v>0</v>
      </c>
      <c r="X14" s="578">
        <f t="shared" si="8"/>
        <v>0</v>
      </c>
      <c r="Y14" s="578">
        <f t="shared" si="9"/>
        <v>0</v>
      </c>
      <c r="Z14" s="578">
        <f t="shared" si="10"/>
        <v>0</v>
      </c>
      <c r="AA14" s="578">
        <f t="shared" si="11"/>
        <v>0</v>
      </c>
      <c r="AB14" s="578">
        <f t="shared" si="12"/>
        <v>0</v>
      </c>
      <c r="AC14"/>
      <c r="AD14"/>
      <c r="AE14"/>
      <c r="AF14"/>
      <c r="AG14"/>
      <c r="AH14"/>
      <c r="AI14"/>
      <c r="AJ14" s="577"/>
      <c r="AK14" s="577"/>
      <c r="AL14" s="577"/>
      <c r="AM14" s="577"/>
    </row>
    <row r="15" spans="1:39" s="457" customFormat="1" ht="12.75" customHeight="1">
      <c r="A15" s="739">
        <f t="shared" si="13"/>
        <v>2108</v>
      </c>
      <c r="B15" s="783"/>
      <c r="C15" s="558"/>
      <c r="D15" s="558"/>
      <c r="E15" s="512"/>
      <c r="F15" s="557"/>
      <c r="G15" s="896"/>
      <c r="H15" s="573"/>
      <c r="I15" s="573"/>
      <c r="J15" s="505"/>
      <c r="K15" s="505"/>
      <c r="L15" s="505"/>
      <c r="M15" s="505"/>
      <c r="N15" s="505"/>
      <c r="O15" s="505"/>
      <c r="P15" s="505"/>
      <c r="Q15" s="576">
        <f t="shared" si="2"/>
        <v>0</v>
      </c>
      <c r="R15" s="575">
        <f t="shared" si="0"/>
        <v>0</v>
      </c>
      <c r="S15" s="576">
        <f t="shared" si="3"/>
        <v>0</v>
      </c>
      <c r="T15" s="575">
        <f t="shared" si="4"/>
        <v>0</v>
      </c>
      <c r="U15" s="578">
        <f t="shared" si="5"/>
        <v>0</v>
      </c>
      <c r="V15" s="578">
        <f t="shared" si="6"/>
        <v>0</v>
      </c>
      <c r="W15" s="578">
        <f t="shared" si="7"/>
        <v>0</v>
      </c>
      <c r="X15" s="578">
        <f t="shared" si="8"/>
        <v>0</v>
      </c>
      <c r="Y15" s="578">
        <f t="shared" si="9"/>
        <v>0</v>
      </c>
      <c r="Z15" s="578">
        <f t="shared" si="10"/>
        <v>0</v>
      </c>
      <c r="AA15" s="578">
        <f t="shared" si="11"/>
        <v>0</v>
      </c>
      <c r="AB15" s="578">
        <f t="shared" si="12"/>
        <v>0</v>
      </c>
      <c r="AC15"/>
      <c r="AD15"/>
      <c r="AE15"/>
      <c r="AF15"/>
      <c r="AG15"/>
      <c r="AH15"/>
      <c r="AI15"/>
      <c r="AJ15" s="577"/>
      <c r="AK15" s="577"/>
      <c r="AL15" s="577"/>
      <c r="AM15" s="577"/>
    </row>
    <row r="16" spans="1:39" s="457" customFormat="1" ht="12.75" customHeight="1">
      <c r="A16" s="739">
        <f t="shared" si="13"/>
        <v>2109</v>
      </c>
      <c r="B16" s="783"/>
      <c r="C16" s="558"/>
      <c r="D16" s="558"/>
      <c r="E16" s="512"/>
      <c r="F16" s="557"/>
      <c r="G16" s="896"/>
      <c r="H16" s="573"/>
      <c r="I16" s="573"/>
      <c r="J16" s="505"/>
      <c r="K16" s="505"/>
      <c r="L16" s="505"/>
      <c r="M16" s="505"/>
      <c r="N16" s="505"/>
      <c r="O16" s="505"/>
      <c r="P16" s="505"/>
      <c r="Q16" s="576">
        <f t="shared" si="2"/>
        <v>0</v>
      </c>
      <c r="R16" s="575">
        <f t="shared" si="0"/>
        <v>0</v>
      </c>
      <c r="S16" s="576">
        <f t="shared" si="3"/>
        <v>0</v>
      </c>
      <c r="T16" s="575">
        <f t="shared" si="4"/>
        <v>0</v>
      </c>
      <c r="U16" s="578">
        <f t="shared" si="5"/>
        <v>0</v>
      </c>
      <c r="V16" s="578">
        <f t="shared" si="6"/>
        <v>0</v>
      </c>
      <c r="W16" s="578">
        <f t="shared" si="7"/>
        <v>0</v>
      </c>
      <c r="X16" s="578">
        <f t="shared" si="8"/>
        <v>0</v>
      </c>
      <c r="Y16" s="578">
        <f t="shared" si="9"/>
        <v>0</v>
      </c>
      <c r="Z16" s="578">
        <f t="shared" si="10"/>
        <v>0</v>
      </c>
      <c r="AA16" s="578">
        <f t="shared" si="11"/>
        <v>0</v>
      </c>
      <c r="AB16" s="578">
        <f t="shared" si="12"/>
        <v>0</v>
      </c>
      <c r="AC16"/>
      <c r="AD16"/>
      <c r="AE16"/>
      <c r="AF16"/>
      <c r="AG16"/>
      <c r="AH16"/>
      <c r="AI16"/>
      <c r="AJ16" s="577"/>
      <c r="AK16" s="577"/>
      <c r="AL16" s="577"/>
      <c r="AM16" s="577"/>
    </row>
    <row r="17" spans="1:39" s="457" customFormat="1" ht="12.75" customHeight="1">
      <c r="A17" s="739">
        <f t="shared" si="13"/>
        <v>2110</v>
      </c>
      <c r="B17" s="783"/>
      <c r="C17" s="558"/>
      <c r="D17" s="558"/>
      <c r="E17" s="512"/>
      <c r="F17" s="557"/>
      <c r="G17" s="896"/>
      <c r="H17" s="573"/>
      <c r="I17" s="573"/>
      <c r="J17" s="505"/>
      <c r="K17" s="505"/>
      <c r="L17" s="505"/>
      <c r="M17" s="505"/>
      <c r="N17" s="505"/>
      <c r="O17" s="505"/>
      <c r="P17" s="505"/>
      <c r="Q17" s="576">
        <f t="shared" si="2"/>
        <v>0</v>
      </c>
      <c r="R17" s="575">
        <f t="shared" si="0"/>
        <v>0</v>
      </c>
      <c r="S17" s="576">
        <f t="shared" si="3"/>
        <v>0</v>
      </c>
      <c r="T17" s="575">
        <f t="shared" si="4"/>
        <v>0</v>
      </c>
      <c r="U17" s="578">
        <f t="shared" si="5"/>
        <v>0</v>
      </c>
      <c r="V17" s="578">
        <f t="shared" si="6"/>
        <v>0</v>
      </c>
      <c r="W17" s="578">
        <f t="shared" si="7"/>
        <v>0</v>
      </c>
      <c r="X17" s="578">
        <f t="shared" si="8"/>
        <v>0</v>
      </c>
      <c r="Y17" s="578">
        <f t="shared" si="9"/>
        <v>0</v>
      </c>
      <c r="Z17" s="578">
        <f t="shared" si="10"/>
        <v>0</v>
      </c>
      <c r="AA17" s="578">
        <f t="shared" si="11"/>
        <v>0</v>
      </c>
      <c r="AB17" s="578">
        <f t="shared" si="12"/>
        <v>0</v>
      </c>
      <c r="AC17"/>
      <c r="AD17"/>
      <c r="AE17"/>
      <c r="AF17"/>
      <c r="AG17"/>
      <c r="AH17"/>
      <c r="AI17"/>
      <c r="AJ17" s="577"/>
      <c r="AK17" s="577"/>
      <c r="AL17" s="577"/>
      <c r="AM17" s="577"/>
    </row>
    <row r="18" spans="1:39" s="457" customFormat="1" ht="12.75" customHeight="1">
      <c r="A18" s="739">
        <f aca="true" t="shared" si="14" ref="A18:A23">A17+1</f>
        <v>2111</v>
      </c>
      <c r="B18" s="783"/>
      <c r="C18" s="558"/>
      <c r="D18" s="558"/>
      <c r="E18" s="512"/>
      <c r="F18" s="557"/>
      <c r="G18" s="896"/>
      <c r="H18" s="573"/>
      <c r="I18" s="573"/>
      <c r="J18" s="505"/>
      <c r="K18" s="505"/>
      <c r="L18" s="505"/>
      <c r="M18" s="505"/>
      <c r="N18" s="505"/>
      <c r="O18" s="505"/>
      <c r="P18" s="505"/>
      <c r="Q18" s="576">
        <f t="shared" si="2"/>
        <v>0</v>
      </c>
      <c r="R18" s="575">
        <f t="shared" si="0"/>
        <v>0</v>
      </c>
      <c r="S18" s="576">
        <f t="shared" si="3"/>
        <v>0</v>
      </c>
      <c r="T18" s="575">
        <f t="shared" si="4"/>
        <v>0</v>
      </c>
      <c r="U18" s="578">
        <f t="shared" si="5"/>
        <v>0</v>
      </c>
      <c r="V18" s="578">
        <f t="shared" si="6"/>
        <v>0</v>
      </c>
      <c r="W18" s="578">
        <f t="shared" si="7"/>
        <v>0</v>
      </c>
      <c r="X18" s="578">
        <f t="shared" si="8"/>
        <v>0</v>
      </c>
      <c r="Y18" s="578">
        <f t="shared" si="9"/>
        <v>0</v>
      </c>
      <c r="Z18" s="578">
        <f t="shared" si="10"/>
        <v>0</v>
      </c>
      <c r="AA18" s="578">
        <f t="shared" si="11"/>
        <v>0</v>
      </c>
      <c r="AB18" s="578">
        <f t="shared" si="12"/>
        <v>0</v>
      </c>
      <c r="AC18"/>
      <c r="AD18"/>
      <c r="AE18"/>
      <c r="AF18"/>
      <c r="AG18"/>
      <c r="AH18"/>
      <c r="AI18"/>
      <c r="AJ18" s="577"/>
      <c r="AK18" s="577"/>
      <c r="AL18" s="577"/>
      <c r="AM18" s="577"/>
    </row>
    <row r="19" spans="1:39" s="457" customFormat="1" ht="12.75" customHeight="1">
      <c r="A19" s="739">
        <f t="shared" si="14"/>
        <v>2112</v>
      </c>
      <c r="B19" s="783"/>
      <c r="C19" s="558"/>
      <c r="D19" s="558"/>
      <c r="E19" s="512"/>
      <c r="F19" s="557"/>
      <c r="G19" s="896"/>
      <c r="H19" s="573"/>
      <c r="I19" s="573"/>
      <c r="J19" s="505"/>
      <c r="K19" s="505"/>
      <c r="L19" s="505"/>
      <c r="M19" s="505"/>
      <c r="N19" s="505"/>
      <c r="O19" s="505"/>
      <c r="P19" s="505"/>
      <c r="Q19" s="576">
        <f t="shared" si="2"/>
        <v>0</v>
      </c>
      <c r="R19" s="575">
        <f t="shared" si="0"/>
        <v>0</v>
      </c>
      <c r="S19" s="576">
        <f t="shared" si="3"/>
        <v>0</v>
      </c>
      <c r="T19" s="575">
        <f t="shared" si="4"/>
        <v>0</v>
      </c>
      <c r="U19" s="578">
        <f t="shared" si="5"/>
        <v>0</v>
      </c>
      <c r="V19" s="578">
        <f t="shared" si="6"/>
        <v>0</v>
      </c>
      <c r="W19" s="578">
        <f t="shared" si="7"/>
        <v>0</v>
      </c>
      <c r="X19" s="578">
        <f t="shared" si="8"/>
        <v>0</v>
      </c>
      <c r="Y19" s="578">
        <f t="shared" si="9"/>
        <v>0</v>
      </c>
      <c r="Z19" s="578">
        <f t="shared" si="10"/>
        <v>0</v>
      </c>
      <c r="AA19" s="578">
        <f t="shared" si="11"/>
        <v>0</v>
      </c>
      <c r="AB19" s="578">
        <f t="shared" si="12"/>
        <v>0</v>
      </c>
      <c r="AC19"/>
      <c r="AD19"/>
      <c r="AE19"/>
      <c r="AF19"/>
      <c r="AG19"/>
      <c r="AH19"/>
      <c r="AI19"/>
      <c r="AJ19" s="577"/>
      <c r="AK19" s="577"/>
      <c r="AL19" s="577"/>
      <c r="AM19" s="577"/>
    </row>
    <row r="20" spans="1:39" s="457" customFormat="1" ht="12.75" customHeight="1">
      <c r="A20" s="739">
        <f t="shared" si="14"/>
        <v>2113</v>
      </c>
      <c r="B20" s="783"/>
      <c r="C20" s="558"/>
      <c r="D20" s="558"/>
      <c r="E20" s="512"/>
      <c r="F20" s="557"/>
      <c r="G20" s="896"/>
      <c r="H20" s="573"/>
      <c r="I20" s="573"/>
      <c r="J20" s="505"/>
      <c r="K20" s="505"/>
      <c r="L20" s="505"/>
      <c r="M20" s="505"/>
      <c r="N20" s="505"/>
      <c r="O20" s="505"/>
      <c r="P20" s="505"/>
      <c r="Q20" s="576">
        <f t="shared" si="2"/>
        <v>0</v>
      </c>
      <c r="R20" s="575">
        <f t="shared" si="0"/>
        <v>0</v>
      </c>
      <c r="S20" s="576">
        <f t="shared" si="3"/>
        <v>0</v>
      </c>
      <c r="T20" s="575">
        <f t="shared" si="4"/>
        <v>0</v>
      </c>
      <c r="U20" s="578">
        <f t="shared" si="5"/>
        <v>0</v>
      </c>
      <c r="V20" s="578">
        <f t="shared" si="6"/>
        <v>0</v>
      </c>
      <c r="W20" s="578">
        <f t="shared" si="7"/>
        <v>0</v>
      </c>
      <c r="X20" s="578">
        <f t="shared" si="8"/>
        <v>0</v>
      </c>
      <c r="Y20" s="578">
        <f t="shared" si="9"/>
        <v>0</v>
      </c>
      <c r="Z20" s="578">
        <f t="shared" si="10"/>
        <v>0</v>
      </c>
      <c r="AA20" s="578">
        <f t="shared" si="11"/>
        <v>0</v>
      </c>
      <c r="AB20" s="578">
        <f t="shared" si="12"/>
        <v>0</v>
      </c>
      <c r="AC20"/>
      <c r="AD20"/>
      <c r="AE20"/>
      <c r="AF20"/>
      <c r="AG20"/>
      <c r="AH20"/>
      <c r="AI20"/>
      <c r="AJ20" s="577"/>
      <c r="AK20" s="577"/>
      <c r="AL20" s="577"/>
      <c r="AM20" s="577"/>
    </row>
    <row r="21" spans="1:39" s="457" customFormat="1" ht="12.75" customHeight="1">
      <c r="A21" s="739">
        <f t="shared" si="14"/>
        <v>2114</v>
      </c>
      <c r="B21" s="783"/>
      <c r="C21" s="558"/>
      <c r="D21" s="558"/>
      <c r="E21" s="512"/>
      <c r="F21" s="557"/>
      <c r="G21" s="896"/>
      <c r="H21" s="573"/>
      <c r="I21" s="573"/>
      <c r="J21" s="505"/>
      <c r="K21" s="505"/>
      <c r="L21" s="505"/>
      <c r="M21" s="505"/>
      <c r="N21" s="505"/>
      <c r="O21" s="505"/>
      <c r="P21" s="505"/>
      <c r="Q21" s="576">
        <f t="shared" si="2"/>
        <v>0</v>
      </c>
      <c r="R21" s="575">
        <f t="shared" si="0"/>
        <v>0</v>
      </c>
      <c r="S21" s="576">
        <f t="shared" si="3"/>
        <v>0</v>
      </c>
      <c r="T21" s="575">
        <f t="shared" si="4"/>
        <v>0</v>
      </c>
      <c r="U21" s="578">
        <f t="shared" si="5"/>
        <v>0</v>
      </c>
      <c r="V21" s="578">
        <f t="shared" si="6"/>
        <v>0</v>
      </c>
      <c r="W21" s="578">
        <f t="shared" si="7"/>
        <v>0</v>
      </c>
      <c r="X21" s="578">
        <f t="shared" si="8"/>
        <v>0</v>
      </c>
      <c r="Y21" s="578">
        <f t="shared" si="9"/>
        <v>0</v>
      </c>
      <c r="Z21" s="578">
        <f t="shared" si="10"/>
        <v>0</v>
      </c>
      <c r="AA21" s="578">
        <f t="shared" si="11"/>
        <v>0</v>
      </c>
      <c r="AB21" s="578">
        <f t="shared" si="12"/>
        <v>0</v>
      </c>
      <c r="AC21"/>
      <c r="AD21"/>
      <c r="AE21"/>
      <c r="AF21"/>
      <c r="AG21"/>
      <c r="AH21"/>
      <c r="AI21"/>
      <c r="AJ21" s="577"/>
      <c r="AK21" s="577"/>
      <c r="AL21" s="577"/>
      <c r="AM21" s="577"/>
    </row>
    <row r="22" spans="1:39" s="457" customFormat="1" ht="12.75" customHeight="1">
      <c r="A22" s="739">
        <f t="shared" si="14"/>
        <v>2115</v>
      </c>
      <c r="B22" s="783"/>
      <c r="C22" s="558"/>
      <c r="D22" s="558"/>
      <c r="E22" s="512"/>
      <c r="F22" s="557"/>
      <c r="G22" s="896"/>
      <c r="H22" s="573"/>
      <c r="I22" s="573"/>
      <c r="J22" s="505"/>
      <c r="K22" s="505"/>
      <c r="L22" s="505"/>
      <c r="M22" s="505"/>
      <c r="N22" s="505"/>
      <c r="O22" s="505"/>
      <c r="P22" s="505"/>
      <c r="Q22" s="576">
        <f t="shared" si="2"/>
        <v>0</v>
      </c>
      <c r="R22" s="575">
        <f t="shared" si="0"/>
        <v>0</v>
      </c>
      <c r="S22" s="576">
        <f t="shared" si="3"/>
        <v>0</v>
      </c>
      <c r="T22" s="575">
        <f t="shared" si="4"/>
        <v>0</v>
      </c>
      <c r="U22" s="578">
        <f t="shared" si="5"/>
        <v>0</v>
      </c>
      <c r="V22" s="578">
        <f t="shared" si="6"/>
        <v>0</v>
      </c>
      <c r="W22" s="578">
        <f t="shared" si="7"/>
        <v>0</v>
      </c>
      <c r="X22" s="578">
        <f t="shared" si="8"/>
        <v>0</v>
      </c>
      <c r="Y22" s="578">
        <f t="shared" si="9"/>
        <v>0</v>
      </c>
      <c r="Z22" s="578">
        <f t="shared" si="10"/>
        <v>0</v>
      </c>
      <c r="AA22" s="578">
        <f t="shared" si="11"/>
        <v>0</v>
      </c>
      <c r="AB22" s="578">
        <f t="shared" si="12"/>
        <v>0</v>
      </c>
      <c r="AC22"/>
      <c r="AD22"/>
      <c r="AE22"/>
      <c r="AF22"/>
      <c r="AG22"/>
      <c r="AH22"/>
      <c r="AI22"/>
      <c r="AJ22" s="577"/>
      <c r="AK22" s="577"/>
      <c r="AL22" s="577"/>
      <c r="AM22" s="577"/>
    </row>
    <row r="23" spans="1:39" s="457" customFormat="1" ht="12.75" customHeight="1">
      <c r="A23" s="739">
        <f t="shared" si="14"/>
        <v>2116</v>
      </c>
      <c r="B23" s="783"/>
      <c r="C23" s="558"/>
      <c r="D23" s="558"/>
      <c r="E23" s="512"/>
      <c r="F23" s="557"/>
      <c r="G23" s="896"/>
      <c r="H23" s="573"/>
      <c r="I23" s="573"/>
      <c r="J23" s="505"/>
      <c r="K23" s="505"/>
      <c r="L23" s="505"/>
      <c r="M23" s="505"/>
      <c r="N23" s="505"/>
      <c r="O23" s="505"/>
      <c r="P23" s="505"/>
      <c r="Q23" s="576">
        <f t="shared" si="2"/>
        <v>0</v>
      </c>
      <c r="R23" s="575">
        <f t="shared" si="0"/>
        <v>0</v>
      </c>
      <c r="S23" s="576">
        <f t="shared" si="3"/>
        <v>0</v>
      </c>
      <c r="T23" s="575">
        <f t="shared" si="4"/>
        <v>0</v>
      </c>
      <c r="U23" s="578">
        <f t="shared" si="5"/>
        <v>0</v>
      </c>
      <c r="V23" s="578">
        <f t="shared" si="6"/>
        <v>0</v>
      </c>
      <c r="W23" s="578">
        <f t="shared" si="7"/>
        <v>0</v>
      </c>
      <c r="X23" s="578">
        <f t="shared" si="8"/>
        <v>0</v>
      </c>
      <c r="Y23" s="578">
        <f t="shared" si="9"/>
        <v>0</v>
      </c>
      <c r="Z23" s="578">
        <f t="shared" si="10"/>
        <v>0</v>
      </c>
      <c r="AA23" s="578">
        <f t="shared" si="11"/>
        <v>0</v>
      </c>
      <c r="AB23" s="578">
        <f t="shared" si="12"/>
        <v>0</v>
      </c>
      <c r="AC23"/>
      <c r="AD23"/>
      <c r="AE23"/>
      <c r="AF23"/>
      <c r="AG23"/>
      <c r="AH23"/>
      <c r="AI23"/>
      <c r="AJ23" s="577"/>
      <c r="AK23" s="577"/>
      <c r="AL23" s="577"/>
      <c r="AM23" s="577"/>
    </row>
    <row r="24" spans="1:39" s="457" customFormat="1" ht="12.75" customHeight="1">
      <c r="A24" s="739">
        <f aca="true" t="shared" si="15" ref="A24:A34">A23+1</f>
        <v>2117</v>
      </c>
      <c r="B24" s="783"/>
      <c r="C24" s="558"/>
      <c r="D24" s="558"/>
      <c r="E24" s="512"/>
      <c r="F24" s="557"/>
      <c r="G24" s="896"/>
      <c r="H24" s="573"/>
      <c r="I24" s="573"/>
      <c r="J24" s="505"/>
      <c r="K24" s="505"/>
      <c r="L24" s="505"/>
      <c r="M24" s="505"/>
      <c r="N24" s="505"/>
      <c r="O24" s="505"/>
      <c r="P24" s="505"/>
      <c r="Q24" s="576">
        <f t="shared" si="2"/>
        <v>0</v>
      </c>
      <c r="R24" s="575">
        <f t="shared" si="0"/>
        <v>0</v>
      </c>
      <c r="S24" s="576">
        <f t="shared" si="3"/>
        <v>0</v>
      </c>
      <c r="T24" s="575">
        <f t="shared" si="4"/>
        <v>0</v>
      </c>
      <c r="U24" s="578">
        <f t="shared" si="5"/>
        <v>0</v>
      </c>
      <c r="V24" s="578">
        <f t="shared" si="6"/>
        <v>0</v>
      </c>
      <c r="W24" s="578">
        <f t="shared" si="7"/>
        <v>0</v>
      </c>
      <c r="X24" s="578">
        <f t="shared" si="8"/>
        <v>0</v>
      </c>
      <c r="Y24" s="578">
        <f t="shared" si="9"/>
        <v>0</v>
      </c>
      <c r="Z24" s="578">
        <f t="shared" si="10"/>
        <v>0</v>
      </c>
      <c r="AA24" s="578">
        <f t="shared" si="11"/>
        <v>0</v>
      </c>
      <c r="AB24" s="578">
        <f t="shared" si="12"/>
        <v>0</v>
      </c>
      <c r="AC24"/>
      <c r="AD24"/>
      <c r="AE24"/>
      <c r="AF24"/>
      <c r="AG24"/>
      <c r="AH24"/>
      <c r="AI24"/>
      <c r="AJ24" s="577"/>
      <c r="AK24" s="577"/>
      <c r="AL24" s="577"/>
      <c r="AM24" s="577"/>
    </row>
    <row r="25" spans="1:39" s="457" customFormat="1" ht="12.75" customHeight="1">
      <c r="A25" s="739">
        <f t="shared" si="15"/>
        <v>2118</v>
      </c>
      <c r="B25" s="783"/>
      <c r="C25" s="558"/>
      <c r="D25" s="558"/>
      <c r="E25" s="512"/>
      <c r="F25" s="557"/>
      <c r="G25" s="896"/>
      <c r="H25" s="573"/>
      <c r="I25" s="573"/>
      <c r="J25" s="505"/>
      <c r="K25" s="505"/>
      <c r="L25" s="505"/>
      <c r="M25" s="505"/>
      <c r="N25" s="505"/>
      <c r="O25" s="505"/>
      <c r="P25" s="505"/>
      <c r="Q25" s="576">
        <f t="shared" si="2"/>
        <v>0</v>
      </c>
      <c r="R25" s="575">
        <f t="shared" si="0"/>
        <v>0</v>
      </c>
      <c r="S25" s="576">
        <f t="shared" si="3"/>
        <v>0</v>
      </c>
      <c r="T25" s="575">
        <f t="shared" si="4"/>
        <v>0</v>
      </c>
      <c r="U25" s="578">
        <f t="shared" si="5"/>
        <v>0</v>
      </c>
      <c r="V25" s="578">
        <f t="shared" si="6"/>
        <v>0</v>
      </c>
      <c r="W25" s="578">
        <f t="shared" si="7"/>
        <v>0</v>
      </c>
      <c r="X25" s="578">
        <f t="shared" si="8"/>
        <v>0</v>
      </c>
      <c r="Y25" s="578">
        <f t="shared" si="9"/>
        <v>0</v>
      </c>
      <c r="Z25" s="578">
        <f t="shared" si="10"/>
        <v>0</v>
      </c>
      <c r="AA25" s="578">
        <f t="shared" si="11"/>
        <v>0</v>
      </c>
      <c r="AB25" s="578">
        <f t="shared" si="12"/>
        <v>0</v>
      </c>
      <c r="AC25"/>
      <c r="AD25"/>
      <c r="AE25"/>
      <c r="AF25"/>
      <c r="AG25"/>
      <c r="AH25"/>
      <c r="AI25"/>
      <c r="AJ25" s="577"/>
      <c r="AK25" s="577"/>
      <c r="AL25" s="577"/>
      <c r="AM25" s="577"/>
    </row>
    <row r="26" spans="1:39" s="457" customFormat="1" ht="12.75" customHeight="1">
      <c r="A26" s="739">
        <f t="shared" si="15"/>
        <v>2119</v>
      </c>
      <c r="B26" s="783"/>
      <c r="C26" s="558"/>
      <c r="D26" s="558"/>
      <c r="E26" s="512"/>
      <c r="F26" s="557"/>
      <c r="G26" s="896"/>
      <c r="H26" s="573"/>
      <c r="I26" s="573"/>
      <c r="J26" s="505"/>
      <c r="K26" s="505"/>
      <c r="L26" s="505"/>
      <c r="M26" s="505"/>
      <c r="N26" s="505"/>
      <c r="O26" s="505"/>
      <c r="P26" s="505"/>
      <c r="Q26" s="576">
        <f t="shared" si="2"/>
        <v>0</v>
      </c>
      <c r="R26" s="575">
        <f t="shared" si="0"/>
        <v>0</v>
      </c>
      <c r="S26" s="576">
        <f t="shared" si="3"/>
        <v>0</v>
      </c>
      <c r="T26" s="575">
        <f t="shared" si="4"/>
        <v>0</v>
      </c>
      <c r="U26" s="578">
        <f t="shared" si="5"/>
        <v>0</v>
      </c>
      <c r="V26" s="578">
        <f t="shared" si="6"/>
        <v>0</v>
      </c>
      <c r="W26" s="578">
        <f t="shared" si="7"/>
        <v>0</v>
      </c>
      <c r="X26" s="578">
        <f t="shared" si="8"/>
        <v>0</v>
      </c>
      <c r="Y26" s="578">
        <f t="shared" si="9"/>
        <v>0</v>
      </c>
      <c r="Z26" s="578">
        <f t="shared" si="10"/>
        <v>0</v>
      </c>
      <c r="AA26" s="578">
        <f t="shared" si="11"/>
        <v>0</v>
      </c>
      <c r="AB26" s="578">
        <f t="shared" si="12"/>
        <v>0</v>
      </c>
      <c r="AC26"/>
      <c r="AD26"/>
      <c r="AE26"/>
      <c r="AF26"/>
      <c r="AG26"/>
      <c r="AH26"/>
      <c r="AI26"/>
      <c r="AJ26" s="577"/>
      <c r="AK26" s="577"/>
      <c r="AL26" s="577"/>
      <c r="AM26" s="577"/>
    </row>
    <row r="27" spans="1:39" s="457" customFormat="1" ht="12.75" customHeight="1">
      <c r="A27" s="739">
        <f t="shared" si="15"/>
        <v>2120</v>
      </c>
      <c r="B27" s="783"/>
      <c r="C27" s="558"/>
      <c r="D27" s="558"/>
      <c r="E27" s="512"/>
      <c r="F27" s="557"/>
      <c r="G27" s="896"/>
      <c r="H27" s="573"/>
      <c r="I27" s="573"/>
      <c r="J27" s="505"/>
      <c r="K27" s="505"/>
      <c r="L27" s="505"/>
      <c r="M27" s="505"/>
      <c r="N27" s="505"/>
      <c r="O27" s="505"/>
      <c r="P27" s="505"/>
      <c r="Q27" s="576">
        <f t="shared" si="2"/>
        <v>0</v>
      </c>
      <c r="R27" s="575">
        <f t="shared" si="0"/>
        <v>0</v>
      </c>
      <c r="S27" s="576">
        <f t="shared" si="3"/>
        <v>0</v>
      </c>
      <c r="T27" s="575">
        <f t="shared" si="4"/>
        <v>0</v>
      </c>
      <c r="U27" s="578">
        <f t="shared" si="5"/>
        <v>0</v>
      </c>
      <c r="V27" s="578">
        <f t="shared" si="6"/>
        <v>0</v>
      </c>
      <c r="W27" s="578">
        <f t="shared" si="7"/>
        <v>0</v>
      </c>
      <c r="X27" s="578">
        <f t="shared" si="8"/>
        <v>0</v>
      </c>
      <c r="Y27" s="578">
        <f t="shared" si="9"/>
        <v>0</v>
      </c>
      <c r="Z27" s="578">
        <f t="shared" si="10"/>
        <v>0</v>
      </c>
      <c r="AA27" s="578">
        <f t="shared" si="11"/>
        <v>0</v>
      </c>
      <c r="AB27" s="578">
        <f t="shared" si="12"/>
        <v>0</v>
      </c>
      <c r="AC27"/>
      <c r="AD27"/>
      <c r="AE27"/>
      <c r="AF27"/>
      <c r="AG27"/>
      <c r="AH27"/>
      <c r="AI27"/>
      <c r="AJ27" s="577"/>
      <c r="AK27" s="577"/>
      <c r="AL27" s="577"/>
      <c r="AM27" s="577"/>
    </row>
    <row r="28" spans="1:39" s="457" customFormat="1" ht="12.75" customHeight="1">
      <c r="A28" s="739">
        <f t="shared" si="15"/>
        <v>2121</v>
      </c>
      <c r="B28" s="783"/>
      <c r="C28" s="558"/>
      <c r="D28" s="558"/>
      <c r="E28" s="512"/>
      <c r="F28" s="557"/>
      <c r="G28" s="896"/>
      <c r="H28" s="573"/>
      <c r="I28" s="573"/>
      <c r="J28" s="505"/>
      <c r="K28" s="505"/>
      <c r="L28" s="505"/>
      <c r="M28" s="505"/>
      <c r="N28" s="505"/>
      <c r="O28" s="505"/>
      <c r="P28" s="505"/>
      <c r="Q28" s="576">
        <f t="shared" si="2"/>
        <v>0</v>
      </c>
      <c r="R28" s="575">
        <f t="shared" si="0"/>
        <v>0</v>
      </c>
      <c r="S28" s="576">
        <f t="shared" si="3"/>
        <v>0</v>
      </c>
      <c r="T28" s="575">
        <f t="shared" si="4"/>
        <v>0</v>
      </c>
      <c r="U28" s="578">
        <f t="shared" si="5"/>
        <v>0</v>
      </c>
      <c r="V28" s="578">
        <f t="shared" si="6"/>
        <v>0</v>
      </c>
      <c r="W28" s="578">
        <f t="shared" si="7"/>
        <v>0</v>
      </c>
      <c r="X28" s="578">
        <f t="shared" si="8"/>
        <v>0</v>
      </c>
      <c r="Y28" s="578">
        <f t="shared" si="9"/>
        <v>0</v>
      </c>
      <c r="Z28" s="578">
        <f t="shared" si="10"/>
        <v>0</v>
      </c>
      <c r="AA28" s="578">
        <f t="shared" si="11"/>
        <v>0</v>
      </c>
      <c r="AB28" s="578">
        <f t="shared" si="12"/>
        <v>0</v>
      </c>
      <c r="AC28"/>
      <c r="AD28"/>
      <c r="AE28"/>
      <c r="AF28"/>
      <c r="AG28"/>
      <c r="AH28"/>
      <c r="AI28"/>
      <c r="AJ28" s="577"/>
      <c r="AK28" s="577"/>
      <c r="AL28" s="577"/>
      <c r="AM28" s="577"/>
    </row>
    <row r="29" spans="1:39" s="457" customFormat="1" ht="12.75" customHeight="1">
      <c r="A29" s="739">
        <f t="shared" si="15"/>
        <v>2122</v>
      </c>
      <c r="B29" s="783"/>
      <c r="C29" s="558"/>
      <c r="D29" s="558"/>
      <c r="E29" s="512"/>
      <c r="F29" s="557"/>
      <c r="G29" s="896"/>
      <c r="H29" s="573"/>
      <c r="I29" s="573"/>
      <c r="J29" s="505"/>
      <c r="K29" s="505"/>
      <c r="L29" s="505"/>
      <c r="M29" s="505"/>
      <c r="N29" s="505"/>
      <c r="O29" s="505"/>
      <c r="P29" s="505"/>
      <c r="Q29" s="576">
        <f t="shared" si="2"/>
        <v>0</v>
      </c>
      <c r="R29" s="575">
        <f t="shared" si="0"/>
        <v>0</v>
      </c>
      <c r="S29" s="576">
        <f t="shared" si="3"/>
        <v>0</v>
      </c>
      <c r="T29" s="575">
        <f t="shared" si="4"/>
        <v>0</v>
      </c>
      <c r="U29" s="578">
        <f t="shared" si="5"/>
        <v>0</v>
      </c>
      <c r="V29" s="578">
        <f t="shared" si="6"/>
        <v>0</v>
      </c>
      <c r="W29" s="578">
        <f t="shared" si="7"/>
        <v>0</v>
      </c>
      <c r="X29" s="578">
        <f t="shared" si="8"/>
        <v>0</v>
      </c>
      <c r="Y29" s="578">
        <f t="shared" si="9"/>
        <v>0</v>
      </c>
      <c r="Z29" s="578">
        <f t="shared" si="10"/>
        <v>0</v>
      </c>
      <c r="AA29" s="578">
        <f t="shared" si="11"/>
        <v>0</v>
      </c>
      <c r="AB29" s="578">
        <f t="shared" si="12"/>
        <v>0</v>
      </c>
      <c r="AC29"/>
      <c r="AD29"/>
      <c r="AE29"/>
      <c r="AF29"/>
      <c r="AG29"/>
      <c r="AH29"/>
      <c r="AI29"/>
      <c r="AJ29" s="577"/>
      <c r="AK29" s="577"/>
      <c r="AL29" s="577"/>
      <c r="AM29" s="577"/>
    </row>
    <row r="30" spans="1:39" s="457" customFormat="1" ht="12.75" customHeight="1">
      <c r="A30" s="739">
        <f t="shared" si="15"/>
        <v>2123</v>
      </c>
      <c r="B30" s="783"/>
      <c r="C30" s="558"/>
      <c r="D30" s="558"/>
      <c r="E30" s="512"/>
      <c r="F30" s="557"/>
      <c r="G30" s="896"/>
      <c r="H30" s="573"/>
      <c r="I30" s="573"/>
      <c r="J30" s="505"/>
      <c r="K30" s="505"/>
      <c r="L30" s="505"/>
      <c r="M30" s="505"/>
      <c r="N30" s="505"/>
      <c r="O30" s="505"/>
      <c r="P30" s="505"/>
      <c r="Q30" s="576">
        <f t="shared" si="2"/>
        <v>0</v>
      </c>
      <c r="R30" s="575">
        <f t="shared" si="0"/>
        <v>0</v>
      </c>
      <c r="S30" s="576">
        <f t="shared" si="3"/>
        <v>0</v>
      </c>
      <c r="T30" s="575">
        <f t="shared" si="4"/>
        <v>0</v>
      </c>
      <c r="U30" s="578">
        <f aca="true" t="shared" si="16" ref="U30:Z31">IF(K30&gt;0,1,0)</f>
        <v>0</v>
      </c>
      <c r="V30" s="578">
        <f t="shared" si="16"/>
        <v>0</v>
      </c>
      <c r="W30" s="578">
        <f t="shared" si="16"/>
        <v>0</v>
      </c>
      <c r="X30" s="578">
        <f t="shared" si="16"/>
        <v>0</v>
      </c>
      <c r="Y30" s="578">
        <f t="shared" si="16"/>
        <v>0</v>
      </c>
      <c r="Z30" s="578">
        <f t="shared" si="16"/>
        <v>0</v>
      </c>
      <c r="AA30" s="578">
        <f>SUM(U30:Z30)</f>
        <v>0</v>
      </c>
      <c r="AB30" s="578">
        <f t="shared" si="12"/>
        <v>0</v>
      </c>
      <c r="AC30"/>
      <c r="AD30"/>
      <c r="AE30"/>
      <c r="AF30"/>
      <c r="AG30"/>
      <c r="AH30"/>
      <c r="AI30"/>
      <c r="AJ30" s="577"/>
      <c r="AK30" s="577"/>
      <c r="AL30" s="577"/>
      <c r="AM30" s="577"/>
    </row>
    <row r="31" spans="1:39" s="457" customFormat="1" ht="12.75" customHeight="1">
      <c r="A31" s="739">
        <f t="shared" si="15"/>
        <v>2124</v>
      </c>
      <c r="B31" s="783"/>
      <c r="C31" s="558"/>
      <c r="D31" s="558"/>
      <c r="E31" s="512"/>
      <c r="F31" s="557"/>
      <c r="G31" s="896"/>
      <c r="H31" s="573"/>
      <c r="I31" s="573"/>
      <c r="J31" s="505"/>
      <c r="K31" s="505"/>
      <c r="L31" s="505"/>
      <c r="M31" s="505"/>
      <c r="N31" s="505"/>
      <c r="O31" s="505"/>
      <c r="P31" s="505"/>
      <c r="Q31" s="576">
        <f t="shared" si="2"/>
        <v>0</v>
      </c>
      <c r="R31" s="575">
        <f t="shared" si="0"/>
        <v>0</v>
      </c>
      <c r="S31" s="576">
        <f t="shared" si="3"/>
        <v>0</v>
      </c>
      <c r="T31" s="575">
        <f t="shared" si="4"/>
        <v>0</v>
      </c>
      <c r="U31" s="578">
        <f t="shared" si="16"/>
        <v>0</v>
      </c>
      <c r="V31" s="578">
        <f t="shared" si="16"/>
        <v>0</v>
      </c>
      <c r="W31" s="578">
        <f t="shared" si="16"/>
        <v>0</v>
      </c>
      <c r="X31" s="578">
        <f t="shared" si="16"/>
        <v>0</v>
      </c>
      <c r="Y31" s="578">
        <f t="shared" si="16"/>
        <v>0</v>
      </c>
      <c r="Z31" s="578">
        <f t="shared" si="16"/>
        <v>0</v>
      </c>
      <c r="AA31" s="578">
        <f>SUM(U31:Z31)</f>
        <v>0</v>
      </c>
      <c r="AB31" s="578">
        <f t="shared" si="12"/>
        <v>0</v>
      </c>
      <c r="AC31"/>
      <c r="AD31"/>
      <c r="AE31"/>
      <c r="AF31"/>
      <c r="AG31"/>
      <c r="AH31"/>
      <c r="AI31"/>
      <c r="AJ31" s="577"/>
      <c r="AK31" s="577"/>
      <c r="AL31" s="577"/>
      <c r="AM31" s="577"/>
    </row>
    <row r="32" spans="1:39" s="457" customFormat="1" ht="12.75" customHeight="1">
      <c r="A32" s="739">
        <f t="shared" si="15"/>
        <v>2125</v>
      </c>
      <c r="B32" s="783"/>
      <c r="C32" s="558"/>
      <c r="D32" s="558"/>
      <c r="E32" s="512"/>
      <c r="F32" s="557"/>
      <c r="G32" s="896"/>
      <c r="H32" s="573"/>
      <c r="I32" s="573"/>
      <c r="J32" s="505"/>
      <c r="K32" s="505"/>
      <c r="L32" s="505"/>
      <c r="M32" s="505"/>
      <c r="N32" s="505"/>
      <c r="O32" s="505"/>
      <c r="P32" s="505"/>
      <c r="Q32" s="576">
        <f t="shared" si="2"/>
        <v>0</v>
      </c>
      <c r="R32" s="575">
        <f t="shared" si="0"/>
        <v>0</v>
      </c>
      <c r="S32" s="576">
        <f t="shared" si="3"/>
        <v>0</v>
      </c>
      <c r="T32" s="575">
        <f t="shared" si="4"/>
        <v>0</v>
      </c>
      <c r="U32" s="578">
        <f t="shared" si="5"/>
        <v>0</v>
      </c>
      <c r="V32" s="578">
        <f t="shared" si="6"/>
        <v>0</v>
      </c>
      <c r="W32" s="578">
        <f t="shared" si="7"/>
        <v>0</v>
      </c>
      <c r="X32" s="578">
        <f t="shared" si="8"/>
        <v>0</v>
      </c>
      <c r="Y32" s="578">
        <f t="shared" si="9"/>
        <v>0</v>
      </c>
      <c r="Z32" s="578">
        <f t="shared" si="10"/>
        <v>0</v>
      </c>
      <c r="AA32" s="578">
        <f t="shared" si="11"/>
        <v>0</v>
      </c>
      <c r="AB32" s="578">
        <f t="shared" si="12"/>
        <v>0</v>
      </c>
      <c r="AC32"/>
      <c r="AD32"/>
      <c r="AE32"/>
      <c r="AF32"/>
      <c r="AG32"/>
      <c r="AH32"/>
      <c r="AI32"/>
      <c r="AJ32" s="577"/>
      <c r="AK32" s="577"/>
      <c r="AL32" s="577"/>
      <c r="AM32" s="577"/>
    </row>
    <row r="33" spans="1:39" s="457" customFormat="1" ht="12.75" customHeight="1">
      <c r="A33" s="739">
        <f t="shared" si="15"/>
        <v>2126</v>
      </c>
      <c r="B33" s="783"/>
      <c r="C33" s="558"/>
      <c r="D33" s="558"/>
      <c r="E33" s="512"/>
      <c r="F33" s="557"/>
      <c r="G33" s="896"/>
      <c r="H33" s="573"/>
      <c r="I33" s="573"/>
      <c r="J33" s="505"/>
      <c r="K33" s="505"/>
      <c r="L33" s="505"/>
      <c r="M33" s="505"/>
      <c r="N33" s="505"/>
      <c r="O33" s="505"/>
      <c r="P33" s="505"/>
      <c r="Q33" s="576">
        <f t="shared" si="2"/>
        <v>0</v>
      </c>
      <c r="R33" s="575">
        <f t="shared" si="0"/>
        <v>0</v>
      </c>
      <c r="S33" s="576">
        <f t="shared" si="3"/>
        <v>0</v>
      </c>
      <c r="T33" s="575">
        <f t="shared" si="4"/>
        <v>0</v>
      </c>
      <c r="U33" s="578">
        <f t="shared" si="5"/>
        <v>0</v>
      </c>
      <c r="V33" s="578">
        <f t="shared" si="6"/>
        <v>0</v>
      </c>
      <c r="W33" s="578">
        <f t="shared" si="7"/>
        <v>0</v>
      </c>
      <c r="X33" s="578">
        <f t="shared" si="8"/>
        <v>0</v>
      </c>
      <c r="Y33" s="578">
        <f t="shared" si="9"/>
        <v>0</v>
      </c>
      <c r="Z33" s="578">
        <f t="shared" si="10"/>
        <v>0</v>
      </c>
      <c r="AA33" s="578">
        <f t="shared" si="11"/>
        <v>0</v>
      </c>
      <c r="AB33" s="578">
        <f t="shared" si="12"/>
        <v>0</v>
      </c>
      <c r="AC33"/>
      <c r="AD33"/>
      <c r="AE33"/>
      <c r="AF33"/>
      <c r="AG33"/>
      <c r="AH33"/>
      <c r="AI33"/>
      <c r="AJ33" s="577"/>
      <c r="AK33" s="577"/>
      <c r="AL33" s="577"/>
      <c r="AM33" s="577"/>
    </row>
    <row r="34" spans="1:39" s="457" customFormat="1" ht="12.75" customHeight="1">
      <c r="A34" s="739">
        <f t="shared" si="15"/>
        <v>2127</v>
      </c>
      <c r="B34" s="784"/>
      <c r="C34" s="785"/>
      <c r="D34" s="785"/>
      <c r="E34" s="786"/>
      <c r="F34" s="787"/>
      <c r="G34" s="897"/>
      <c r="H34" s="573"/>
      <c r="I34" s="573"/>
      <c r="J34" s="505"/>
      <c r="K34" s="505"/>
      <c r="L34" s="505"/>
      <c r="M34" s="505"/>
      <c r="N34" s="505"/>
      <c r="O34" s="505"/>
      <c r="P34" s="505"/>
      <c r="Q34" s="576">
        <f t="shared" si="2"/>
        <v>0</v>
      </c>
      <c r="R34" s="575">
        <f t="shared" si="0"/>
        <v>0</v>
      </c>
      <c r="S34" s="576">
        <f t="shared" si="3"/>
        <v>0</v>
      </c>
      <c r="T34" s="575">
        <f t="shared" si="4"/>
        <v>0</v>
      </c>
      <c r="U34" s="578">
        <f t="shared" si="5"/>
        <v>0</v>
      </c>
      <c r="V34" s="578">
        <f t="shared" si="6"/>
        <v>0</v>
      </c>
      <c r="W34" s="578">
        <f t="shared" si="7"/>
        <v>0</v>
      </c>
      <c r="X34" s="578">
        <f t="shared" si="8"/>
        <v>0</v>
      </c>
      <c r="Y34" s="578">
        <f t="shared" si="9"/>
        <v>0</v>
      </c>
      <c r="Z34" s="578">
        <f t="shared" si="10"/>
        <v>0</v>
      </c>
      <c r="AA34" s="578">
        <f t="shared" si="11"/>
        <v>0</v>
      </c>
      <c r="AB34" s="578">
        <f t="shared" si="12"/>
        <v>0</v>
      </c>
      <c r="AC34"/>
      <c r="AD34"/>
      <c r="AE34"/>
      <c r="AF34"/>
      <c r="AG34"/>
      <c r="AH34"/>
      <c r="AI34"/>
      <c r="AJ34" s="577"/>
      <c r="AK34" s="577"/>
      <c r="AL34" s="577"/>
      <c r="AM34" s="577"/>
    </row>
    <row r="35" spans="1:39" s="457" customFormat="1" ht="12.75" customHeight="1">
      <c r="A35" s="739">
        <f>A34+1</f>
        <v>2128</v>
      </c>
      <c r="B35" s="816" t="str">
        <f>CONCATENATE("Sub(totaal) regel ",A8," t/m ",A34)</f>
        <v>Sub(totaal) regel 2101 t/m 2127</v>
      </c>
      <c r="C35" s="816"/>
      <c r="D35" s="831"/>
      <c r="E35" s="749"/>
      <c r="F35" s="829"/>
      <c r="G35" s="830"/>
      <c r="H35" s="817">
        <f>SUM(H8:H34)</f>
        <v>0</v>
      </c>
      <c r="I35" s="818">
        <f>AB35</f>
        <v>0</v>
      </c>
      <c r="J35" s="813"/>
      <c r="K35" s="814"/>
      <c r="L35" s="814"/>
      <c r="M35" s="814"/>
      <c r="N35" s="814"/>
      <c r="O35" s="814"/>
      <c r="P35" s="815"/>
      <c r="Q35" s="788">
        <f>SUM(Q8:Q34)</f>
        <v>0</v>
      </c>
      <c r="R35" s="788">
        <f>SUM(R8:R34)</f>
        <v>0</v>
      </c>
      <c r="S35" s="788">
        <f>SUM(S8:S34)</f>
        <v>0</v>
      </c>
      <c r="T35" s="788">
        <f>SUM(T8:T34)</f>
        <v>0</v>
      </c>
      <c r="U35" s="578"/>
      <c r="V35" s="578"/>
      <c r="W35" s="578"/>
      <c r="X35" s="578"/>
      <c r="Y35" s="578"/>
      <c r="Z35" s="578"/>
      <c r="AA35" s="578"/>
      <c r="AB35" s="847">
        <f>SUM(AB8:AB34)</f>
        <v>0</v>
      </c>
      <c r="AC35" s="578"/>
      <c r="AD35" s="577"/>
      <c r="AE35" s="577"/>
      <c r="AF35" s="577"/>
      <c r="AG35" s="577"/>
      <c r="AH35" s="577"/>
      <c r="AI35" s="577"/>
      <c r="AJ35" s="577"/>
      <c r="AK35" s="577"/>
      <c r="AL35" s="577"/>
      <c r="AM35" s="577"/>
    </row>
    <row r="36" spans="1:40" s="457" customFormat="1" ht="12.75" customHeight="1">
      <c r="A36" s="739">
        <f>A35+1</f>
        <v>2129</v>
      </c>
      <c r="B36" s="819" t="s">
        <v>90</v>
      </c>
      <c r="C36" s="820"/>
      <c r="D36" s="820"/>
      <c r="E36" s="820"/>
      <c r="F36" s="820"/>
      <c r="G36" s="820"/>
      <c r="H36" s="821"/>
      <c r="I36" s="821"/>
      <c r="J36" s="821"/>
      <c r="K36" s="821"/>
      <c r="L36" s="821"/>
      <c r="M36" s="821"/>
      <c r="N36" s="821"/>
      <c r="O36" s="821"/>
      <c r="P36" s="822"/>
      <c r="Q36" s="789"/>
      <c r="R36" s="579">
        <v>0</v>
      </c>
      <c r="S36" s="578"/>
      <c r="T36" s="577"/>
      <c r="U36" s="578"/>
      <c r="V36" s="577"/>
      <c r="W36" s="577"/>
      <c r="X36" s="577"/>
      <c r="Y36" s="577"/>
      <c r="Z36" s="577"/>
      <c r="AA36" s="577"/>
      <c r="AB36" s="577"/>
      <c r="AC36" s="578"/>
      <c r="AD36" s="577"/>
      <c r="AE36" s="577"/>
      <c r="AF36" s="577"/>
      <c r="AG36" s="577"/>
      <c r="AH36" s="577"/>
      <c r="AI36" s="577"/>
      <c r="AJ36" s="577"/>
      <c r="AK36" s="577"/>
      <c r="AL36" s="577"/>
      <c r="AM36" s="577"/>
      <c r="AN36" s="577"/>
    </row>
    <row r="37" spans="1:40" s="457" customFormat="1" ht="12.75" customHeight="1">
      <c r="A37" s="739">
        <f>A36+1</f>
        <v>2130</v>
      </c>
      <c r="B37" s="823" t="s">
        <v>74</v>
      </c>
      <c r="C37" s="747"/>
      <c r="D37" s="820"/>
      <c r="E37" s="747"/>
      <c r="F37" s="747"/>
      <c r="G37" s="747"/>
      <c r="H37" s="824"/>
      <c r="I37" s="824"/>
      <c r="J37" s="824"/>
      <c r="K37" s="824"/>
      <c r="L37" s="824"/>
      <c r="M37" s="824"/>
      <c r="N37" s="824"/>
      <c r="O37" s="824"/>
      <c r="P37" s="825"/>
      <c r="Q37" s="790"/>
      <c r="R37" s="575"/>
      <c r="S37" s="577"/>
      <c r="T37" s="577"/>
      <c r="U37" s="577"/>
      <c r="V37" s="577"/>
      <c r="W37" s="577"/>
      <c r="X37" s="577"/>
      <c r="Y37" s="577"/>
      <c r="Z37" s="577"/>
      <c r="AA37" s="577"/>
      <c r="AB37" s="577"/>
      <c r="AC37" s="577"/>
      <c r="AD37" s="577"/>
      <c r="AE37" s="577"/>
      <c r="AF37" s="577"/>
      <c r="AG37" s="577"/>
      <c r="AH37" s="577"/>
      <c r="AI37" s="577"/>
      <c r="AJ37" s="577"/>
      <c r="AK37" s="577"/>
      <c r="AL37" s="577"/>
      <c r="AM37" s="577"/>
      <c r="AN37" s="577"/>
    </row>
    <row r="38" spans="1:40" s="467" customFormat="1" ht="12.75" customHeight="1">
      <c r="A38" s="739">
        <f>A37+1</f>
        <v>2131</v>
      </c>
      <c r="B38" s="779" t="str">
        <f>CONCATENATE("Totaal regel ",A35," t/m ",A37)</f>
        <v>Totaal regel 2128 t/m 2130</v>
      </c>
      <c r="C38" s="776"/>
      <c r="D38" s="826"/>
      <c r="E38" s="826"/>
      <c r="F38" s="826"/>
      <c r="G38" s="826"/>
      <c r="H38" s="827"/>
      <c r="I38" s="827"/>
      <c r="J38" s="827"/>
      <c r="K38" s="827"/>
      <c r="L38" s="827"/>
      <c r="M38" s="827"/>
      <c r="N38" s="827"/>
      <c r="O38" s="827"/>
      <c r="P38" s="828"/>
      <c r="Q38" s="791"/>
      <c r="R38" s="788">
        <f>R35-R36+R37</f>
        <v>0</v>
      </c>
      <c r="S38" s="580"/>
      <c r="T38" s="580"/>
      <c r="U38" s="580"/>
      <c r="V38" s="580"/>
      <c r="W38" s="580"/>
      <c r="X38" s="580"/>
      <c r="Y38" s="580"/>
      <c r="Z38" s="580"/>
      <c r="AA38" s="580"/>
      <c r="AB38" s="580"/>
      <c r="AC38" s="580"/>
      <c r="AD38" s="580"/>
      <c r="AE38" s="580"/>
      <c r="AF38" s="580"/>
      <c r="AG38" s="580"/>
      <c r="AH38" s="580"/>
      <c r="AI38" s="580"/>
      <c r="AJ38" s="580"/>
      <c r="AK38" s="580"/>
      <c r="AL38" s="580"/>
      <c r="AM38" s="580"/>
      <c r="AN38" s="580"/>
    </row>
    <row r="39" spans="1:18" s="457" customFormat="1" ht="12.75" customHeight="1">
      <c r="A39" s="483" t="s">
        <v>434</v>
      </c>
      <c r="B39" s="455"/>
      <c r="C39" s="455"/>
      <c r="D39" s="478"/>
      <c r="E39" s="455"/>
      <c r="F39" s="455"/>
      <c r="G39" s="455"/>
      <c r="H39" s="506"/>
      <c r="I39" s="506"/>
      <c r="J39" s="506"/>
      <c r="K39" s="506"/>
      <c r="L39" s="506"/>
      <c r="M39" s="506"/>
      <c r="N39" s="506"/>
      <c r="O39" s="506"/>
      <c r="P39" s="506"/>
      <c r="Q39" s="506"/>
      <c r="R39" s="494"/>
    </row>
    <row r="40" spans="1:27" ht="15.75" customHeight="1">
      <c r="A40" s="1101" t="s">
        <v>513</v>
      </c>
      <c r="D40" s="435"/>
      <c r="E40" s="435"/>
      <c r="F40" s="435"/>
      <c r="G40" s="435"/>
      <c r="U40" s="440"/>
      <c r="V40" s="441"/>
      <c r="W40" s="440"/>
      <c r="X40" s="440"/>
      <c r="Y40" s="440"/>
      <c r="Z40" s="440"/>
      <c r="AA40" s="440"/>
    </row>
    <row r="41" spans="1:27" s="447" customFormat="1" ht="15.75" customHeight="1">
      <c r="A41" s="6" t="str">
        <f>A2</f>
        <v>Nacalculatieformulier 2004</v>
      </c>
      <c r="B41" s="7"/>
      <c r="C41" s="7"/>
      <c r="D41" s="7"/>
      <c r="E41" s="7"/>
      <c r="F41" s="7"/>
      <c r="G41" s="7"/>
      <c r="H41" s="8"/>
      <c r="I41" s="635"/>
      <c r="J41" s="8"/>
      <c r="K41" s="8"/>
      <c r="L41" s="635"/>
      <c r="M41" s="635"/>
      <c r="N41" s="8"/>
      <c r="O41" s="635"/>
      <c r="P41" s="635"/>
      <c r="Q41" s="8"/>
      <c r="R41" s="809"/>
      <c r="S41" s="10">
        <f>T2+1</f>
        <v>22</v>
      </c>
      <c r="U41" s="448"/>
      <c r="V41" s="449"/>
      <c r="W41" s="448"/>
      <c r="X41" s="448"/>
      <c r="Y41" s="448"/>
      <c r="Z41" s="448"/>
      <c r="AA41" s="448"/>
    </row>
    <row r="42" spans="1:19" s="457" customFormat="1" ht="12.75" customHeight="1">
      <c r="A42" s="624"/>
      <c r="B42" s="663"/>
      <c r="C42" s="663"/>
      <c r="D42" s="167"/>
      <c r="E42" s="663"/>
      <c r="F42" s="663"/>
      <c r="G42" s="663"/>
      <c r="H42" s="168"/>
      <c r="I42" s="168"/>
      <c r="J42" s="168"/>
      <c r="K42" s="168"/>
      <c r="L42" s="168"/>
      <c r="M42" s="168"/>
      <c r="N42" s="168"/>
      <c r="O42" s="168"/>
      <c r="P42" s="168"/>
      <c r="Q42" s="168"/>
      <c r="R42" s="168"/>
      <c r="S42" s="572"/>
    </row>
    <row r="43" spans="1:19" s="457" customFormat="1" ht="12.75" customHeight="1">
      <c r="A43" s="645"/>
      <c r="B43" s="630" t="s">
        <v>414</v>
      </c>
      <c r="C43" s="669"/>
      <c r="D43" s="670"/>
      <c r="E43" s="560"/>
      <c r="F43" s="671"/>
      <c r="G43" s="671"/>
      <c r="H43" s="672"/>
      <c r="I43" s="672"/>
      <c r="J43" s="672"/>
      <c r="K43" s="672"/>
      <c r="L43" s="672"/>
      <c r="M43" s="672"/>
      <c r="N43" s="672"/>
      <c r="O43" s="672"/>
      <c r="P43" s="672"/>
      <c r="Q43" s="673"/>
      <c r="R43" s="622" t="s">
        <v>123</v>
      </c>
      <c r="S43" s="632" t="s">
        <v>409</v>
      </c>
    </row>
    <row r="44" spans="1:19" s="457" customFormat="1" ht="12.75" customHeight="1">
      <c r="A44" s="645"/>
      <c r="B44" s="618"/>
      <c r="C44" s="618"/>
      <c r="D44" s="636"/>
      <c r="E44" s="618"/>
      <c r="F44" s="642"/>
      <c r="G44" s="642"/>
      <c r="H44" s="674"/>
      <c r="I44" s="674"/>
      <c r="J44" s="674"/>
      <c r="K44" s="674"/>
      <c r="L44" s="674"/>
      <c r="M44" s="674"/>
      <c r="N44" s="674"/>
      <c r="O44" s="674"/>
      <c r="P44" s="674"/>
      <c r="Q44" s="674"/>
      <c r="R44" s="675"/>
      <c r="S44" s="623" t="s">
        <v>410</v>
      </c>
    </row>
    <row r="45" spans="1:19" s="507" customFormat="1" ht="12.75" customHeight="1">
      <c r="A45" s="174"/>
      <c r="B45" s="676" t="s">
        <v>415</v>
      </c>
      <c r="C45" s="676"/>
      <c r="D45" s="677"/>
      <c r="E45" s="678"/>
      <c r="F45" s="679"/>
      <c r="G45" s="679"/>
      <c r="H45" s="678"/>
      <c r="I45" s="1391"/>
      <c r="J45" s="1392"/>
      <c r="K45" s="1391"/>
      <c r="L45" s="1392"/>
      <c r="M45" s="1392"/>
      <c r="N45" s="1392"/>
      <c r="O45" s="1392"/>
      <c r="P45" s="1392"/>
      <c r="Q45" s="679"/>
      <c r="R45" s="680"/>
      <c r="S45" s="680"/>
    </row>
    <row r="46" spans="1:28" s="507" customFormat="1" ht="12.75" customHeight="1">
      <c r="A46" s="792">
        <f>S41*100+1</f>
        <v>2201</v>
      </c>
      <c r="B46" s="1394">
        <f>IF(I8=0,H8,(((DATE(Voorblad!$D$3,K8,J8)-DATE(Voorblad!$D$3,1,1))*H8)/Voorblad!L$3))</f>
        <v>0</v>
      </c>
      <c r="C46" s="1394"/>
      <c r="D46" s="1385">
        <f>IF(K8=0,0,(IF(L8=0,((DATE(Voorblad!D$3+1,1,1)-DATE(Voorblad!$D$3,(K8),J8))*(H8-(1*I8)))/Voorblad!L$3,((DATE(Voorblad!$D$3,(L8),J8)-DATE(Voorblad!$D$3,(K8),J8))*(H8-(1*I8)))/Voorblad!L$3)))</f>
        <v>0</v>
      </c>
      <c r="E46" s="1385"/>
      <c r="F46" s="1385">
        <f>IF(L8=0,0,(IF(M8=0,((DATE(Voorblad!D$3+1,1,1)-DATE(Voorblad!$D$3,(L8),J8))*(H8-(2*I8)))/365,((DATE(Voorblad!$D$3,(M8),J8)-DATE(Voorblad!$D$3,(L8),J8))*(H8-(2*I8)))/Voorblad!L$3)))</f>
        <v>0</v>
      </c>
      <c r="G46" s="1385"/>
      <c r="H46" s="508">
        <f>IF(M8=0,0,(IF(N8=0,((DATE(Voorblad!D$3+1,1,1)-DATE(Voorblad!$D$3,(M8),J8))*(H8-(3*I8)))/Voorblad!L$3,((DATE(Voorblad!$D$3,(N8),J8)-DATE(Voorblad!$D$3,(M8),J8))*(H8-(3*I8)))/Voorblad!L$3)))</f>
        <v>0</v>
      </c>
      <c r="I46" s="1385">
        <f>IF(N8=0,0,(IF(O8=0,((DATE(Voorblad!D$3+1,1,1)-DATE(Voorblad!$D$3,(N8),J8))*(H8-(4*I8)))/Voorblad!L$3,((DATE(Voorblad!$D$3,(O8),J8)-DATE(Voorblad!$D$3,(N8),J8))*(H8-(4*I8)))/Voorblad!L$3)))</f>
        <v>0</v>
      </c>
      <c r="J46" s="1385"/>
      <c r="K46" s="1385">
        <f>IF(O8=0,0,(IF(P8=0,((DATE(Voorblad!D$3+1,1,1)-DATE(Voorblad!$D$3,(O8),J8))*(H8-(5*I8)))/Voorblad!L$3,((DATE(Voorblad!$D$3,(P8),J8)-DATE(Voorblad!$D$3,(O8),J8))*(H8-(5*I8)))/Voorblad!L$3)))</f>
        <v>0</v>
      </c>
      <c r="L46" s="1385"/>
      <c r="M46" s="1385"/>
      <c r="N46" s="1385"/>
      <c r="O46" s="1385"/>
      <c r="P46" s="1385"/>
      <c r="Q46" s="509">
        <f>IF(P8=0,0,((DATE(Voorblad!D$3+1,1,1)-DATE(Voorblad!$D$3,(P8),J8))*(H8-(6*I8)))/Voorblad!L$3)</f>
        <v>0</v>
      </c>
      <c r="R46" s="581">
        <f aca="true" t="shared" si="17" ref="R46:R55">SUM(B46:Q46)</f>
        <v>0</v>
      </c>
      <c r="S46" s="576">
        <f>IF(G8="n",R46*(F8/100),R46*(E8/100))</f>
        <v>0</v>
      </c>
      <c r="T46"/>
      <c r="U46"/>
      <c r="V46"/>
      <c r="W46"/>
      <c r="X46"/>
      <c r="Y46"/>
      <c r="Z46"/>
      <c r="AA46" s="510">
        <f aca="true" t="shared" si="18" ref="AA46:AA72">Q46</f>
        <v>0</v>
      </c>
      <c r="AB46" s="510">
        <f aca="true" t="shared" si="19" ref="AB46:AB72">L46</f>
        <v>0</v>
      </c>
    </row>
    <row r="47" spans="1:28" s="507" customFormat="1" ht="12.75" customHeight="1">
      <c r="A47" s="792">
        <f>A46+1</f>
        <v>2202</v>
      </c>
      <c r="B47" s="1394">
        <f>IF(I9=0,H9,(((DATE(Voorblad!$D$3,K9,J9)-DATE(Voorblad!$D$3,1,1))*H9)/Voorblad!L$3))</f>
        <v>0</v>
      </c>
      <c r="C47" s="1394"/>
      <c r="D47" s="1385">
        <f>IF(K9=0,0,(IF(L9=0,((DATE(Voorblad!D$3+1,1,1)-DATE(Voorblad!$D$3,(K9),J9))*(H9-(1*I9)))/Voorblad!L$3,((DATE(Voorblad!$D$3,(L9),J9)-DATE(Voorblad!$D$3,(K9),J9))*(H9-(1*I9)))/Voorblad!L$3)))</f>
        <v>0</v>
      </c>
      <c r="E47" s="1385"/>
      <c r="F47" s="1385">
        <f>IF(L9=0,0,(IF(M9=0,((DATE(Voorblad!D$3+1,1,1)-DATE(Voorblad!$D$3,(L9),J9))*(H9-(2*I9)))/365,((DATE(Voorblad!$D$3,(M9),J9)-DATE(Voorblad!$D$3,(L9),J9))*(H9-(2*I9)))/Voorblad!L$3)))</f>
        <v>0</v>
      </c>
      <c r="G47" s="1385"/>
      <c r="H47" s="508">
        <f>IF(M9=0,0,(IF(N9=0,((DATE(Voorblad!D$3+1,1,1)-DATE(Voorblad!$D$3,(M9),J9))*(H9-(3*I9)))/Voorblad!L$3,((DATE(Voorblad!$D$3,(N9),J9)-DATE(Voorblad!$D$3,(M9),J9))*(H9-(3*I9)))/Voorblad!L$3)))</f>
        <v>0</v>
      </c>
      <c r="I47" s="1385">
        <f>IF(N9=0,0,(IF(O9=0,((DATE(Voorblad!D$3+1,1,1)-DATE(Voorblad!$D$3,(N9),J9))*(H9-(4*I9)))/Voorblad!L$3,((DATE(Voorblad!$D$3,(O9),J9)-DATE(Voorblad!$D$3,(N9),J9))*(H9-(4*I9)))/Voorblad!L$3)))</f>
        <v>0</v>
      </c>
      <c r="J47" s="1385"/>
      <c r="K47" s="1385">
        <f>IF(O9=0,0,(IF(P9=0,((DATE(Voorblad!D$3+1,1,1)-DATE(Voorblad!$D$3,(O9),J9))*(H9-(5*I9)))/Voorblad!L$3,((DATE(Voorblad!$D$3,(P9),J9)-DATE(Voorblad!$D$3,(O9),J9))*(H9-(5*I9)))/Voorblad!L$3)))</f>
        <v>0</v>
      </c>
      <c r="L47" s="1385"/>
      <c r="M47" s="1385"/>
      <c r="N47" s="1385"/>
      <c r="O47" s="1385"/>
      <c r="P47" s="1385"/>
      <c r="Q47" s="509">
        <f>IF(P9=0,0,((DATE(Voorblad!D$3+1,1,1)-DATE(Voorblad!$D$3,(P9),J9))*(H9-(6*I9)))/Voorblad!L$3)</f>
        <v>0</v>
      </c>
      <c r="R47" s="581">
        <f t="shared" si="17"/>
        <v>0</v>
      </c>
      <c r="S47" s="576">
        <f aca="true" t="shared" si="20" ref="S47:S72">IF(G9="n",R47*(F9/100),R47*(E9/100))</f>
        <v>0</v>
      </c>
      <c r="T47"/>
      <c r="U47"/>
      <c r="V47"/>
      <c r="W47"/>
      <c r="X47"/>
      <c r="Y47"/>
      <c r="Z47"/>
      <c r="AA47" s="510">
        <f t="shared" si="18"/>
        <v>0</v>
      </c>
      <c r="AB47" s="510">
        <f t="shared" si="19"/>
        <v>0</v>
      </c>
    </row>
    <row r="48" spans="1:28" s="507" customFormat="1" ht="12.75" customHeight="1">
      <c r="A48" s="792">
        <f>A47+1</f>
        <v>2203</v>
      </c>
      <c r="B48" s="1394">
        <f>IF(I10=0,H10,(((DATE(Voorblad!$D$3,K10,J10)-DATE(Voorblad!$D$3,1,1))*H10)/Voorblad!L$3))</f>
        <v>0</v>
      </c>
      <c r="C48" s="1394"/>
      <c r="D48" s="1385">
        <f>IF(K10=0,0,(IF(L10=0,((DATE(Voorblad!D$3+1,1,1)-DATE(Voorblad!$D$3,(K10),J10))*(H10-(1*I10)))/Voorblad!L$3,((DATE(Voorblad!$D$3,(L10),J10)-DATE(Voorblad!$D$3,(K10),J10))*(H10-(1*I10)))/Voorblad!L$3)))</f>
        <v>0</v>
      </c>
      <c r="E48" s="1385"/>
      <c r="F48" s="1385">
        <f>IF(L10=0,0,(IF(M10=0,((DATE(Voorblad!D$3+1,1,1)-DATE(Voorblad!$D$3,(L10),J10))*(H10-(2*I10)))/365,((DATE(Voorblad!$D$3,(M10),J10)-DATE(Voorblad!$D$3,(L10),J10))*(H10-(2*I10)))/Voorblad!L$3)))</f>
        <v>0</v>
      </c>
      <c r="G48" s="1385"/>
      <c r="H48" s="508">
        <f>IF(M10=0,0,(IF(N10=0,((DATE(Voorblad!D$3+1,1,1)-DATE(Voorblad!$D$3,(M10),J10))*(H10-(3*I10)))/Voorblad!L$3,((DATE(Voorblad!$D$3,(N10),J10)-DATE(Voorblad!$D$3,(M10),J10))*(H10-(3*I10)))/Voorblad!L$3)))</f>
        <v>0</v>
      </c>
      <c r="I48" s="1385">
        <f>IF(N10=0,0,(IF(O10=0,((DATE(Voorblad!D$3+1,1,1)-DATE(Voorblad!$D$3,(N10),J10))*(H10-(4*I10)))/Voorblad!L$3,((DATE(Voorblad!$D$3,(O10),J10)-DATE(Voorblad!$D$3,(N10),J10))*(H10-(4*I10)))/Voorblad!L$3)))</f>
        <v>0</v>
      </c>
      <c r="J48" s="1385"/>
      <c r="K48" s="1385">
        <f>IF(O10=0,0,(IF(P10=0,((DATE(Voorblad!D$3+1,1,1)-DATE(Voorblad!$D$3,(O10),J10))*(H10-(5*I10)))/Voorblad!L$3,((DATE(Voorblad!$D$3,(P10),J10)-DATE(Voorblad!$D$3,(O10),J10))*(H10-(5*I10)))/Voorblad!L$3)))</f>
        <v>0</v>
      </c>
      <c r="L48" s="1385"/>
      <c r="M48" s="1385"/>
      <c r="N48" s="1385"/>
      <c r="O48" s="1385"/>
      <c r="P48" s="1385"/>
      <c r="Q48" s="509">
        <f>IF(P10=0,0,((DATE(Voorblad!D$3+1,1,1)-DATE(Voorblad!$D$3,(P10),J10))*(H10-(6*I10)))/Voorblad!L$3)</f>
        <v>0</v>
      </c>
      <c r="R48" s="581">
        <f t="shared" si="17"/>
        <v>0</v>
      </c>
      <c r="S48" s="576">
        <f t="shared" si="20"/>
        <v>0</v>
      </c>
      <c r="T48"/>
      <c r="U48"/>
      <c r="V48"/>
      <c r="W48"/>
      <c r="X48"/>
      <c r="Y48"/>
      <c r="Z48"/>
      <c r="AA48" s="510">
        <f t="shared" si="18"/>
        <v>0</v>
      </c>
      <c r="AB48" s="510">
        <f t="shared" si="19"/>
        <v>0</v>
      </c>
    </row>
    <row r="49" spans="1:28" s="507" customFormat="1" ht="12.75" customHeight="1">
      <c r="A49" s="792">
        <f aca="true" t="shared" si="21" ref="A49:A73">A48+1</f>
        <v>2204</v>
      </c>
      <c r="B49" s="1394">
        <f>IF(I11=0,H11,(((DATE(Voorblad!$D$3,K11,J11)-DATE(Voorblad!$D$3,1,1))*H11)/Voorblad!L$3))</f>
        <v>0</v>
      </c>
      <c r="C49" s="1394"/>
      <c r="D49" s="1385">
        <f>IF(K11=0,0,(IF(L11=0,((DATE(Voorblad!D$3+1,1,1)-DATE(Voorblad!$D$3,(K11),J11))*(H11-(1*I11)))/Voorblad!L$3,((DATE(Voorblad!$D$3,(L11),J11)-DATE(Voorblad!$D$3,(K11),J11))*(H11-(1*I11)))/Voorblad!L$3)))</f>
        <v>0</v>
      </c>
      <c r="E49" s="1385"/>
      <c r="F49" s="1385">
        <f>IF(L11=0,0,(IF(M11=0,((DATE(Voorblad!D$3+1,1,1)-DATE(Voorblad!$D$3,(L11),J11))*(H11-(2*I11)))/365,((DATE(Voorblad!$D$3,(M11),J11)-DATE(Voorblad!$D$3,(L11),J11))*(H11-(2*I11)))/Voorblad!L$3)))</f>
        <v>0</v>
      </c>
      <c r="G49" s="1385"/>
      <c r="H49" s="508">
        <f>IF(M11=0,0,(IF(N11=0,((DATE(Voorblad!D$3+1,1,1)-DATE(Voorblad!$D$3,(M11),J11))*(H11-(3*I11)))/Voorblad!L$3,((DATE(Voorblad!$D$3,(N11),J11)-DATE(Voorblad!$D$3,(M11),J11))*(H11-(3*I11)))/Voorblad!L$3)))</f>
        <v>0</v>
      </c>
      <c r="I49" s="1385">
        <f>IF(N11=0,0,(IF(O11=0,((DATE(Voorblad!D$3+1,1,1)-DATE(Voorblad!$D$3,(N11),J11))*(H11-(4*I11)))/Voorblad!L$3,((DATE(Voorblad!$D$3,(O11),J11)-DATE(Voorblad!$D$3,(N11),J11))*(H11-(4*I11)))/Voorblad!L$3)))</f>
        <v>0</v>
      </c>
      <c r="J49" s="1385"/>
      <c r="K49" s="1385">
        <f>IF(O11=0,0,(IF(P11=0,((DATE(Voorblad!D$3+1,1,1)-DATE(Voorblad!$D$3,(O11),J11))*(H11-(5*I11)))/Voorblad!L$3,((DATE(Voorblad!$D$3,(P11),J11)-DATE(Voorblad!$D$3,(O11),J11))*(H11-(5*I11)))/Voorblad!L$3)))</f>
        <v>0</v>
      </c>
      <c r="L49" s="1385"/>
      <c r="M49" s="1385"/>
      <c r="N49" s="1385"/>
      <c r="O49" s="1385"/>
      <c r="P49" s="1385"/>
      <c r="Q49" s="509">
        <f>IF(P11=0,0,((DATE(Voorblad!D$3+1,1,1)-DATE(Voorblad!$D$3,(P11),J11))*(H11-(6*I11)))/Voorblad!L$3)</f>
        <v>0</v>
      </c>
      <c r="R49" s="581">
        <f t="shared" si="17"/>
        <v>0</v>
      </c>
      <c r="S49" s="576">
        <f t="shared" si="20"/>
        <v>0</v>
      </c>
      <c r="T49"/>
      <c r="U49"/>
      <c r="V49"/>
      <c r="W49"/>
      <c r="X49"/>
      <c r="Y49"/>
      <c r="Z49"/>
      <c r="AA49" s="510">
        <f t="shared" si="18"/>
        <v>0</v>
      </c>
      <c r="AB49" s="510">
        <f t="shared" si="19"/>
        <v>0</v>
      </c>
    </row>
    <row r="50" spans="1:28" s="507" customFormat="1" ht="12.75" customHeight="1">
      <c r="A50" s="792">
        <f t="shared" si="21"/>
        <v>2205</v>
      </c>
      <c r="B50" s="1394">
        <f>IF(I12=0,H12,(((DATE(Voorblad!$D$3,K12,J12)-DATE(Voorblad!$D$3,1,1))*H12)/Voorblad!L$3))</f>
        <v>0</v>
      </c>
      <c r="C50" s="1394"/>
      <c r="D50" s="1385">
        <f>IF(K12=0,0,(IF(L12=0,((DATE(Voorblad!D$3+1,1,1)-DATE(Voorblad!$D$3,(K12),J12))*(H12-(1*I12)))/Voorblad!L$3,((DATE(Voorblad!$D$3,(L12),J12)-DATE(Voorblad!$D$3,(K12),J12))*(H12-(1*I12)))/Voorblad!L$3)))</f>
        <v>0</v>
      </c>
      <c r="E50" s="1385"/>
      <c r="F50" s="1385">
        <f>IF(L12=0,0,(IF(M12=0,((DATE(Voorblad!D$3+1,1,1)-DATE(Voorblad!$D$3,(L12),J12))*(H12-(2*I12)))/365,((DATE(Voorblad!$D$3,(M12),J12)-DATE(Voorblad!$D$3,(L12),J12))*(H12-(2*I12)))/Voorblad!L$3)))</f>
        <v>0</v>
      </c>
      <c r="G50" s="1385"/>
      <c r="H50" s="508">
        <f>IF(M12=0,0,(IF(N12=0,((DATE(Voorblad!D$3+1,1,1)-DATE(Voorblad!$D$3,(M12),J12))*(H12-(3*I12)))/Voorblad!L$3,((DATE(Voorblad!$D$3,(N12),J12)-DATE(Voorblad!$D$3,(M12),J12))*(H12-(3*I12)))/Voorblad!L$3)))</f>
        <v>0</v>
      </c>
      <c r="I50" s="1385">
        <f>IF(N12=0,0,(IF(O12=0,((DATE(Voorblad!D$3+1,1,1)-DATE(Voorblad!$D$3,(N12),J12))*(H12-(4*I12)))/Voorblad!L$3,((DATE(Voorblad!$D$3,(O12),J12)-DATE(Voorblad!$D$3,(N12),J12))*(H12-(4*I12)))/Voorblad!L$3)))</f>
        <v>0</v>
      </c>
      <c r="J50" s="1385"/>
      <c r="K50" s="1385">
        <f>IF(O12=0,0,(IF(P12=0,((DATE(Voorblad!D$3+1,1,1)-DATE(Voorblad!$D$3,(O12),J12))*(H12-(5*I12)))/Voorblad!L$3,((DATE(Voorblad!$D$3,(P12),J12)-DATE(Voorblad!$D$3,(O12),J12))*(H12-(5*I12)))/Voorblad!L$3)))</f>
        <v>0</v>
      </c>
      <c r="L50" s="1385"/>
      <c r="M50" s="1385"/>
      <c r="N50" s="1385"/>
      <c r="O50" s="1385"/>
      <c r="P50" s="1385"/>
      <c r="Q50" s="509">
        <f>IF(P12=0,0,((DATE(Voorblad!D$3+1,1,1)-DATE(Voorblad!$D$3,(P12),J12))*(H12-(6*I12)))/Voorblad!L$3)</f>
        <v>0</v>
      </c>
      <c r="R50" s="581">
        <f t="shared" si="17"/>
        <v>0</v>
      </c>
      <c r="S50" s="576">
        <f t="shared" si="20"/>
        <v>0</v>
      </c>
      <c r="T50"/>
      <c r="U50"/>
      <c r="V50"/>
      <c r="W50"/>
      <c r="X50"/>
      <c r="Y50"/>
      <c r="Z50"/>
      <c r="AA50" s="510">
        <f t="shared" si="18"/>
        <v>0</v>
      </c>
      <c r="AB50" s="510">
        <f t="shared" si="19"/>
        <v>0</v>
      </c>
    </row>
    <row r="51" spans="1:28" s="507" customFormat="1" ht="12.75" customHeight="1">
      <c r="A51" s="792">
        <f t="shared" si="21"/>
        <v>2206</v>
      </c>
      <c r="B51" s="1394">
        <f>IF(I13=0,H13,(((DATE(Voorblad!$D$3,K13,J13)-DATE(Voorblad!$D$3,1,1))*H13)/Voorblad!L$3))</f>
        <v>0</v>
      </c>
      <c r="C51" s="1394"/>
      <c r="D51" s="1385">
        <f>IF(K13=0,0,(IF(L13=0,((DATE(Voorblad!D$3+1,1,1)-DATE(Voorblad!$D$3,(K13),J13))*(H13-(1*I13)))/Voorblad!L$3,((DATE(Voorblad!$D$3,(L13),J13)-DATE(Voorblad!$D$3,(K13),J13))*(H13-(1*I13)))/Voorblad!L$3)))</f>
        <v>0</v>
      </c>
      <c r="E51" s="1385"/>
      <c r="F51" s="1385">
        <f>IF(L13=0,0,(IF(M13=0,((DATE(Voorblad!D$3+1,1,1)-DATE(Voorblad!$D$3,(L13),J13))*(H13-(2*I13)))/365,((DATE(Voorblad!$D$3,(M13),J13)-DATE(Voorblad!$D$3,(L13),J13))*(H13-(2*I13)))/Voorblad!L$3)))</f>
        <v>0</v>
      </c>
      <c r="G51" s="1385"/>
      <c r="H51" s="508">
        <f>IF(M13=0,0,(IF(N13=0,((DATE(Voorblad!D$3+1,1,1)-DATE(Voorblad!$D$3,(M13),J13))*(H13-(3*I13)))/Voorblad!L$3,((DATE(Voorblad!$D$3,(N13),J13)-DATE(Voorblad!$D$3,(M13),J13))*(H13-(3*I13)))/Voorblad!L$3)))</f>
        <v>0</v>
      </c>
      <c r="I51" s="1385">
        <f>IF(N13=0,0,(IF(O13=0,((DATE(Voorblad!D$3+1,1,1)-DATE(Voorblad!$D$3,(N13),J13))*(H13-(4*I13)))/Voorblad!L$3,((DATE(Voorblad!$D$3,(O13),J13)-DATE(Voorblad!$D$3,(N13),J13))*(H13-(4*I13)))/Voorblad!L$3)))</f>
        <v>0</v>
      </c>
      <c r="J51" s="1385"/>
      <c r="K51" s="1385">
        <f>IF(O13=0,0,(IF(P13=0,((DATE(Voorblad!D$3+1,1,1)-DATE(Voorblad!$D$3,(O13),J13))*(H13-(5*I13)))/Voorblad!L$3,((DATE(Voorblad!$D$3,(P13),J13)-DATE(Voorblad!$D$3,(O13),J13))*(H13-(5*I13)))/Voorblad!L$3)))</f>
        <v>0</v>
      </c>
      <c r="L51" s="1385"/>
      <c r="M51" s="1385"/>
      <c r="N51" s="1385"/>
      <c r="O51" s="1385"/>
      <c r="P51" s="1385"/>
      <c r="Q51" s="509">
        <f>IF(P13=0,0,((DATE(Voorblad!D$3+1,1,1)-DATE(Voorblad!$D$3,(P13),J13))*(H13-(6*I13)))/Voorblad!L$3)</f>
        <v>0</v>
      </c>
      <c r="R51" s="581">
        <f t="shared" si="17"/>
        <v>0</v>
      </c>
      <c r="S51" s="576">
        <f t="shared" si="20"/>
        <v>0</v>
      </c>
      <c r="T51"/>
      <c r="U51"/>
      <c r="V51"/>
      <c r="W51"/>
      <c r="X51"/>
      <c r="Y51"/>
      <c r="Z51"/>
      <c r="AA51" s="510">
        <f t="shared" si="18"/>
        <v>0</v>
      </c>
      <c r="AB51" s="510">
        <f t="shared" si="19"/>
        <v>0</v>
      </c>
    </row>
    <row r="52" spans="1:28" s="507" customFormat="1" ht="12.75" customHeight="1">
      <c r="A52" s="792">
        <f t="shared" si="21"/>
        <v>2207</v>
      </c>
      <c r="B52" s="1394">
        <f>IF(I14=0,H14,(((DATE(Voorblad!$D$3,K14,J14)-DATE(Voorblad!$D$3,1,1))*H14)/Voorblad!L$3))</f>
        <v>0</v>
      </c>
      <c r="C52" s="1394"/>
      <c r="D52" s="1385">
        <f>IF(K14=0,0,(IF(L14=0,((DATE(Voorblad!D$3+1,1,1)-DATE(Voorblad!$D$3,(K14),J14))*(H14-(1*I14)))/Voorblad!L$3,((DATE(Voorblad!$D$3,(L14),J14)-DATE(Voorblad!$D$3,(K14),J14))*(H14-(1*I14)))/Voorblad!L$3)))</f>
        <v>0</v>
      </c>
      <c r="E52" s="1385"/>
      <c r="F52" s="1385">
        <f>IF(L14=0,0,(IF(M14=0,((DATE(Voorblad!D$3+1,1,1)-DATE(Voorblad!$D$3,(L14),J14))*(H14-(2*I14)))/365,((DATE(Voorblad!$D$3,(M14),J14)-DATE(Voorblad!$D$3,(L14),J14))*(H14-(2*I14)))/Voorblad!L$3)))</f>
        <v>0</v>
      </c>
      <c r="G52" s="1385"/>
      <c r="H52" s="508">
        <f>IF(M14=0,0,(IF(N14=0,((DATE(Voorblad!D$3+1,1,1)-DATE(Voorblad!$D$3,(M14),J14))*(H14-(3*I14)))/Voorblad!L$3,((DATE(Voorblad!$D$3,(N14),J14)-DATE(Voorblad!$D$3,(M14),J14))*(H14-(3*I14)))/Voorblad!L$3)))</f>
        <v>0</v>
      </c>
      <c r="I52" s="1385">
        <f>IF(N14=0,0,(IF(O14=0,((DATE(Voorblad!D$3+1,1,1)-DATE(Voorblad!$D$3,(N14),J14))*(H14-(4*I14)))/Voorblad!L$3,((DATE(Voorblad!$D$3,(O14),J14)-DATE(Voorblad!$D$3,(N14),J14))*(H14-(4*I14)))/Voorblad!L$3)))</f>
        <v>0</v>
      </c>
      <c r="J52" s="1385"/>
      <c r="K52" s="1385">
        <f>IF(O14=0,0,(IF(P14=0,((DATE(Voorblad!D$3+1,1,1)-DATE(Voorblad!$D$3,(O14),J14))*(H14-(5*I14)))/Voorblad!L$3,((DATE(Voorblad!$D$3,(P14),J14)-DATE(Voorblad!$D$3,(O14),J14))*(H14-(5*I14)))/Voorblad!L$3)))</f>
        <v>0</v>
      </c>
      <c r="L52" s="1385"/>
      <c r="M52" s="1385"/>
      <c r="N52" s="1385"/>
      <c r="O52" s="1385"/>
      <c r="P52" s="1385"/>
      <c r="Q52" s="509">
        <f>IF(P14=0,0,((DATE(Voorblad!D$3+1,1,1)-DATE(Voorblad!$D$3,(P14),J14))*(H14-(6*I14)))/Voorblad!L$3)</f>
        <v>0</v>
      </c>
      <c r="R52" s="581">
        <f t="shared" si="17"/>
        <v>0</v>
      </c>
      <c r="S52" s="576">
        <f t="shared" si="20"/>
        <v>0</v>
      </c>
      <c r="T52"/>
      <c r="U52"/>
      <c r="V52"/>
      <c r="W52"/>
      <c r="X52"/>
      <c r="Y52"/>
      <c r="Z52"/>
      <c r="AA52" s="510">
        <f t="shared" si="18"/>
        <v>0</v>
      </c>
      <c r="AB52" s="510">
        <f t="shared" si="19"/>
        <v>0</v>
      </c>
    </row>
    <row r="53" spans="1:28" s="507" customFormat="1" ht="12.75" customHeight="1">
      <c r="A53" s="792">
        <f t="shared" si="21"/>
        <v>2208</v>
      </c>
      <c r="B53" s="1394">
        <f>IF(I15=0,H15,(((DATE(Voorblad!$D$3,K15,J15)-DATE(Voorblad!$D$3,1,1))*H15)/Voorblad!L$3))</f>
        <v>0</v>
      </c>
      <c r="C53" s="1394"/>
      <c r="D53" s="1385">
        <f>IF(K15=0,0,(IF(L15=0,((DATE(Voorblad!D$3+1,1,1)-DATE(Voorblad!$D$3,(K15),J15))*(H15-(1*I15)))/Voorblad!L$3,((DATE(Voorblad!$D$3,(L15),J15)-DATE(Voorblad!$D$3,(K15),J15))*(H15-(1*I15)))/Voorblad!L$3)))</f>
        <v>0</v>
      </c>
      <c r="E53" s="1385"/>
      <c r="F53" s="1385">
        <f>IF(L15=0,0,(IF(M15=0,((DATE(Voorblad!D$3+1,1,1)-DATE(Voorblad!$D$3,(L15),J15))*(H15-(2*I15)))/365,((DATE(Voorblad!$D$3,(M15),J15)-DATE(Voorblad!$D$3,(L15),J15))*(H15-(2*I15)))/Voorblad!L$3)))</f>
        <v>0</v>
      </c>
      <c r="G53" s="1385"/>
      <c r="H53" s="508">
        <f>IF(M15=0,0,(IF(N15=0,((DATE(Voorblad!D$3+1,1,1)-DATE(Voorblad!$D$3,(M15),J15))*(H15-(3*I15)))/Voorblad!L$3,((DATE(Voorblad!$D$3,(N15),J15)-DATE(Voorblad!$D$3,(M15),J15))*(H15-(3*I15)))/Voorblad!L$3)))</f>
        <v>0</v>
      </c>
      <c r="I53" s="1385">
        <f>IF(N15=0,0,(IF(O15=0,((DATE(Voorblad!D$3+1,1,1)-DATE(Voorblad!$D$3,(N15),J15))*(H15-(4*I15)))/Voorblad!L$3,((DATE(Voorblad!$D$3,(O15),J15)-DATE(Voorblad!$D$3,(N15),J15))*(H15-(4*I15)))/Voorblad!L$3)))</f>
        <v>0</v>
      </c>
      <c r="J53" s="1385"/>
      <c r="K53" s="1385">
        <f>IF(O15=0,0,(IF(P15=0,((DATE(Voorblad!D$3+1,1,1)-DATE(Voorblad!$D$3,(O15),J15))*(H15-(5*I15)))/Voorblad!L$3,((DATE(Voorblad!$D$3,(P15),J15)-DATE(Voorblad!$D$3,(O15),J15))*(H15-(5*I15)))/Voorblad!L$3)))</f>
        <v>0</v>
      </c>
      <c r="L53" s="1385"/>
      <c r="M53" s="1385"/>
      <c r="N53" s="1385"/>
      <c r="O53" s="1385"/>
      <c r="P53" s="1385"/>
      <c r="Q53" s="509">
        <f>IF(P15=0,0,((DATE(Voorblad!D$3+1,1,1)-DATE(Voorblad!$D$3,(P15),J15))*(H15-(6*I15)))/Voorblad!L$3)</f>
        <v>0</v>
      </c>
      <c r="R53" s="581">
        <f t="shared" si="17"/>
        <v>0</v>
      </c>
      <c r="S53" s="576">
        <f t="shared" si="20"/>
        <v>0</v>
      </c>
      <c r="T53"/>
      <c r="U53"/>
      <c r="V53"/>
      <c r="W53"/>
      <c r="X53"/>
      <c r="Y53"/>
      <c r="Z53"/>
      <c r="AA53" s="510">
        <f t="shared" si="18"/>
        <v>0</v>
      </c>
      <c r="AB53" s="510">
        <f t="shared" si="19"/>
        <v>0</v>
      </c>
    </row>
    <row r="54" spans="1:28" s="507" customFormat="1" ht="12.75" customHeight="1">
      <c r="A54" s="792">
        <f t="shared" si="21"/>
        <v>2209</v>
      </c>
      <c r="B54" s="1394">
        <f>IF(I16=0,H16,(((DATE(Voorblad!$D$3,K16,J16)-DATE(Voorblad!$D$3,1,1))*H16)/Voorblad!L$3))</f>
        <v>0</v>
      </c>
      <c r="C54" s="1394"/>
      <c r="D54" s="1385">
        <f>IF(K16=0,0,(IF(L16=0,((DATE(Voorblad!D$3+1,1,1)-DATE(Voorblad!$D$3,(K16),J16))*(H16-(1*I16)))/Voorblad!L$3,((DATE(Voorblad!$D$3,(L16),J16)-DATE(Voorblad!$D$3,(K16),J16))*(H16-(1*I16)))/Voorblad!L$3)))</f>
        <v>0</v>
      </c>
      <c r="E54" s="1385"/>
      <c r="F54" s="1385">
        <f>IF(L16=0,0,(IF(M16=0,((DATE(Voorblad!D$3+1,1,1)-DATE(Voorblad!$D$3,(L16),J16))*(H16-(2*I16)))/365,((DATE(Voorblad!$D$3,(M16),J16)-DATE(Voorblad!$D$3,(L16),J16))*(H16-(2*I16)))/Voorblad!L$3)))</f>
        <v>0</v>
      </c>
      <c r="G54" s="1385"/>
      <c r="H54" s="508">
        <f>IF(M16=0,0,(IF(N16=0,((DATE(Voorblad!D$3+1,1,1)-DATE(Voorblad!$D$3,(M16),J16))*(H16-(3*I16)))/Voorblad!L$3,((DATE(Voorblad!$D$3,(N16),J16)-DATE(Voorblad!$D$3,(M16),J16))*(H16-(3*I16)))/Voorblad!L$3)))</f>
        <v>0</v>
      </c>
      <c r="I54" s="1385">
        <f>IF(N16=0,0,(IF(O16=0,((DATE(Voorblad!D$3+1,1,1)-DATE(Voorblad!$D$3,(N16),J16))*(H16-(4*I16)))/Voorblad!L$3,((DATE(Voorblad!$D$3,(O16),J16)-DATE(Voorblad!$D$3,(N16),J16))*(H16-(4*I16)))/Voorblad!L$3)))</f>
        <v>0</v>
      </c>
      <c r="J54" s="1385"/>
      <c r="K54" s="1385">
        <f>IF(O16=0,0,(IF(P16=0,((DATE(Voorblad!D$3+1,1,1)-DATE(Voorblad!$D$3,(O16),J16))*(H16-(5*I16)))/Voorblad!L$3,((DATE(Voorblad!$D$3,(P16),J16)-DATE(Voorblad!$D$3,(O16),J16))*(H16-(5*I16)))/Voorblad!L$3)))</f>
        <v>0</v>
      </c>
      <c r="L54" s="1385"/>
      <c r="M54" s="1385"/>
      <c r="N54" s="1385"/>
      <c r="O54" s="1385"/>
      <c r="P54" s="1385"/>
      <c r="Q54" s="509">
        <f>IF(P16=0,0,((DATE(Voorblad!D$3+1,1,1)-DATE(Voorblad!$D$3,(P16),J16))*(H16-(6*I16)))/Voorblad!L$3)</f>
        <v>0</v>
      </c>
      <c r="R54" s="581">
        <f t="shared" si="17"/>
        <v>0</v>
      </c>
      <c r="S54" s="576">
        <f t="shared" si="20"/>
        <v>0</v>
      </c>
      <c r="T54"/>
      <c r="U54"/>
      <c r="V54"/>
      <c r="W54"/>
      <c r="X54"/>
      <c r="Y54"/>
      <c r="Z54"/>
      <c r="AA54" s="510"/>
      <c r="AB54" s="510"/>
    </row>
    <row r="55" spans="1:28" s="507" customFormat="1" ht="12.75" customHeight="1">
      <c r="A55" s="792">
        <f t="shared" si="21"/>
        <v>2210</v>
      </c>
      <c r="B55" s="1394">
        <f>IF(I17=0,H17,(((DATE(Voorblad!$D$3,K17,J17)-DATE(Voorblad!$D$3,1,1))*H17)/Voorblad!L$3))</f>
        <v>0</v>
      </c>
      <c r="C55" s="1394"/>
      <c r="D55" s="1385">
        <f>IF(K17=0,0,(IF(L17=0,((DATE(Voorblad!D$3+1,1,1)-DATE(Voorblad!$D$3,(K17),J17))*(H17-(1*I17)))/Voorblad!L$3,((DATE(Voorblad!$D$3,(L17),J17)-DATE(Voorblad!$D$3,(K17),J17))*(H17-(1*I17)))/Voorblad!L$3)))</f>
        <v>0</v>
      </c>
      <c r="E55" s="1385"/>
      <c r="F55" s="1385">
        <f>IF(L17=0,0,(IF(M17=0,((DATE(Voorblad!D$3+1,1,1)-DATE(Voorblad!$D$3,(L17),J17))*(H17-(2*I17)))/365,((DATE(Voorblad!$D$3,(M17),J17)-DATE(Voorblad!$D$3,(L17),J17))*(H17-(2*I17)))/Voorblad!L$3)))</f>
        <v>0</v>
      </c>
      <c r="G55" s="1385"/>
      <c r="H55" s="508">
        <f>IF(M17=0,0,(IF(N17=0,((DATE(Voorblad!D$3+1,1,1)-DATE(Voorblad!$D$3,(M17),J17))*(H17-(3*I17)))/Voorblad!L$3,((DATE(Voorblad!$D$3,(N17),J17)-DATE(Voorblad!$D$3,(M17),J17))*(H17-(3*I17)))/Voorblad!L$3)))</f>
        <v>0</v>
      </c>
      <c r="I55" s="1385">
        <f>IF(N17=0,0,(IF(O17=0,((DATE(Voorblad!D$3+1,1,1)-DATE(Voorblad!$D$3,(N17),J17))*(H17-(4*I17)))/Voorblad!L$3,((DATE(Voorblad!$D$3,(O17),J17)-DATE(Voorblad!$D$3,(N17),J17))*(H17-(4*I17)))/Voorblad!L$3)))</f>
        <v>0</v>
      </c>
      <c r="J55" s="1385"/>
      <c r="K55" s="1385">
        <f>IF(O17=0,0,(IF(P17=0,((DATE(Voorblad!D$3+1,1,1)-DATE(Voorblad!$D$3,(O17),J17))*(H17-(5*I17)))/Voorblad!L$3,((DATE(Voorblad!$D$3,(P17),J17)-DATE(Voorblad!$D$3,(O17),J17))*(H17-(5*I17)))/Voorblad!L$3)))</f>
        <v>0</v>
      </c>
      <c r="L55" s="1385"/>
      <c r="M55" s="1385"/>
      <c r="N55" s="1385"/>
      <c r="O55" s="1385"/>
      <c r="P55" s="1385"/>
      <c r="Q55" s="509">
        <f>IF(P17=0,0,((DATE(Voorblad!D$3+1,1,1)-DATE(Voorblad!$D$3,(P17),J17))*(H17-(6*I17)))/Voorblad!L$3)</f>
        <v>0</v>
      </c>
      <c r="R55" s="581">
        <f t="shared" si="17"/>
        <v>0</v>
      </c>
      <c r="S55" s="576">
        <f t="shared" si="20"/>
        <v>0</v>
      </c>
      <c r="T55"/>
      <c r="U55"/>
      <c r="V55"/>
      <c r="W55"/>
      <c r="X55"/>
      <c r="Y55"/>
      <c r="Z55"/>
      <c r="AA55" s="510"/>
      <c r="AB55" s="510"/>
    </row>
    <row r="56" spans="1:28" s="507" customFormat="1" ht="12.75" customHeight="1">
      <c r="A56" s="792">
        <f t="shared" si="21"/>
        <v>2211</v>
      </c>
      <c r="B56" s="1394">
        <f>IF(I18=0,H18,(((DATE(Voorblad!$D$3,K18,J18)-DATE(Voorblad!$D$3,1,1))*H18)/Voorblad!L$3))</f>
        <v>0</v>
      </c>
      <c r="C56" s="1394"/>
      <c r="D56" s="1385">
        <f>IF(K18=0,0,(IF(L18=0,((DATE(Voorblad!D$3+1,1,1)-DATE(Voorblad!$D$3,(K18),J18))*(H18-(1*I18)))/Voorblad!L$3,((DATE(Voorblad!$D$3,(L18),J18)-DATE(Voorblad!$D$3,(K18),J18))*(H18-(1*I18)))/Voorblad!L$3)))</f>
        <v>0</v>
      </c>
      <c r="E56" s="1385"/>
      <c r="F56" s="1385">
        <f>IF(L18=0,0,(IF(M18=0,((DATE(Voorblad!D$3+1,1,1)-DATE(Voorblad!$D$3,(L18),J18))*(H18-(2*I18)))/365,((DATE(Voorblad!$D$3,(M18),J18)-DATE(Voorblad!$D$3,(L18),J18))*(H18-(2*I18)))/Voorblad!L$3)))</f>
        <v>0</v>
      </c>
      <c r="G56" s="1385"/>
      <c r="H56" s="508">
        <f>IF(M18=0,0,(IF(N18=0,((DATE(Voorblad!D$3+1,1,1)-DATE(Voorblad!$D$3,(M18),J18))*(H18-(3*I18)))/Voorblad!L$3,((DATE(Voorblad!$D$3,(N18),J18)-DATE(Voorblad!$D$3,(M18),J18))*(H18-(3*I18)))/Voorblad!L$3)))</f>
        <v>0</v>
      </c>
      <c r="I56" s="1385">
        <f>IF(N18=0,0,(IF(O18=0,((DATE(Voorblad!D$3+1,1,1)-DATE(Voorblad!$D$3,(N18),J18))*(H18-(4*I18)))/Voorblad!L$3,((DATE(Voorblad!$D$3,(O18),J18)-DATE(Voorblad!$D$3,(N18),J18))*(H18-(4*I18)))/Voorblad!L$3)))</f>
        <v>0</v>
      </c>
      <c r="J56" s="1385"/>
      <c r="K56" s="1385">
        <f>IF(O18=0,0,(IF(P18=0,((DATE(Voorblad!D$3+1,1,1)-DATE(Voorblad!$D$3,(O18),J18))*(H18-(5*I18)))/Voorblad!L$3,((DATE(Voorblad!$D$3,(P18),J18)-DATE(Voorblad!$D$3,(O18),J18))*(H18-(5*I18)))/Voorblad!L$3)))</f>
        <v>0</v>
      </c>
      <c r="L56" s="1385"/>
      <c r="M56" s="1385"/>
      <c r="N56" s="1385"/>
      <c r="O56" s="1385"/>
      <c r="P56" s="1385"/>
      <c r="Q56" s="509">
        <f>IF(P18=0,0,((DATE(Voorblad!D$3+1,1,1)-DATE(Voorblad!$D$3,(P18),J18))*(H18-(6*I18)))/Voorblad!L$3)</f>
        <v>0</v>
      </c>
      <c r="R56" s="581">
        <f>SUM(B56:Q56)</f>
        <v>0</v>
      </c>
      <c r="S56" s="576">
        <f t="shared" si="20"/>
        <v>0</v>
      </c>
      <c r="T56"/>
      <c r="U56"/>
      <c r="V56"/>
      <c r="W56"/>
      <c r="X56"/>
      <c r="Y56"/>
      <c r="Z56"/>
      <c r="AA56" s="510"/>
      <c r="AB56" s="510"/>
    </row>
    <row r="57" spans="1:28" s="507" customFormat="1" ht="12.75" customHeight="1">
      <c r="A57" s="792">
        <f t="shared" si="21"/>
        <v>2212</v>
      </c>
      <c r="B57" s="1394">
        <f>IF(I19=0,H19,(((DATE(Voorblad!$D$3,K19,J19)-DATE(Voorblad!$D$3,1,1))*H19)/Voorblad!L$3))</f>
        <v>0</v>
      </c>
      <c r="C57" s="1394"/>
      <c r="D57" s="1385">
        <f>IF(K19=0,0,(IF(L19=0,((DATE(Voorblad!D$3+1,1,1)-DATE(Voorblad!$D$3,(K19),J19))*(H19-(1*I19)))/Voorblad!L$3,((DATE(Voorblad!$D$3,(L19),J19)-DATE(Voorblad!$D$3,(K19),J19))*(H19-(1*I19)))/Voorblad!L$3)))</f>
        <v>0</v>
      </c>
      <c r="E57" s="1385"/>
      <c r="F57" s="1385">
        <f>IF(L19=0,0,(IF(M19=0,((DATE(Voorblad!D$3+1,1,1)-DATE(Voorblad!$D$3,(L19),J19))*(H19-(2*I19)))/365,((DATE(Voorblad!$D$3,(M19),J19)-DATE(Voorblad!$D$3,(L19),J19))*(H19-(2*I19)))/Voorblad!L$3)))</f>
        <v>0</v>
      </c>
      <c r="G57" s="1385"/>
      <c r="H57" s="508">
        <f>IF(M19=0,0,(IF(N19=0,((DATE(Voorblad!D$3+1,1,1)-DATE(Voorblad!$D$3,(M19),J19))*(H19-(3*I19)))/Voorblad!L$3,((DATE(Voorblad!$D$3,(N19),J19)-DATE(Voorblad!$D$3,(M19),J19))*(H19-(3*I19)))/Voorblad!L$3)))</f>
        <v>0</v>
      </c>
      <c r="I57" s="1385">
        <f>IF(N19=0,0,(IF(O19=0,((DATE(Voorblad!D$3+1,1,1)-DATE(Voorblad!$D$3,(N19),J19))*(H19-(4*I19)))/Voorblad!L$3,((DATE(Voorblad!$D$3,(O19),J19)-DATE(Voorblad!$D$3,(N19),J19))*(H19-(4*I19)))/Voorblad!L$3)))</f>
        <v>0</v>
      </c>
      <c r="J57" s="1385"/>
      <c r="K57" s="1385">
        <f>IF(O19=0,0,(IF(P19=0,((DATE(Voorblad!D$3+1,1,1)-DATE(Voorblad!$D$3,(O19),J19))*(H19-(5*I19)))/Voorblad!L$3,((DATE(Voorblad!$D$3,(P19),J19)-DATE(Voorblad!$D$3,(O19),J19))*(H19-(5*I19)))/Voorblad!L$3)))</f>
        <v>0</v>
      </c>
      <c r="L57" s="1385"/>
      <c r="M57" s="1385"/>
      <c r="N57" s="1385"/>
      <c r="O57" s="1385"/>
      <c r="P57" s="1385"/>
      <c r="Q57" s="509">
        <f>IF(P19=0,0,((DATE(Voorblad!D$3+1,1,1)-DATE(Voorblad!$D$3,(P19),J19))*(H19-(6*I19)))/Voorblad!L$3)</f>
        <v>0</v>
      </c>
      <c r="R57" s="581">
        <f>SUM(B57:Q57)</f>
        <v>0</v>
      </c>
      <c r="S57" s="576">
        <f t="shared" si="20"/>
        <v>0</v>
      </c>
      <c r="T57"/>
      <c r="U57"/>
      <c r="V57"/>
      <c r="W57"/>
      <c r="X57"/>
      <c r="Y57"/>
      <c r="Z57"/>
      <c r="AA57" s="510"/>
      <c r="AB57" s="510"/>
    </row>
    <row r="58" spans="1:28" s="507" customFormat="1" ht="12.75" customHeight="1">
      <c r="A58" s="792">
        <f t="shared" si="21"/>
        <v>2213</v>
      </c>
      <c r="B58" s="1394">
        <f>IF(I20=0,H20,(((DATE(Voorblad!$D$3,K20,J20)-DATE(Voorblad!$D$3,1,1))*H20)/Voorblad!L$3))</f>
        <v>0</v>
      </c>
      <c r="C58" s="1394"/>
      <c r="D58" s="1385">
        <f>IF(K20=0,0,(IF(L20=0,((DATE(Voorblad!D$3+1,1,1)-DATE(Voorblad!$D$3,(K20),J20))*(H20-(1*I20)))/Voorblad!L$3,((DATE(Voorblad!$D$3,(L20),J20)-DATE(Voorblad!$D$3,(K20),J20))*(H20-(1*I20)))/Voorblad!L$3)))</f>
        <v>0</v>
      </c>
      <c r="E58" s="1385"/>
      <c r="F58" s="1385">
        <f>IF(L20=0,0,(IF(M20=0,((DATE(Voorblad!D$3+1,1,1)-DATE(Voorblad!$D$3,(L20),J20))*(H20-(2*I20)))/365,((DATE(Voorblad!$D$3,(M20),J20)-DATE(Voorblad!$D$3,(L20),J20))*(H20-(2*I20)))/Voorblad!L$3)))</f>
        <v>0</v>
      </c>
      <c r="G58" s="1385"/>
      <c r="H58" s="508">
        <f>IF(M20=0,0,(IF(N20=0,((DATE(Voorblad!D$3+1,1,1)-DATE(Voorblad!$D$3,(M20),J20))*(H20-(3*I20)))/Voorblad!L$3,((DATE(Voorblad!$D$3,(N20),J20)-DATE(Voorblad!$D$3,(M20),J20))*(H20-(3*I20)))/Voorblad!L$3)))</f>
        <v>0</v>
      </c>
      <c r="I58" s="1385">
        <f>IF(N20=0,0,(IF(O20=0,((DATE(Voorblad!D$3+1,1,1)-DATE(Voorblad!$D$3,(N20),J20))*(H20-(4*I20)))/Voorblad!L$3,((DATE(Voorblad!$D$3,(O20),J20)-DATE(Voorblad!$D$3,(N20),J20))*(H20-(4*I20)))/Voorblad!L$3)))</f>
        <v>0</v>
      </c>
      <c r="J58" s="1385"/>
      <c r="K58" s="1385">
        <f>IF(O20=0,0,(IF(P20=0,((DATE(Voorblad!D$3+1,1,1)-DATE(Voorblad!$D$3,(O20),J20))*(H20-(5*I20)))/Voorblad!L$3,((DATE(Voorblad!$D$3,(P20),J20)-DATE(Voorblad!$D$3,(O20),J20))*(H20-(5*I20)))/Voorblad!L$3)))</f>
        <v>0</v>
      </c>
      <c r="L58" s="1385"/>
      <c r="M58" s="1385"/>
      <c r="N58" s="1385"/>
      <c r="O58" s="1385"/>
      <c r="P58" s="1385"/>
      <c r="Q58" s="509">
        <f>IF(P20=0,0,((DATE(Voorblad!D$3+1,1,1)-DATE(Voorblad!$D$3,(P20),J20))*(H20-(6*I20)))/Voorblad!L$3)</f>
        <v>0</v>
      </c>
      <c r="R58" s="581">
        <f>SUM(B58:Q58)</f>
        <v>0</v>
      </c>
      <c r="S58" s="576">
        <f t="shared" si="20"/>
        <v>0</v>
      </c>
      <c r="T58"/>
      <c r="U58"/>
      <c r="V58"/>
      <c r="W58"/>
      <c r="X58"/>
      <c r="Y58"/>
      <c r="Z58"/>
      <c r="AA58" s="510"/>
      <c r="AB58" s="510"/>
    </row>
    <row r="59" spans="1:28" s="507" customFormat="1" ht="12.75" customHeight="1">
      <c r="A59" s="792">
        <f t="shared" si="21"/>
        <v>2214</v>
      </c>
      <c r="B59" s="1394">
        <f>IF(I21=0,H21,(((DATE(Voorblad!$D$3,K21,J21)-DATE(Voorblad!$D$3,1,1))*H21)/Voorblad!L$3))</f>
        <v>0</v>
      </c>
      <c r="C59" s="1394"/>
      <c r="D59" s="1385">
        <f>IF(K21=0,0,(IF(L21=0,((DATE(Voorblad!D$3+1,1,1)-DATE(Voorblad!$D$3,(K21),J21))*(H21-(1*I21)))/Voorblad!L$3,((DATE(Voorblad!$D$3,(L21),J21)-DATE(Voorblad!$D$3,(K21),J21))*(H21-(1*I21)))/Voorblad!L$3)))</f>
        <v>0</v>
      </c>
      <c r="E59" s="1385"/>
      <c r="F59" s="1385">
        <f>IF(L21=0,0,(IF(M21=0,((DATE(Voorblad!D$3+1,1,1)-DATE(Voorblad!$D$3,(L21),J21))*(H21-(2*I21)))/365,((DATE(Voorblad!$D$3,(M21),J21)-DATE(Voorblad!$D$3,(L21),J21))*(H21-(2*I21)))/Voorblad!L$3)))</f>
        <v>0</v>
      </c>
      <c r="G59" s="1385"/>
      <c r="H59" s="508">
        <f>IF(M21=0,0,(IF(N21=0,((DATE(Voorblad!D$3+1,1,1)-DATE(Voorblad!$D$3,(M21),J21))*(H21-(3*I21)))/Voorblad!L$3,((DATE(Voorblad!$D$3,(N21),J21)-DATE(Voorblad!$D$3,(M21),J21))*(H21-(3*I21)))/Voorblad!L$3)))</f>
        <v>0</v>
      </c>
      <c r="I59" s="1385">
        <f>IF(N21=0,0,(IF(O21=0,((DATE(Voorblad!D$3+1,1,1)-DATE(Voorblad!$D$3,(N21),J21))*(H21-(4*I21)))/Voorblad!L$3,((DATE(Voorblad!$D$3,(O21),J21)-DATE(Voorblad!$D$3,(N21),J21))*(H21-(4*I21)))/Voorblad!L$3)))</f>
        <v>0</v>
      </c>
      <c r="J59" s="1385"/>
      <c r="K59" s="1385">
        <f>IF(O21=0,0,(IF(P21=0,((DATE(Voorblad!D$3+1,1,1)-DATE(Voorblad!$D$3,(O21),J21))*(H21-(5*I21)))/Voorblad!L$3,((DATE(Voorblad!$D$3,(P21),J21)-DATE(Voorblad!$D$3,(O21),J21))*(H21-(5*I21)))/Voorblad!L$3)))</f>
        <v>0</v>
      </c>
      <c r="L59" s="1385"/>
      <c r="M59" s="1385"/>
      <c r="N59" s="1385"/>
      <c r="O59" s="1385"/>
      <c r="P59" s="1385"/>
      <c r="Q59" s="509">
        <f>IF(P21=0,0,((DATE(Voorblad!D$3+1,1,1)-DATE(Voorblad!$D$3,(P21),J21))*(H21-(6*I21)))/Voorblad!L$3)</f>
        <v>0</v>
      </c>
      <c r="R59" s="581">
        <f>SUM(B59:Q59)</f>
        <v>0</v>
      </c>
      <c r="S59" s="576">
        <f t="shared" si="20"/>
        <v>0</v>
      </c>
      <c r="T59"/>
      <c r="U59"/>
      <c r="V59"/>
      <c r="W59"/>
      <c r="X59"/>
      <c r="Y59"/>
      <c r="Z59"/>
      <c r="AA59" s="510"/>
      <c r="AB59" s="510"/>
    </row>
    <row r="60" spans="1:28" s="507" customFormat="1" ht="12.75" customHeight="1">
      <c r="A60" s="792">
        <f t="shared" si="21"/>
        <v>2215</v>
      </c>
      <c r="B60" s="1394">
        <f>IF(I22=0,H22,(((DATE(Voorblad!$D$3,K22,J22)-DATE(Voorblad!$D$3,1,1))*H22)/Voorblad!L$3))</f>
        <v>0</v>
      </c>
      <c r="C60" s="1394"/>
      <c r="D60" s="1385">
        <f>IF(K22=0,0,(IF(L22=0,((DATE(Voorblad!D$3+1,1,1)-DATE(Voorblad!$D$3,(K22),J22))*(H22-(1*I22)))/Voorblad!L$3,((DATE(Voorblad!$D$3,(L22),J22)-DATE(Voorblad!$D$3,(K22),J22))*(H22-(1*I22)))/Voorblad!L$3)))</f>
        <v>0</v>
      </c>
      <c r="E60" s="1385"/>
      <c r="F60" s="1385">
        <f>IF(L22=0,0,(IF(M22=0,((DATE(Voorblad!D$3+1,1,1)-DATE(Voorblad!$D$3,(L22),J22))*(H22-(2*I22)))/365,((DATE(Voorblad!$D$3,(M22),J22)-DATE(Voorblad!$D$3,(L22),J22))*(H22-(2*I22)))/Voorblad!L$3)))</f>
        <v>0</v>
      </c>
      <c r="G60" s="1385"/>
      <c r="H60" s="508">
        <f>IF(M22=0,0,(IF(N22=0,((DATE(Voorblad!D$3+1,1,1)-DATE(Voorblad!$D$3,(M22),J22))*(H22-(3*I22)))/Voorblad!L$3,((DATE(Voorblad!$D$3,(N22),J22)-DATE(Voorblad!$D$3,(M22),J22))*(H22-(3*I22)))/Voorblad!L$3)))</f>
        <v>0</v>
      </c>
      <c r="I60" s="1385">
        <f>IF(N22=0,0,(IF(O22=0,((DATE(Voorblad!D$3+1,1,1)-DATE(Voorblad!$D$3,(N22),J22))*(H22-(4*I22)))/Voorblad!L$3,((DATE(Voorblad!$D$3,(O22),J22)-DATE(Voorblad!$D$3,(N22),J22))*(H22-(4*I22)))/Voorblad!L$3)))</f>
        <v>0</v>
      </c>
      <c r="J60" s="1385"/>
      <c r="K60" s="1385">
        <f>IF(O22=0,0,(IF(P22=0,((DATE(Voorblad!D$3+1,1,1)-DATE(Voorblad!$D$3,(O22),J22))*(H22-(5*I22)))/Voorblad!L$3,((DATE(Voorblad!$D$3,(P22),J22)-DATE(Voorblad!$D$3,(O22),J22))*(H22-(5*I22)))/Voorblad!L$3)))</f>
        <v>0</v>
      </c>
      <c r="L60" s="1385"/>
      <c r="M60" s="1385"/>
      <c r="N60" s="1385"/>
      <c r="O60" s="1385"/>
      <c r="P60" s="1385"/>
      <c r="Q60" s="509">
        <f>IF(P22=0,0,((DATE(Voorblad!D$3+1,1,1)-DATE(Voorblad!$D$3,(P22),J22))*(H22-(6*I22)))/Voorblad!L$3)</f>
        <v>0</v>
      </c>
      <c r="R60" s="581">
        <f>SUM(B60:Q60)</f>
        <v>0</v>
      </c>
      <c r="S60" s="576">
        <f t="shared" si="20"/>
        <v>0</v>
      </c>
      <c r="T60"/>
      <c r="U60"/>
      <c r="V60"/>
      <c r="W60"/>
      <c r="X60"/>
      <c r="Y60"/>
      <c r="Z60"/>
      <c r="AA60" s="510"/>
      <c r="AB60" s="510"/>
    </row>
    <row r="61" spans="1:28" s="507" customFormat="1" ht="12.75" customHeight="1">
      <c r="A61" s="792">
        <f t="shared" si="21"/>
        <v>2216</v>
      </c>
      <c r="B61" s="1394">
        <f>IF(I23=0,H23,(((DATE(Voorblad!$D$3,K23,J23)-DATE(Voorblad!$D$3,1,1))*H23)/Voorblad!L$3))</f>
        <v>0</v>
      </c>
      <c r="C61" s="1394"/>
      <c r="D61" s="1385">
        <f>IF(K23=0,0,(IF(L23=0,((DATE(Voorblad!D$3+1,1,1)-DATE(Voorblad!$D$3,(K23),J23))*(H23-(1*I23)))/Voorblad!L$3,((DATE(Voorblad!$D$3,(L23),J23)-DATE(Voorblad!$D$3,(K23),J23))*(H23-(1*I23)))/Voorblad!L$3)))</f>
        <v>0</v>
      </c>
      <c r="E61" s="1385"/>
      <c r="F61" s="1385">
        <f>IF(L23=0,0,(IF(M23=0,((DATE(Voorblad!D$3+1,1,1)-DATE(Voorblad!$D$3,(L23),J23))*(H23-(2*I23)))/365,((DATE(Voorblad!$D$3,(M23),J23)-DATE(Voorblad!$D$3,(L23),J23))*(H23-(2*I23)))/Voorblad!L$3)))</f>
        <v>0</v>
      </c>
      <c r="G61" s="1385"/>
      <c r="H61" s="508">
        <f>IF(M23=0,0,(IF(N23=0,((DATE(Voorblad!D$3+1,1,1)-DATE(Voorblad!$D$3,(M23),J23))*(H23-(3*I23)))/Voorblad!L$3,((DATE(Voorblad!$D$3,(N23),J23)-DATE(Voorblad!$D$3,(M23),J23))*(H23-(3*I23)))/Voorblad!L$3)))</f>
        <v>0</v>
      </c>
      <c r="I61" s="1385">
        <f>IF(N23=0,0,(IF(O23=0,((DATE(Voorblad!D$3+1,1,1)-DATE(Voorblad!$D$3,(N23),J23))*(H23-(4*I23)))/Voorblad!L$3,((DATE(Voorblad!$D$3,(O23),J23)-DATE(Voorblad!$D$3,(N23),J23))*(H23-(4*I23)))/Voorblad!L$3)))</f>
        <v>0</v>
      </c>
      <c r="J61" s="1385"/>
      <c r="K61" s="1385">
        <f>IF(O23=0,0,(IF(P23=0,((DATE(Voorblad!D$3+1,1,1)-DATE(Voorblad!$D$3,(O23),J23))*(H23-(5*I23)))/Voorblad!L$3,((DATE(Voorblad!$D$3,(P23),J23)-DATE(Voorblad!$D$3,(O23),J23))*(H23-(5*I23)))/Voorblad!L$3)))</f>
        <v>0</v>
      </c>
      <c r="L61" s="1385"/>
      <c r="M61" s="1385"/>
      <c r="N61" s="1385"/>
      <c r="O61" s="1385"/>
      <c r="P61" s="1385"/>
      <c r="Q61" s="509">
        <f>IF(P23=0,0,((DATE(Voorblad!D$3+1,1,1)-DATE(Voorblad!$D$3,(P23),J23))*(H23-(6*I23)))/Voorblad!L$3)</f>
        <v>0</v>
      </c>
      <c r="R61" s="581">
        <f aca="true" t="shared" si="22" ref="R61:R72">SUM(B61:Q61)</f>
        <v>0</v>
      </c>
      <c r="S61" s="576">
        <f t="shared" si="20"/>
        <v>0</v>
      </c>
      <c r="T61"/>
      <c r="U61"/>
      <c r="V61"/>
      <c r="W61"/>
      <c r="X61"/>
      <c r="Y61"/>
      <c r="Z61"/>
      <c r="AA61" s="510">
        <f t="shared" si="18"/>
        <v>0</v>
      </c>
      <c r="AB61" s="510">
        <f t="shared" si="19"/>
        <v>0</v>
      </c>
    </row>
    <row r="62" spans="1:28" s="507" customFormat="1" ht="12.75" customHeight="1">
      <c r="A62" s="792">
        <f t="shared" si="21"/>
        <v>2217</v>
      </c>
      <c r="B62" s="1394">
        <f>IF(I24=0,H24,(((DATE(Voorblad!$D$3,K24,J24)-DATE(Voorblad!$D$3,1,1))*H24)/Voorblad!L$3))</f>
        <v>0</v>
      </c>
      <c r="C62" s="1394"/>
      <c r="D62" s="1385">
        <f>IF(K24=0,0,(IF(L24=0,((DATE(Voorblad!D$3+1,1,1)-DATE(Voorblad!$D$3,(K24),J24))*(H24-(1*I24)))/Voorblad!L$3,((DATE(Voorblad!$D$3,(L24),J24)-DATE(Voorblad!$D$3,(K24),J24))*(H24-(1*I24)))/Voorblad!L$3)))</f>
        <v>0</v>
      </c>
      <c r="E62" s="1385"/>
      <c r="F62" s="1385">
        <f>IF(L24=0,0,(IF(M24=0,((DATE(Voorblad!D$3+1,1,1)-DATE(Voorblad!$D$3,(L24),J24))*(H24-(2*I24)))/365,((DATE(Voorblad!$D$3,(M24),J24)-DATE(Voorblad!$D$3,(L24),J24))*(H24-(2*I24)))/Voorblad!L$3)))</f>
        <v>0</v>
      </c>
      <c r="G62" s="1385"/>
      <c r="H62" s="508">
        <f>IF(M24=0,0,(IF(N24=0,((DATE(Voorblad!D$3+1,1,1)-DATE(Voorblad!$D$3,(M24),J24))*(H24-(3*I24)))/Voorblad!L$3,((DATE(Voorblad!$D$3,(N24),J24)-DATE(Voorblad!$D$3,(M24),J24))*(H24-(3*I24)))/Voorblad!L$3)))</f>
        <v>0</v>
      </c>
      <c r="I62" s="1385">
        <f>IF(N24=0,0,(IF(O24=0,((DATE(Voorblad!D$3+1,1,1)-DATE(Voorblad!$D$3,(N24),J24))*(H24-(4*I24)))/Voorblad!L$3,((DATE(Voorblad!$D$3,(O24),J24)-DATE(Voorblad!$D$3,(N24),J24))*(H24-(4*I24)))/Voorblad!L$3)))</f>
        <v>0</v>
      </c>
      <c r="J62" s="1385"/>
      <c r="K62" s="1385">
        <f>IF(O24=0,0,(IF(P24=0,((DATE(Voorblad!D$3+1,1,1)-DATE(Voorblad!$D$3,(O24),J24))*(H24-(5*I24)))/Voorblad!L$3,((DATE(Voorblad!$D$3,(P24),J24)-DATE(Voorblad!$D$3,(O24),J24))*(H24-(5*I24)))/Voorblad!L$3)))</f>
        <v>0</v>
      </c>
      <c r="L62" s="1385"/>
      <c r="M62" s="1385"/>
      <c r="N62" s="1385"/>
      <c r="O62" s="1385"/>
      <c r="P62" s="1385"/>
      <c r="Q62" s="509">
        <f>IF(P24=0,0,((DATE(Voorblad!D$3+1,1,1)-DATE(Voorblad!$D$3,(P24),J24))*(H24-(6*I24)))/Voorblad!L$3)</f>
        <v>0</v>
      </c>
      <c r="R62" s="581">
        <f t="shared" si="22"/>
        <v>0</v>
      </c>
      <c r="S62" s="576">
        <f t="shared" si="20"/>
        <v>0</v>
      </c>
      <c r="T62"/>
      <c r="U62"/>
      <c r="V62"/>
      <c r="W62"/>
      <c r="X62"/>
      <c r="Y62"/>
      <c r="Z62"/>
      <c r="AA62" s="510">
        <f t="shared" si="18"/>
        <v>0</v>
      </c>
      <c r="AB62" s="510">
        <f t="shared" si="19"/>
        <v>0</v>
      </c>
    </row>
    <row r="63" spans="1:28" s="507" customFormat="1" ht="12.75" customHeight="1">
      <c r="A63" s="792">
        <f t="shared" si="21"/>
        <v>2218</v>
      </c>
      <c r="B63" s="1394">
        <f>IF(I25=0,H25,(((DATE(Voorblad!$D$3,K25,J25)-DATE(Voorblad!$D$3,1,1))*H25)/Voorblad!L$3))</f>
        <v>0</v>
      </c>
      <c r="C63" s="1394"/>
      <c r="D63" s="1385">
        <f>IF(K25=0,0,(IF(L25=0,((DATE(Voorblad!D$3+1,1,1)-DATE(Voorblad!$D$3,(K25),J25))*(H25-(1*I25)))/Voorblad!L$3,((DATE(Voorblad!$D$3,(L25),J25)-DATE(Voorblad!$D$3,(K25),J25))*(H25-(1*I25)))/Voorblad!L$3)))</f>
        <v>0</v>
      </c>
      <c r="E63" s="1385"/>
      <c r="F63" s="1385">
        <f>IF(L25=0,0,(IF(M25=0,((DATE(Voorblad!D$3+1,1,1)-DATE(Voorblad!$D$3,(L25),J25))*(H25-(2*I25)))/365,((DATE(Voorblad!$D$3,(M25),J25)-DATE(Voorblad!$D$3,(L25),J25))*(H25-(2*I25)))/Voorblad!L$3)))</f>
        <v>0</v>
      </c>
      <c r="G63" s="1385"/>
      <c r="H63" s="508">
        <f>IF(M25=0,0,(IF(N25=0,((DATE(Voorblad!D$3+1,1,1)-DATE(Voorblad!$D$3,(M25),J25))*(H25-(3*I25)))/Voorblad!L$3,((DATE(Voorblad!$D$3,(N25),J25)-DATE(Voorblad!$D$3,(M25),J25))*(H25-(3*I25)))/Voorblad!L$3)))</f>
        <v>0</v>
      </c>
      <c r="I63" s="1385">
        <f>IF(N25=0,0,(IF(O25=0,((DATE(Voorblad!D$3+1,1,1)-DATE(Voorblad!$D$3,(N25),J25))*(H25-(4*I25)))/Voorblad!L$3,((DATE(Voorblad!$D$3,(O25),J25)-DATE(Voorblad!$D$3,(N25),J25))*(H25-(4*I25)))/Voorblad!L$3)))</f>
        <v>0</v>
      </c>
      <c r="J63" s="1385"/>
      <c r="K63" s="1385">
        <f>IF(O25=0,0,(IF(P25=0,((DATE(Voorblad!D$3+1,1,1)-DATE(Voorblad!$D$3,(O25),J25))*(H25-(5*I25)))/Voorblad!L$3,((DATE(Voorblad!$D$3,(P25),J25)-DATE(Voorblad!$D$3,(O25),J25))*(H25-(5*I25)))/Voorblad!L$3)))</f>
        <v>0</v>
      </c>
      <c r="L63" s="1385"/>
      <c r="M63" s="1385"/>
      <c r="N63" s="1385"/>
      <c r="O63" s="1385"/>
      <c r="P63" s="1385"/>
      <c r="Q63" s="509">
        <f>IF(P25=0,0,((DATE(Voorblad!D$3+1,1,1)-DATE(Voorblad!$D$3,(P25),J25))*(H25-(6*I25)))/Voorblad!L$3)</f>
        <v>0</v>
      </c>
      <c r="R63" s="581">
        <f t="shared" si="22"/>
        <v>0</v>
      </c>
      <c r="S63" s="576">
        <f t="shared" si="20"/>
        <v>0</v>
      </c>
      <c r="T63"/>
      <c r="U63"/>
      <c r="V63"/>
      <c r="W63"/>
      <c r="X63"/>
      <c r="Y63"/>
      <c r="Z63"/>
      <c r="AA63" s="510">
        <f t="shared" si="18"/>
        <v>0</v>
      </c>
      <c r="AB63" s="510">
        <f t="shared" si="19"/>
        <v>0</v>
      </c>
    </row>
    <row r="64" spans="1:28" s="507" customFormat="1" ht="12.75" customHeight="1">
      <c r="A64" s="792">
        <f t="shared" si="21"/>
        <v>2219</v>
      </c>
      <c r="B64" s="1394">
        <f>IF(I26=0,H26,(((DATE(Voorblad!$D$3,K26,J26)-DATE(Voorblad!$D$3,1,1))*H26)/Voorblad!L$3))</f>
        <v>0</v>
      </c>
      <c r="C64" s="1394"/>
      <c r="D64" s="1385">
        <f>IF(K26=0,0,(IF(L26=0,((DATE(Voorblad!D$3+1,1,1)-DATE(Voorblad!$D$3,(K26),J26))*(H26-(1*I26)))/Voorblad!L$3,((DATE(Voorblad!$D$3,(L26),J26)-DATE(Voorblad!$D$3,(K26),J26))*(H26-(1*I26)))/Voorblad!L$3)))</f>
        <v>0</v>
      </c>
      <c r="E64" s="1385"/>
      <c r="F64" s="1385">
        <f>IF(L26=0,0,(IF(M26=0,((DATE(Voorblad!D$3+1,1,1)-DATE(Voorblad!$D$3,(L26),J26))*(H26-(2*I26)))/365,((DATE(Voorblad!$D$3,(M26),J26)-DATE(Voorblad!$D$3,(L26),J26))*(H26-(2*I26)))/Voorblad!L$3)))</f>
        <v>0</v>
      </c>
      <c r="G64" s="1385"/>
      <c r="H64" s="508">
        <f>IF(M26=0,0,(IF(N26=0,((DATE(Voorblad!D$3+1,1,1)-DATE(Voorblad!$D$3,(M26),J26))*(H26-(3*I26)))/Voorblad!L$3,((DATE(Voorblad!$D$3,(N26),J26)-DATE(Voorblad!$D$3,(M26),J26))*(H26-(3*I26)))/Voorblad!L$3)))</f>
        <v>0</v>
      </c>
      <c r="I64" s="1385">
        <f>IF(N26=0,0,(IF(O26=0,((DATE(Voorblad!D$3+1,1,1)-DATE(Voorblad!$D$3,(N26),J26))*(H26-(4*I26)))/Voorblad!L$3,((DATE(Voorblad!$D$3,(O26),J26)-DATE(Voorblad!$D$3,(N26),J26))*(H26-(4*I26)))/Voorblad!L$3)))</f>
        <v>0</v>
      </c>
      <c r="J64" s="1385"/>
      <c r="K64" s="1385">
        <f>IF(O26=0,0,(IF(P26=0,((DATE(Voorblad!D$3+1,1,1)-DATE(Voorblad!$D$3,(O26),J26))*(H26-(5*I26)))/Voorblad!L$3,((DATE(Voorblad!$D$3,(P26),J26)-DATE(Voorblad!$D$3,(O26),J26))*(H26-(5*I26)))/Voorblad!L$3)))</f>
        <v>0</v>
      </c>
      <c r="L64" s="1385"/>
      <c r="M64" s="1385"/>
      <c r="N64" s="1385"/>
      <c r="O64" s="1385"/>
      <c r="P64" s="1385"/>
      <c r="Q64" s="509">
        <f>IF(P26=0,0,((DATE(Voorblad!D$3+1,1,1)-DATE(Voorblad!$D$3,(P26),J26))*(H26-(6*I26)))/Voorblad!L$3)</f>
        <v>0</v>
      </c>
      <c r="R64" s="581">
        <f t="shared" si="22"/>
        <v>0</v>
      </c>
      <c r="S64" s="576">
        <f t="shared" si="20"/>
        <v>0</v>
      </c>
      <c r="T64"/>
      <c r="U64"/>
      <c r="V64"/>
      <c r="W64"/>
      <c r="X64"/>
      <c r="Y64"/>
      <c r="Z64"/>
      <c r="AA64" s="510">
        <f t="shared" si="18"/>
        <v>0</v>
      </c>
      <c r="AB64" s="510">
        <f t="shared" si="19"/>
        <v>0</v>
      </c>
    </row>
    <row r="65" spans="1:28" s="507" customFormat="1" ht="12.75" customHeight="1">
      <c r="A65" s="792">
        <f t="shared" si="21"/>
        <v>2220</v>
      </c>
      <c r="B65" s="1394">
        <f>IF(I27=0,H27,(((DATE(Voorblad!$D$3,K27,J27)-DATE(Voorblad!$D$3,1,1))*H27)/Voorblad!L$3))</f>
        <v>0</v>
      </c>
      <c r="C65" s="1394"/>
      <c r="D65" s="1385">
        <f>IF(K27=0,0,(IF(L27=0,((DATE(Voorblad!D$3+1,1,1)-DATE(Voorblad!$D$3,(K27),J27))*(H27-(1*I27)))/Voorblad!L$3,((DATE(Voorblad!$D$3,(L27),J27)-DATE(Voorblad!$D$3,(K27),J27))*(H27-(1*I27)))/Voorblad!L$3)))</f>
        <v>0</v>
      </c>
      <c r="E65" s="1385"/>
      <c r="F65" s="1385">
        <f>IF(L27=0,0,(IF(M27=0,((DATE(Voorblad!D$3+1,1,1)-DATE(Voorblad!$D$3,(L27),J27))*(H27-(2*I27)))/365,((DATE(Voorblad!$D$3,(M27),J27)-DATE(Voorblad!$D$3,(L27),J27))*(H27-(2*I27)))/Voorblad!L$3)))</f>
        <v>0</v>
      </c>
      <c r="G65" s="1385"/>
      <c r="H65" s="508">
        <f>IF(M27=0,0,(IF(N27=0,((DATE(Voorblad!D$3+1,1,1)-DATE(Voorblad!$D$3,(M27),J27))*(H27-(3*I27)))/Voorblad!L$3,((DATE(Voorblad!$D$3,(N27),J27)-DATE(Voorblad!$D$3,(M27),J27))*(H27-(3*I27)))/Voorblad!L$3)))</f>
        <v>0</v>
      </c>
      <c r="I65" s="1385">
        <f>IF(N27=0,0,(IF(O27=0,((DATE(Voorblad!D$3+1,1,1)-DATE(Voorblad!$D$3,(N27),J27))*(H27-(4*I27)))/Voorblad!L$3,((DATE(Voorblad!$D$3,(O27),J27)-DATE(Voorblad!$D$3,(N27),J27))*(H27-(4*I27)))/Voorblad!L$3)))</f>
        <v>0</v>
      </c>
      <c r="J65" s="1385"/>
      <c r="K65" s="1385">
        <f>IF(O27=0,0,(IF(P27=0,((DATE(Voorblad!D$3+1,1,1)-DATE(Voorblad!$D$3,(O27),J27))*(H27-(5*I27)))/Voorblad!L$3,((DATE(Voorblad!$D$3,(P27),J27)-DATE(Voorblad!$D$3,(O27),J27))*(H27-(5*I27)))/Voorblad!L$3)))</f>
        <v>0</v>
      </c>
      <c r="L65" s="1385"/>
      <c r="M65" s="1385"/>
      <c r="N65" s="1385"/>
      <c r="O65" s="1385"/>
      <c r="P65" s="1385"/>
      <c r="Q65" s="509">
        <f>IF(P27=0,0,((DATE(Voorblad!D$3+1,1,1)-DATE(Voorblad!$D$3,(P27),J27))*(H27-(6*I27)))/Voorblad!L$3)</f>
        <v>0</v>
      </c>
      <c r="R65" s="581">
        <f t="shared" si="22"/>
        <v>0</v>
      </c>
      <c r="S65" s="576">
        <f t="shared" si="20"/>
        <v>0</v>
      </c>
      <c r="T65"/>
      <c r="U65"/>
      <c r="V65"/>
      <c r="W65"/>
      <c r="X65"/>
      <c r="Y65"/>
      <c r="Z65"/>
      <c r="AA65" s="510">
        <f t="shared" si="18"/>
        <v>0</v>
      </c>
      <c r="AB65" s="510">
        <f t="shared" si="19"/>
        <v>0</v>
      </c>
    </row>
    <row r="66" spans="1:28" s="507" customFormat="1" ht="12.75" customHeight="1">
      <c r="A66" s="792">
        <f t="shared" si="21"/>
        <v>2221</v>
      </c>
      <c r="B66" s="1394">
        <f>IF(I28=0,H28,(((DATE(Voorblad!$D$3,K28,J28)-DATE(Voorblad!$D$3,1,1))*H28)/Voorblad!L$3))</f>
        <v>0</v>
      </c>
      <c r="C66" s="1394"/>
      <c r="D66" s="1385">
        <f>IF(K28=0,0,(IF(L28=0,((DATE(Voorblad!D$3+1,1,1)-DATE(Voorblad!$D$3,(K28),J28))*(H28-(1*I28)))/Voorblad!L$3,((DATE(Voorblad!$D$3,(L28),J28)-DATE(Voorblad!$D$3,(K28),J28))*(H28-(1*I28)))/Voorblad!L$3)))</f>
        <v>0</v>
      </c>
      <c r="E66" s="1385"/>
      <c r="F66" s="1385">
        <f>IF(L28=0,0,(IF(M28=0,((DATE(Voorblad!D$3+1,1,1)-DATE(Voorblad!$D$3,(L28),J28))*(H28-(2*I28)))/365,((DATE(Voorblad!$D$3,(M28),J28)-DATE(Voorblad!$D$3,(L28),J28))*(H28-(2*I28)))/Voorblad!L$3)))</f>
        <v>0</v>
      </c>
      <c r="G66" s="1385"/>
      <c r="H66" s="508">
        <f>IF(M28=0,0,(IF(N28=0,((DATE(Voorblad!D$3+1,1,1)-DATE(Voorblad!$D$3,(M28),J28))*(H28-(3*I28)))/Voorblad!L$3,((DATE(Voorblad!$D$3,(N28),J28)-DATE(Voorblad!$D$3,(M28),J28))*(H28-(3*I28)))/Voorblad!L$3)))</f>
        <v>0</v>
      </c>
      <c r="I66" s="1385">
        <f>IF(N28=0,0,(IF(O28=0,((DATE(Voorblad!D$3+1,1,1)-DATE(Voorblad!$D$3,(N28),J28))*(H28-(4*I28)))/Voorblad!L$3,((DATE(Voorblad!$D$3,(O28),J28)-DATE(Voorblad!$D$3,(N28),J28))*(H28-(4*I28)))/Voorblad!L$3)))</f>
        <v>0</v>
      </c>
      <c r="J66" s="1385"/>
      <c r="K66" s="1385">
        <f>IF(O28=0,0,(IF(P28=0,((DATE(Voorblad!D$3+1,1,1)-DATE(Voorblad!$D$3,(O28),J28))*(H28-(5*I28)))/Voorblad!L$3,((DATE(Voorblad!$D$3,(P28),J28)-DATE(Voorblad!$D$3,(O28),J28))*(H28-(5*I28)))/Voorblad!L$3)))</f>
        <v>0</v>
      </c>
      <c r="L66" s="1385"/>
      <c r="M66" s="1385"/>
      <c r="N66" s="1385"/>
      <c r="O66" s="1385"/>
      <c r="P66" s="1385"/>
      <c r="Q66" s="509">
        <f>IF(P28=0,0,((DATE(Voorblad!D$3+1,1,1)-DATE(Voorblad!$D$3,(P28),J28))*(H28-(6*I28)))/Voorblad!L$3)</f>
        <v>0</v>
      </c>
      <c r="R66" s="581">
        <f t="shared" si="22"/>
        <v>0</v>
      </c>
      <c r="S66" s="576">
        <f t="shared" si="20"/>
        <v>0</v>
      </c>
      <c r="T66"/>
      <c r="U66"/>
      <c r="V66"/>
      <c r="W66"/>
      <c r="X66"/>
      <c r="Y66"/>
      <c r="Z66"/>
      <c r="AA66" s="510">
        <f t="shared" si="18"/>
        <v>0</v>
      </c>
      <c r="AB66" s="510">
        <f t="shared" si="19"/>
        <v>0</v>
      </c>
    </row>
    <row r="67" spans="1:28" s="507" customFormat="1" ht="12.75" customHeight="1">
      <c r="A67" s="792">
        <f t="shared" si="21"/>
        <v>2222</v>
      </c>
      <c r="B67" s="1394">
        <f>IF(I29=0,H29,(((DATE(Voorblad!$D$3,K29,J29)-DATE(Voorblad!$D$3,1,1))*H29)/Voorblad!L$3))</f>
        <v>0</v>
      </c>
      <c r="C67" s="1394"/>
      <c r="D67" s="1385">
        <f>IF(K29=0,0,(IF(L29=0,((DATE(Voorblad!D$3+1,1,1)-DATE(Voorblad!$D$3,(K29),J29))*(H29-(1*I29)))/Voorblad!L$3,((DATE(Voorblad!$D$3,(L29),J29)-DATE(Voorblad!$D$3,(K29),J29))*(H29-(1*I29)))/Voorblad!L$3)))</f>
        <v>0</v>
      </c>
      <c r="E67" s="1385"/>
      <c r="F67" s="1385">
        <f>IF(L29=0,0,(IF(M29=0,((DATE(Voorblad!D$3+1,1,1)-DATE(Voorblad!$D$3,(L29),J29))*(H29-(2*I29)))/365,((DATE(Voorblad!$D$3,(M29),J29)-DATE(Voorblad!$D$3,(L29),J29))*(H29-(2*I29)))/Voorblad!L$3)))</f>
        <v>0</v>
      </c>
      <c r="G67" s="1385"/>
      <c r="H67" s="508">
        <f>IF(M29=0,0,(IF(N29=0,((DATE(Voorblad!D$3+1,1,1)-DATE(Voorblad!$D$3,(M29),J29))*(H29-(3*I29)))/Voorblad!L$3,((DATE(Voorblad!$D$3,(N29),J29)-DATE(Voorblad!$D$3,(M29),J29))*(H29-(3*I29)))/Voorblad!L$3)))</f>
        <v>0</v>
      </c>
      <c r="I67" s="1385">
        <f>IF(N29=0,0,(IF(O29=0,((DATE(Voorblad!D$3+1,1,1)-DATE(Voorblad!$D$3,(N29),J29))*(H29-(4*I29)))/Voorblad!L$3,((DATE(Voorblad!$D$3,(O29),J29)-DATE(Voorblad!$D$3,(N29),J29))*(H29-(4*I29)))/Voorblad!L$3)))</f>
        <v>0</v>
      </c>
      <c r="J67" s="1385"/>
      <c r="K67" s="1385">
        <f>IF(O29=0,0,(IF(P29=0,((DATE(Voorblad!D$3+1,1,1)-DATE(Voorblad!$D$3,(O29),J29))*(H29-(5*I29)))/Voorblad!L$3,((DATE(Voorblad!$D$3,(P29),J29)-DATE(Voorblad!$D$3,(O29),J29))*(H29-(5*I29)))/Voorblad!L$3)))</f>
        <v>0</v>
      </c>
      <c r="L67" s="1385"/>
      <c r="M67" s="1385"/>
      <c r="N67" s="1385"/>
      <c r="O67" s="1385"/>
      <c r="P67" s="1385"/>
      <c r="Q67" s="509">
        <f>IF(P29=0,0,((DATE(Voorblad!D$3+1,1,1)-DATE(Voorblad!$D$3,(P29),J29))*(H29-(6*I29)))/Voorblad!L$3)</f>
        <v>0</v>
      </c>
      <c r="R67" s="581">
        <f t="shared" si="22"/>
        <v>0</v>
      </c>
      <c r="S67" s="576">
        <f t="shared" si="20"/>
        <v>0</v>
      </c>
      <c r="T67"/>
      <c r="U67"/>
      <c r="V67"/>
      <c r="W67"/>
      <c r="X67"/>
      <c r="Y67"/>
      <c r="Z67"/>
      <c r="AA67" s="510">
        <f t="shared" si="18"/>
        <v>0</v>
      </c>
      <c r="AB67" s="510">
        <f t="shared" si="19"/>
        <v>0</v>
      </c>
    </row>
    <row r="68" spans="1:28" s="507" customFormat="1" ht="12.75" customHeight="1">
      <c r="A68" s="792">
        <f t="shared" si="21"/>
        <v>2223</v>
      </c>
      <c r="B68" s="1394">
        <f>IF(I30=0,H30,(((DATE(Voorblad!$D$3,K30,J30)-DATE(Voorblad!$D$3,1,1))*H30)/Voorblad!L$3))</f>
        <v>0</v>
      </c>
      <c r="C68" s="1394"/>
      <c r="D68" s="1385">
        <f>IF(K30=0,0,(IF(L30=0,((DATE(Voorblad!D$3+1,1,1)-DATE(Voorblad!$D$3,(K30),J30))*(H30-(1*I30)))/Voorblad!L$3,((DATE(Voorblad!$D$3,(L30),J30)-DATE(Voorblad!$D$3,(K30),J30))*(H30-(1*I30)))/Voorblad!L$3)))</f>
        <v>0</v>
      </c>
      <c r="E68" s="1385"/>
      <c r="F68" s="1385">
        <f>IF(L30=0,0,(IF(M30=0,((DATE(Voorblad!D$3+1,1,1)-DATE(Voorblad!$D$3,(L30),J30))*(H30-(2*I30)))/365,((DATE(Voorblad!$D$3,(M30),J30)-DATE(Voorblad!$D$3,(L30),J30))*(H30-(2*I30)))/Voorblad!L$3)))</f>
        <v>0</v>
      </c>
      <c r="G68" s="1385"/>
      <c r="H68" s="508">
        <f>IF(M30=0,0,(IF(N30=0,((DATE(Voorblad!D$3+1,1,1)-DATE(Voorblad!$D$3,(M30),J30))*(H30-(3*I30)))/Voorblad!L$3,((DATE(Voorblad!$D$3,(N30),J30)-DATE(Voorblad!$D$3,(M30),J30))*(H30-(3*I30)))/Voorblad!L$3)))</f>
        <v>0</v>
      </c>
      <c r="I68" s="1385">
        <f>IF(N30=0,0,(IF(O30=0,((DATE(Voorblad!D$3+1,1,1)-DATE(Voorblad!$D$3,(N30),J30))*(H30-(4*I30)))/Voorblad!L$3,((DATE(Voorblad!$D$3,(O30),J30)-DATE(Voorblad!$D$3,(N30),J30))*(H30-(4*I30)))/Voorblad!L$3)))</f>
        <v>0</v>
      </c>
      <c r="J68" s="1385"/>
      <c r="K68" s="1385">
        <f>IF(O30=0,0,(IF(P30=0,((DATE(Voorblad!D$3+1,1,1)-DATE(Voorblad!$D$3,(O30),J30))*(H30-(5*I30)))/Voorblad!L$3,((DATE(Voorblad!$D$3,(P30),J30)-DATE(Voorblad!$D$3,(O30),J30))*(H30-(5*I30)))/Voorblad!L$3)))</f>
        <v>0</v>
      </c>
      <c r="L68" s="1385"/>
      <c r="M68" s="1385"/>
      <c r="N68" s="1385"/>
      <c r="O68" s="1385"/>
      <c r="P68" s="1385"/>
      <c r="Q68" s="509">
        <f>IF(P30=0,0,((DATE(Voorblad!D$3+1,1,1)-DATE(Voorblad!$D$3,(P30),J30))*(H30-(6*I30)))/Voorblad!L$3)</f>
        <v>0</v>
      </c>
      <c r="R68" s="581">
        <f t="shared" si="22"/>
        <v>0</v>
      </c>
      <c r="S68" s="576">
        <f t="shared" si="20"/>
        <v>0</v>
      </c>
      <c r="T68"/>
      <c r="U68"/>
      <c r="V68"/>
      <c r="W68"/>
      <c r="X68"/>
      <c r="Y68"/>
      <c r="Z68"/>
      <c r="AA68" s="510">
        <f t="shared" si="18"/>
        <v>0</v>
      </c>
      <c r="AB68" s="510">
        <f t="shared" si="19"/>
        <v>0</v>
      </c>
    </row>
    <row r="69" spans="1:28" s="507" customFormat="1" ht="12.75" customHeight="1">
      <c r="A69" s="792">
        <f t="shared" si="21"/>
        <v>2224</v>
      </c>
      <c r="B69" s="1394">
        <f>IF(I31=0,H31,(((DATE(Voorblad!$D$3,K31,J31)-DATE(Voorblad!$D$3,1,1))*H31)/Voorblad!L$3))</f>
        <v>0</v>
      </c>
      <c r="C69" s="1394"/>
      <c r="D69" s="1385">
        <f>IF(K31=0,0,(IF(L31=0,((DATE(Voorblad!D$3+1,1,1)-DATE(Voorblad!$D$3,(K31),J31))*(H31-(1*I31)))/Voorblad!L$3,((DATE(Voorblad!$D$3,(L31),J31)-DATE(Voorblad!$D$3,(K31),J31))*(H31-(1*I31)))/Voorblad!L$3)))</f>
        <v>0</v>
      </c>
      <c r="E69" s="1385"/>
      <c r="F69" s="1385">
        <f>IF(L31=0,0,(IF(M31=0,((DATE(Voorblad!D$3+1,1,1)-DATE(Voorblad!$D$3,(L31),J31))*(H31-(2*I31)))/365,((DATE(Voorblad!$D$3,(M31),J31)-DATE(Voorblad!$D$3,(L31),J31))*(H31-(2*I31)))/Voorblad!L$3)))</f>
        <v>0</v>
      </c>
      <c r="G69" s="1385"/>
      <c r="H69" s="508">
        <f>IF(M31=0,0,(IF(N31=0,((DATE(Voorblad!D$3+1,1,1)-DATE(Voorblad!$D$3,(M31),J31))*(H31-(3*I31)))/Voorblad!L$3,((DATE(Voorblad!$D$3,(N31),J31)-DATE(Voorblad!$D$3,(M31),J31))*(H31-(3*I31)))/Voorblad!L$3)))</f>
        <v>0</v>
      </c>
      <c r="I69" s="1385">
        <f>IF(N31=0,0,(IF(O31=0,((DATE(Voorblad!D$3+1,1,1)-DATE(Voorblad!$D$3,(N31),J31))*(H31-(4*I31)))/Voorblad!L$3,((DATE(Voorblad!$D$3,(O31),J31)-DATE(Voorblad!$D$3,(N31),J31))*(H31-(4*I31)))/Voorblad!L$3)))</f>
        <v>0</v>
      </c>
      <c r="J69" s="1385"/>
      <c r="K69" s="1385">
        <f>IF(O31=0,0,(IF(P31=0,((DATE(Voorblad!D$3+1,1,1)-DATE(Voorblad!$D$3,(O31),J31))*(H31-(5*I31)))/Voorblad!L$3,((DATE(Voorblad!$D$3,(P31),J31)-DATE(Voorblad!$D$3,(O31),J31))*(H31-(5*I31)))/Voorblad!L$3)))</f>
        <v>0</v>
      </c>
      <c r="L69" s="1385"/>
      <c r="M69" s="1385"/>
      <c r="N69" s="1385"/>
      <c r="O69" s="1385"/>
      <c r="P69" s="1385"/>
      <c r="Q69" s="509">
        <f>IF(P31=0,0,((DATE(Voorblad!D$3+1,1,1)-DATE(Voorblad!$D$3,(P31),J31))*(H31-(6*I31)))/Voorblad!L$3)</f>
        <v>0</v>
      </c>
      <c r="R69" s="581">
        <f t="shared" si="22"/>
        <v>0</v>
      </c>
      <c r="S69" s="576">
        <f t="shared" si="20"/>
        <v>0</v>
      </c>
      <c r="T69"/>
      <c r="U69"/>
      <c r="V69"/>
      <c r="W69"/>
      <c r="X69"/>
      <c r="Y69"/>
      <c r="Z69"/>
      <c r="AA69" s="510">
        <f t="shared" si="18"/>
        <v>0</v>
      </c>
      <c r="AB69" s="510">
        <f t="shared" si="19"/>
        <v>0</v>
      </c>
    </row>
    <row r="70" spans="1:28" s="507" customFormat="1" ht="12.75" customHeight="1">
      <c r="A70" s="792">
        <f t="shared" si="21"/>
        <v>2225</v>
      </c>
      <c r="B70" s="1394">
        <f>IF(I32=0,H32,(((DATE(Voorblad!$D$3,K32,J32)-DATE(Voorblad!$D$3,1,1))*H32)/Voorblad!L$3))</f>
        <v>0</v>
      </c>
      <c r="C70" s="1394"/>
      <c r="D70" s="1385">
        <f>IF(K32=0,0,(IF(L32=0,((DATE(Voorblad!D$3+1,1,1)-DATE(Voorblad!$D$3,(K32),J32))*(H32-(1*I32)))/Voorblad!L$3,((DATE(Voorblad!$D$3,(L32),J32)-DATE(Voorblad!$D$3,(K32),J32))*(H32-(1*I32)))/Voorblad!L$3)))</f>
        <v>0</v>
      </c>
      <c r="E70" s="1385"/>
      <c r="F70" s="1385">
        <f>IF(L32=0,0,(IF(M32=0,((DATE(Voorblad!D$3+1,1,1)-DATE(Voorblad!$D$3,(L32),J32))*(H32-(2*I32)))/365,((DATE(Voorblad!$D$3,(M32),J32)-DATE(Voorblad!$D$3,(L32),J32))*(H32-(2*I32)))/Voorblad!L$3)))</f>
        <v>0</v>
      </c>
      <c r="G70" s="1385"/>
      <c r="H70" s="508">
        <f>IF(M32=0,0,(IF(N32=0,((DATE(Voorblad!D$3+1,1,1)-DATE(Voorblad!$D$3,(M32),J32))*(H32-(3*I32)))/Voorblad!L$3,((DATE(Voorblad!$D$3,(N32),J32)-DATE(Voorblad!$D$3,(M32),J32))*(H32-(3*I32)))/Voorblad!L$3)))</f>
        <v>0</v>
      </c>
      <c r="I70" s="1385">
        <f>IF(N32=0,0,(IF(O32=0,((DATE(Voorblad!D$3+1,1,1)-DATE(Voorblad!$D$3,(N32),J32))*(H32-(4*I32)))/Voorblad!L$3,((DATE(Voorblad!$D$3,(O32),J32)-DATE(Voorblad!$D$3,(N32),J32))*(H32-(4*I32)))/Voorblad!L$3)))</f>
        <v>0</v>
      </c>
      <c r="J70" s="1385"/>
      <c r="K70" s="1385">
        <f>IF(O32=0,0,(IF(P32=0,((DATE(Voorblad!D$3+1,1,1)-DATE(Voorblad!$D$3,(O32),J32))*(H32-(5*I32)))/Voorblad!L$3,((DATE(Voorblad!$D$3,(P32),J32)-DATE(Voorblad!$D$3,(O32),J32))*(H32-(5*I32)))/Voorblad!L$3)))</f>
        <v>0</v>
      </c>
      <c r="L70" s="1385"/>
      <c r="M70" s="1385"/>
      <c r="N70" s="1385"/>
      <c r="O70" s="1385"/>
      <c r="P70" s="1385"/>
      <c r="Q70" s="509">
        <f>IF(P32=0,0,((DATE(Voorblad!D$3+1,1,1)-DATE(Voorblad!$D$3,(P32),J32))*(H32-(6*I32)))/Voorblad!L$3)</f>
        <v>0</v>
      </c>
      <c r="R70" s="581">
        <f t="shared" si="22"/>
        <v>0</v>
      </c>
      <c r="S70" s="576">
        <f t="shared" si="20"/>
        <v>0</v>
      </c>
      <c r="T70"/>
      <c r="U70"/>
      <c r="V70"/>
      <c r="W70"/>
      <c r="X70"/>
      <c r="Y70"/>
      <c r="Z70"/>
      <c r="AA70" s="510">
        <f t="shared" si="18"/>
        <v>0</v>
      </c>
      <c r="AB70" s="510">
        <f t="shared" si="19"/>
        <v>0</v>
      </c>
    </row>
    <row r="71" spans="1:28" s="507" customFormat="1" ht="12.75" customHeight="1">
      <c r="A71" s="792">
        <f t="shared" si="21"/>
        <v>2226</v>
      </c>
      <c r="B71" s="1394">
        <f>IF(I33=0,H33,(((DATE(Voorblad!$D$3,K33,J33)-DATE(Voorblad!$D$3,1,1))*H33)/Voorblad!L$3))</f>
        <v>0</v>
      </c>
      <c r="C71" s="1394"/>
      <c r="D71" s="1385">
        <f>IF(K33=0,0,(IF(L33=0,((DATE(Voorblad!D$3+1,1,1)-DATE(Voorblad!$D$3,(K33),J33))*(H33-(1*I33)))/Voorblad!L$3,((DATE(Voorblad!$D$3,(L33),J33)-DATE(Voorblad!$D$3,(K33),J33))*(H33-(1*I33)))/Voorblad!L$3)))</f>
        <v>0</v>
      </c>
      <c r="E71" s="1385"/>
      <c r="F71" s="1385">
        <f>IF(L33=0,0,(IF(M33=0,((DATE(Voorblad!D$3+1,1,1)-DATE(Voorblad!$D$3,(L33),J33))*(H33-(2*I33)))/365,((DATE(Voorblad!$D$3,(M33),J33)-DATE(Voorblad!$D$3,(L33),J33))*(H33-(2*I33)))/Voorblad!L$3)))</f>
        <v>0</v>
      </c>
      <c r="G71" s="1385"/>
      <c r="H71" s="508">
        <f>IF(M33=0,0,(IF(N33=0,((DATE(Voorblad!D$3+1,1,1)-DATE(Voorblad!$D$3,(M33),J33))*(H33-(3*I33)))/Voorblad!L$3,((DATE(Voorblad!$D$3,(N33),J33)-DATE(Voorblad!$D$3,(M33),J33))*(H33-(3*I33)))/Voorblad!L$3)))</f>
        <v>0</v>
      </c>
      <c r="I71" s="1385">
        <f>IF(N33=0,0,(IF(O33=0,((DATE(Voorblad!D$3+1,1,1)-DATE(Voorblad!$D$3,(N33),J33))*(H33-(4*I33)))/Voorblad!L$3,((DATE(Voorblad!$D$3,(O33),J33)-DATE(Voorblad!$D$3,(N33),J33))*(H33-(4*I33)))/Voorblad!L$3)))</f>
        <v>0</v>
      </c>
      <c r="J71" s="1385"/>
      <c r="K71" s="1385">
        <f>IF(O33=0,0,(IF(P33=0,((DATE(Voorblad!D$3+1,1,1)-DATE(Voorblad!$D$3,(O33),J33))*(H33-(5*I33)))/Voorblad!L$3,((DATE(Voorblad!$D$3,(P33),J33)-DATE(Voorblad!$D$3,(O33),J33))*(H33-(5*I33)))/Voorblad!L$3)))</f>
        <v>0</v>
      </c>
      <c r="L71" s="1385"/>
      <c r="M71" s="1385"/>
      <c r="N71" s="1385"/>
      <c r="O71" s="1385"/>
      <c r="P71" s="1385"/>
      <c r="Q71" s="509">
        <f>IF(P33=0,0,((DATE(Voorblad!D$3+1,1,1)-DATE(Voorblad!$D$3,(P33),J33))*(H33-(6*I33)))/Voorblad!L$3)</f>
        <v>0</v>
      </c>
      <c r="R71" s="581">
        <f t="shared" si="22"/>
        <v>0</v>
      </c>
      <c r="S71" s="576">
        <f t="shared" si="20"/>
        <v>0</v>
      </c>
      <c r="T71"/>
      <c r="U71"/>
      <c r="V71"/>
      <c r="W71"/>
      <c r="X71"/>
      <c r="Y71"/>
      <c r="Z71"/>
      <c r="AA71" s="510">
        <f t="shared" si="18"/>
        <v>0</v>
      </c>
      <c r="AB71" s="510">
        <f t="shared" si="19"/>
        <v>0</v>
      </c>
    </row>
    <row r="72" spans="1:28" s="507" customFormat="1" ht="12.75" customHeight="1">
      <c r="A72" s="792">
        <f t="shared" si="21"/>
        <v>2227</v>
      </c>
      <c r="B72" s="1395">
        <f>IF(I34=0,H34,(((DATE(Voorblad!$D$3,K34,J34)-DATE(Voorblad!$D$3,1,1))*H34)/Voorblad!L$3))</f>
        <v>0</v>
      </c>
      <c r="C72" s="1395"/>
      <c r="D72" s="1393">
        <f>IF(K34=0,0,(IF(L34=0,((DATE(Voorblad!D$3+1,1,1)-DATE(Voorblad!$D$3,(K34),J34))*(H34-(1*I34)))/Voorblad!L$3,((DATE(Voorblad!$D$3,(L34),J34)-DATE(Voorblad!$D$3,(K34),J34))*(H34-(1*I34)))/Voorblad!L$3)))</f>
        <v>0</v>
      </c>
      <c r="E72" s="1393"/>
      <c r="F72" s="1393">
        <f>IF(L34=0,0,(IF(M34=0,((DATE(Voorblad!D$3+1,1,1)-DATE(Voorblad!$D$3,(L34),J34))*(H34-(2*I34)))/365,((DATE(Voorblad!$D$3,(M34),J34)-DATE(Voorblad!$D$3,(L34),J34))*(H34-(2*I34)))/Voorblad!L$3)))</f>
        <v>0</v>
      </c>
      <c r="G72" s="1393"/>
      <c r="H72" s="793">
        <f>IF(M34=0,0,(IF(N34=0,((DATE(Voorblad!D$3+1,1,1)-DATE(Voorblad!$D$3,(M34),J34))*(H34-(3*I34)))/Voorblad!L$3,((DATE(Voorblad!$D$3,(N34),J34)-DATE(Voorblad!$D$3,(M34),J34))*(H34-(3*I34)))/Voorblad!L$3)))</f>
        <v>0</v>
      </c>
      <c r="I72" s="1393">
        <f>IF(N34=0,0,(IF(O34=0,((DATE(Voorblad!D$3+1,1,1)-DATE(Voorblad!$D$3,(N34),J34))*(H34-(4*I34)))/Voorblad!L$3,((DATE(Voorblad!$D$3,(O34),J34)-DATE(Voorblad!$D$3,(N34),J34))*(H34-(4*I34)))/Voorblad!L$3)))</f>
        <v>0</v>
      </c>
      <c r="J72" s="1393"/>
      <c r="K72" s="1393">
        <f>IF(O34=0,0,(IF(P34=0,((DATE(Voorblad!D$3+1,1,1)-DATE(Voorblad!$D$3,(O34),J34))*(H34-(5*I34)))/Voorblad!L$3,((DATE(Voorblad!$D$3,(P34),J34)-DATE(Voorblad!$D$3,(O34),J34))*(H34-(5*I34)))/Voorblad!L$3)))</f>
        <v>0</v>
      </c>
      <c r="L72" s="1393"/>
      <c r="M72" s="1393"/>
      <c r="N72" s="1393"/>
      <c r="O72" s="1393"/>
      <c r="P72" s="1393"/>
      <c r="Q72" s="794">
        <f>IF(P34=0,0,((DATE(Voorblad!D$3+1,1,1)-DATE(Voorblad!$D$3,(P34),J34))*(H34-(6*I34)))/Voorblad!L$3)</f>
        <v>0</v>
      </c>
      <c r="R72" s="798">
        <f t="shared" si="22"/>
        <v>0</v>
      </c>
      <c r="S72" s="576">
        <f t="shared" si="20"/>
        <v>0</v>
      </c>
      <c r="T72"/>
      <c r="U72"/>
      <c r="V72"/>
      <c r="W72"/>
      <c r="X72"/>
      <c r="Y72"/>
      <c r="Z72"/>
      <c r="AA72" s="510">
        <f t="shared" si="18"/>
        <v>0</v>
      </c>
      <c r="AB72" s="510">
        <f t="shared" si="19"/>
        <v>0</v>
      </c>
    </row>
    <row r="73" spans="1:28" s="507" customFormat="1" ht="12.75" customHeight="1">
      <c r="A73" s="792">
        <f t="shared" si="21"/>
        <v>2228</v>
      </c>
      <c r="B73" s="795"/>
      <c r="C73" s="796"/>
      <c r="D73" s="796"/>
      <c r="E73" s="796"/>
      <c r="F73" s="796"/>
      <c r="G73" s="796"/>
      <c r="H73" s="796"/>
      <c r="I73" s="796"/>
      <c r="J73" s="796"/>
      <c r="K73" s="796"/>
      <c r="L73" s="796"/>
      <c r="M73" s="796"/>
      <c r="N73" s="796"/>
      <c r="O73" s="796"/>
      <c r="P73" s="796"/>
      <c r="Q73" s="797"/>
      <c r="R73" s="788">
        <f>SUM(R46:R72)</f>
        <v>0</v>
      </c>
      <c r="S73" s="788">
        <f>SUM(S46:S72)</f>
        <v>0</v>
      </c>
      <c r="T73"/>
      <c r="U73"/>
      <c r="V73"/>
      <c r="W73"/>
      <c r="X73"/>
      <c r="Y73"/>
      <c r="Z73"/>
      <c r="AA73" s="510"/>
      <c r="AB73" s="510"/>
    </row>
    <row r="74" ht="12.75">
      <c r="A74" s="483"/>
    </row>
    <row r="75" spans="1:19" ht="12.75">
      <c r="A75" s="684"/>
      <c r="B75" s="685"/>
      <c r="C75" s="685"/>
      <c r="D75" s="686"/>
      <c r="E75" s="685"/>
      <c r="F75" s="685"/>
      <c r="G75" s="685"/>
      <c r="H75" s="687"/>
      <c r="I75" s="687"/>
      <c r="J75" s="687"/>
      <c r="K75" s="687"/>
      <c r="L75" s="687"/>
      <c r="M75" s="687"/>
      <c r="N75" s="687"/>
      <c r="O75" s="687"/>
      <c r="P75" s="687"/>
      <c r="Q75" s="687"/>
      <c r="R75" s="687"/>
      <c r="S75" s="685"/>
    </row>
    <row r="76" spans="1:19" ht="12.75">
      <c r="A76" s="684"/>
      <c r="B76" s="685"/>
      <c r="C76" s="685"/>
      <c r="D76" s="686"/>
      <c r="E76" s="685"/>
      <c r="F76" s="685"/>
      <c r="G76" s="685"/>
      <c r="H76" s="687"/>
      <c r="I76" s="687"/>
      <c r="J76" s="687"/>
      <c r="K76" s="687"/>
      <c r="L76" s="687"/>
      <c r="M76" s="687"/>
      <c r="N76" s="687"/>
      <c r="O76" s="687"/>
      <c r="P76" s="687"/>
      <c r="Q76" s="687"/>
      <c r="R76" s="687"/>
      <c r="S76" s="685"/>
    </row>
    <row r="77" spans="1:19" ht="12.75">
      <c r="A77" s="684"/>
      <c r="B77" s="685"/>
      <c r="C77" s="685"/>
      <c r="D77" s="686"/>
      <c r="E77" s="685"/>
      <c r="F77" s="685"/>
      <c r="G77" s="685"/>
      <c r="H77" s="687"/>
      <c r="I77" s="687"/>
      <c r="J77" s="687"/>
      <c r="K77" s="687"/>
      <c r="L77" s="687"/>
      <c r="M77" s="687"/>
      <c r="N77" s="687"/>
      <c r="O77" s="687"/>
      <c r="P77" s="687"/>
      <c r="Q77" s="687"/>
      <c r="R77" s="687"/>
      <c r="S77" s="685"/>
    </row>
    <row r="78" spans="1:19" ht="12.75">
      <c r="A78" s="684"/>
      <c r="B78" s="685"/>
      <c r="C78" s="685"/>
      <c r="D78" s="686"/>
      <c r="E78" s="685"/>
      <c r="F78" s="685"/>
      <c r="G78" s="685"/>
      <c r="H78" s="687"/>
      <c r="I78" s="687"/>
      <c r="J78" s="687"/>
      <c r="K78" s="687"/>
      <c r="L78" s="687"/>
      <c r="M78" s="687"/>
      <c r="N78" s="687"/>
      <c r="O78" s="687"/>
      <c r="P78" s="687"/>
      <c r="Q78" s="687"/>
      <c r="R78" s="687"/>
      <c r="S78" s="685"/>
    </row>
    <row r="79" spans="1:19" ht="12.75">
      <c r="A79" s="684"/>
      <c r="B79" s="685"/>
      <c r="C79" s="685"/>
      <c r="D79" s="686"/>
      <c r="E79" s="685"/>
      <c r="F79" s="685"/>
      <c r="G79" s="685"/>
      <c r="H79" s="687"/>
      <c r="I79" s="687"/>
      <c r="J79" s="687"/>
      <c r="K79" s="687"/>
      <c r="L79" s="687"/>
      <c r="M79" s="687"/>
      <c r="N79" s="687"/>
      <c r="O79" s="687"/>
      <c r="P79" s="687"/>
      <c r="Q79" s="687"/>
      <c r="R79" s="687"/>
      <c r="S79" s="685"/>
    </row>
    <row r="80" spans="1:19" ht="12.75">
      <c r="A80" s="684"/>
      <c r="B80" s="685"/>
      <c r="C80" s="685"/>
      <c r="D80" s="686"/>
      <c r="E80" s="685"/>
      <c r="F80" s="685"/>
      <c r="G80" s="685"/>
      <c r="H80" s="687"/>
      <c r="I80" s="687"/>
      <c r="J80" s="687"/>
      <c r="K80" s="687"/>
      <c r="L80" s="687"/>
      <c r="M80" s="687"/>
      <c r="N80" s="687"/>
      <c r="O80" s="687"/>
      <c r="P80" s="687"/>
      <c r="Q80" s="687"/>
      <c r="R80" s="687"/>
      <c r="S80" s="685"/>
    </row>
  </sheetData>
  <sheetProtection password="CFAD" sheet="1" objects="1" scenarios="1"/>
  <mergeCells count="139">
    <mergeCell ref="B70:C70"/>
    <mergeCell ref="B71:C71"/>
    <mergeCell ref="B72:C72"/>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D60:E60"/>
    <mergeCell ref="F60:G60"/>
    <mergeCell ref="I60:J60"/>
    <mergeCell ref="K60:P60"/>
    <mergeCell ref="D59:E59"/>
    <mergeCell ref="F59:G59"/>
    <mergeCell ref="I59:J59"/>
    <mergeCell ref="K59:P59"/>
    <mergeCell ref="D58:E58"/>
    <mergeCell ref="F58:G58"/>
    <mergeCell ref="I58:J58"/>
    <mergeCell ref="K58:P58"/>
    <mergeCell ref="D57:E57"/>
    <mergeCell ref="F57:G57"/>
    <mergeCell ref="I57:J57"/>
    <mergeCell ref="K57:P57"/>
    <mergeCell ref="D56:E56"/>
    <mergeCell ref="F56:G56"/>
    <mergeCell ref="I56:J56"/>
    <mergeCell ref="K56:P56"/>
    <mergeCell ref="K54:P54"/>
    <mergeCell ref="D55:E55"/>
    <mergeCell ref="F55:G55"/>
    <mergeCell ref="I55:J55"/>
    <mergeCell ref="K55:P55"/>
    <mergeCell ref="F67:G67"/>
    <mergeCell ref="F68:G68"/>
    <mergeCell ref="F69:G69"/>
    <mergeCell ref="F70:G70"/>
    <mergeCell ref="F62:G62"/>
    <mergeCell ref="F63:G63"/>
    <mergeCell ref="F64:G64"/>
    <mergeCell ref="F65:G65"/>
    <mergeCell ref="F50:G50"/>
    <mergeCell ref="F51:G51"/>
    <mergeCell ref="F52:G52"/>
    <mergeCell ref="F53:G53"/>
    <mergeCell ref="F46:G46"/>
    <mergeCell ref="F47:G47"/>
    <mergeCell ref="F48:G48"/>
    <mergeCell ref="F49:G49"/>
    <mergeCell ref="I71:J71"/>
    <mergeCell ref="I72:J72"/>
    <mergeCell ref="D71:E71"/>
    <mergeCell ref="D72:E72"/>
    <mergeCell ref="F71:G71"/>
    <mergeCell ref="F72:G72"/>
    <mergeCell ref="K71:P71"/>
    <mergeCell ref="K72:P72"/>
    <mergeCell ref="D47:E47"/>
    <mergeCell ref="D63:E63"/>
    <mergeCell ref="D64:E64"/>
    <mergeCell ref="D65:E65"/>
    <mergeCell ref="D66:E66"/>
    <mergeCell ref="D67:E67"/>
    <mergeCell ref="D68:E68"/>
    <mergeCell ref="D69:E69"/>
    <mergeCell ref="K63:P63"/>
    <mergeCell ref="K68:P68"/>
    <mergeCell ref="K69:P69"/>
    <mergeCell ref="K70:P70"/>
    <mergeCell ref="K64:P64"/>
    <mergeCell ref="K65:P65"/>
    <mergeCell ref="K66:P66"/>
    <mergeCell ref="K67:P67"/>
    <mergeCell ref="D70:E70"/>
    <mergeCell ref="I66:J66"/>
    <mergeCell ref="I67:J67"/>
    <mergeCell ref="I63:J63"/>
    <mergeCell ref="I64:J64"/>
    <mergeCell ref="I65:J65"/>
    <mergeCell ref="I68:J68"/>
    <mergeCell ref="I69:J69"/>
    <mergeCell ref="I70:J70"/>
    <mergeCell ref="F66:G66"/>
    <mergeCell ref="I4:P4"/>
    <mergeCell ref="I47:J47"/>
    <mergeCell ref="I45:J45"/>
    <mergeCell ref="K45:P45"/>
    <mergeCell ref="K47:P47"/>
    <mergeCell ref="I46:J46"/>
    <mergeCell ref="K46:P46"/>
    <mergeCell ref="D50:E50"/>
    <mergeCell ref="I50:J50"/>
    <mergeCell ref="K50:P50"/>
    <mergeCell ref="K5:P5"/>
    <mergeCell ref="D46:E46"/>
    <mergeCell ref="D48:E48"/>
    <mergeCell ref="I48:J48"/>
    <mergeCell ref="K48:P48"/>
    <mergeCell ref="D49:E49"/>
    <mergeCell ref="I49:J49"/>
    <mergeCell ref="K49:P49"/>
    <mergeCell ref="D62:E62"/>
    <mergeCell ref="I62:J62"/>
    <mergeCell ref="K62:P62"/>
    <mergeCell ref="D52:E52"/>
    <mergeCell ref="I52:J52"/>
    <mergeCell ref="K52:P52"/>
    <mergeCell ref="D53:E53"/>
    <mergeCell ref="I53:J53"/>
    <mergeCell ref="K53:P53"/>
    <mergeCell ref="D61:E61"/>
    <mergeCell ref="I61:J61"/>
    <mergeCell ref="K61:P61"/>
    <mergeCell ref="D51:E51"/>
    <mergeCell ref="I51:J51"/>
    <mergeCell ref="K51:P51"/>
    <mergeCell ref="F61:G61"/>
    <mergeCell ref="D54:E54"/>
    <mergeCell ref="F54:G54"/>
    <mergeCell ref="I54:J54"/>
  </mergeCells>
  <conditionalFormatting sqref="A46:A73">
    <cfRule type="cellIs" priority="1" dxfId="3" operator="equal" stopIfTrue="1">
      <formula>0</formula>
    </cfRule>
  </conditionalFormatting>
  <conditionalFormatting sqref="R36:R37 B8:P34">
    <cfRule type="expression" priority="2" dxfId="0" stopIfTrue="1">
      <formula>$I$2=TRUE</formula>
    </cfRule>
  </conditionalFormatting>
  <printOptions/>
  <pageMargins left="0.3937007874015748" right="0.3937007874015748" top="0.3937007874015748" bottom="0.3937007874015748" header="0.6299212598425197" footer="0.11811023622047245"/>
  <pageSetup horizontalDpi="300" verticalDpi="300" orientation="landscape" paperSize="9" r:id="rId2"/>
  <headerFooter alignWithMargins="0">
    <oddHeader xml:space="preserve">&amp;R&amp;9 </oddHeader>
  </headerFooter>
  <rowBreaks count="1" manualBreakCount="1">
    <brk id="39" max="255" man="1"/>
  </rowBreaks>
  <drawing r:id="rId1"/>
</worksheet>
</file>

<file path=xl/worksheets/sheet17.xml><?xml version="1.0" encoding="utf-8"?>
<worksheet xmlns="http://schemas.openxmlformats.org/spreadsheetml/2006/main" xmlns:r="http://schemas.openxmlformats.org/officeDocument/2006/relationships">
  <sheetPr codeName="Blad20">
    <pageSetUpPr fitToPage="1"/>
  </sheetPr>
  <dimension ref="A1:Q41"/>
  <sheetViews>
    <sheetView showGridLines="0" view="pageBreakPreview" zoomScaleNormal="86" zoomScaleSheetLayoutView="100" workbookViewId="0" topLeftCell="A16">
      <selection activeCell="E27" sqref="E27"/>
    </sheetView>
  </sheetViews>
  <sheetFormatPr defaultColWidth="9.140625" defaultRowHeight="12.75"/>
  <cols>
    <col min="1" max="1" width="5.7109375" style="470" customWidth="1"/>
    <col min="2" max="2" width="66.140625" style="439" customWidth="1"/>
    <col min="3" max="4" width="17.7109375" style="435" customWidth="1"/>
    <col min="5" max="5" width="17.7109375" style="439" customWidth="1"/>
    <col min="6" max="6" width="9.140625" style="439" customWidth="1"/>
    <col min="7" max="7" width="10.7109375" style="440" customWidth="1"/>
    <col min="8" max="8" width="10.7109375" style="441" customWidth="1"/>
    <col min="9" max="13" width="10.7109375" style="440" customWidth="1"/>
    <col min="14" max="21" width="9.140625" style="439" customWidth="1"/>
    <col min="22" max="22" width="1.7109375" style="439" customWidth="1"/>
    <col min="23" max="16384" width="9.140625" style="439" customWidth="1"/>
  </cols>
  <sheetData>
    <row r="1" spans="1:5" ht="15.75" customHeight="1">
      <c r="A1" s="662"/>
      <c r="B1" s="640"/>
      <c r="C1" s="2"/>
      <c r="D1" s="2"/>
      <c r="E1" s="640"/>
    </row>
    <row r="2" spans="1:13" s="447" customFormat="1" ht="15.75" customHeight="1">
      <c r="A2" s="6" t="str">
        <f>CONCATENATE("Nacalculatieformulier ",Voorblad!D3," ")</f>
        <v>Nacalculatieformulier 2004 </v>
      </c>
      <c r="B2" s="7"/>
      <c r="C2" s="8" t="b">
        <f>Voorblad!D30</f>
        <v>1</v>
      </c>
      <c r="D2" s="8"/>
      <c r="E2" s="10">
        <f>H!S41+1</f>
        <v>23</v>
      </c>
      <c r="G2" s="448"/>
      <c r="H2" s="449"/>
      <c r="I2" s="448"/>
      <c r="J2" s="448"/>
      <c r="K2" s="448"/>
      <c r="L2" s="448"/>
      <c r="M2" s="448"/>
    </row>
    <row r="3" spans="1:8" s="457" customFormat="1" ht="12.75" customHeight="1">
      <c r="A3" s="624"/>
      <c r="B3" s="572"/>
      <c r="C3" s="42"/>
      <c r="D3" s="42"/>
      <c r="E3" s="572"/>
      <c r="H3" s="455"/>
    </row>
    <row r="4" spans="1:5" s="447" customFormat="1" ht="12.75" customHeight="1">
      <c r="A4" s="21"/>
      <c r="B4" s="222"/>
      <c r="C4" s="223" t="str">
        <f>CONCATENATE("31-12-",Voorblad!D3-1," ")</f>
        <v>31-12-2003 </v>
      </c>
      <c r="D4" s="223" t="str">
        <f>CONCATENATE("31-12-",Voorblad!D3," ")</f>
        <v>31-12-2004 </v>
      </c>
      <c r="E4" s="223" t="str">
        <f>CONCATENATE("Gemiddeld ",Voorblad!D3," ")</f>
        <v>Gemiddeld 2004 </v>
      </c>
    </row>
    <row r="5" spans="1:5" s="457" customFormat="1" ht="12.75" customHeight="1">
      <c r="A5" s="645"/>
      <c r="B5" s="572"/>
      <c r="C5" s="175"/>
      <c r="D5" s="42"/>
      <c r="E5" s="572"/>
    </row>
    <row r="6" spans="1:8" s="457" customFormat="1" ht="12.75" customHeight="1">
      <c r="A6" s="624" t="s">
        <v>299</v>
      </c>
      <c r="B6" s="668" t="s">
        <v>298</v>
      </c>
      <c r="C6" s="168"/>
      <c r="D6" s="168"/>
      <c r="E6" s="572"/>
      <c r="H6" s="455"/>
    </row>
    <row r="7" spans="1:5" s="457" customFormat="1" ht="12.75" customHeight="1">
      <c r="A7" s="739">
        <f>(100*E2)+1</f>
        <v>2301</v>
      </c>
      <c r="B7" s="799" t="s">
        <v>75</v>
      </c>
      <c r="C7" s="433"/>
      <c r="D7" s="433"/>
      <c r="E7" s="482">
        <f aca="true" t="shared" si="0" ref="E7:E17">(C7+D7)/2</f>
        <v>0</v>
      </c>
    </row>
    <row r="8" spans="1:5" s="457" customFormat="1" ht="12.75" customHeight="1">
      <c r="A8" s="739">
        <f>A7+1</f>
        <v>2302</v>
      </c>
      <c r="B8" s="799" t="s">
        <v>77</v>
      </c>
      <c r="C8" s="433"/>
      <c r="D8" s="433"/>
      <c r="E8" s="482">
        <f t="shared" si="0"/>
        <v>0</v>
      </c>
    </row>
    <row r="9" spans="1:5" s="457" customFormat="1" ht="12.75" customHeight="1">
      <c r="A9" s="739">
        <f aca="true" t="shared" si="1" ref="A9:A17">A8+1</f>
        <v>2303</v>
      </c>
      <c r="B9" s="457" t="s">
        <v>76</v>
      </c>
      <c r="C9" s="433"/>
      <c r="D9" s="433"/>
      <c r="E9" s="482">
        <f t="shared" si="0"/>
        <v>0</v>
      </c>
    </row>
    <row r="10" spans="1:17" s="457" customFormat="1" ht="12.75" customHeight="1">
      <c r="A10" s="739">
        <f t="shared" si="1"/>
        <v>2304</v>
      </c>
      <c r="B10" s="799" t="s">
        <v>522</v>
      </c>
      <c r="C10" s="433"/>
      <c r="D10" s="433"/>
      <c r="E10" s="482">
        <f t="shared" si="0"/>
        <v>0</v>
      </c>
      <c r="Q10" s="467"/>
    </row>
    <row r="11" spans="1:5" s="457" customFormat="1" ht="12.75" customHeight="1">
      <c r="A11" s="739">
        <f t="shared" si="1"/>
        <v>2305</v>
      </c>
      <c r="B11" s="799" t="s">
        <v>523</v>
      </c>
      <c r="C11" s="433"/>
      <c r="D11" s="433"/>
      <c r="E11" s="482">
        <f t="shared" si="0"/>
        <v>0</v>
      </c>
    </row>
    <row r="12" spans="1:5" s="457" customFormat="1" ht="12.75" customHeight="1">
      <c r="A12" s="739">
        <f t="shared" si="1"/>
        <v>2306</v>
      </c>
      <c r="B12" s="799" t="s">
        <v>524</v>
      </c>
      <c r="C12" s="433"/>
      <c r="D12" s="433"/>
      <c r="E12" s="482">
        <f t="shared" si="0"/>
        <v>0</v>
      </c>
    </row>
    <row r="13" spans="1:5" s="457" customFormat="1" ht="12.75" customHeight="1">
      <c r="A13" s="739">
        <f t="shared" si="1"/>
        <v>2307</v>
      </c>
      <c r="B13" s="799" t="s">
        <v>525</v>
      </c>
      <c r="C13" s="433"/>
      <c r="D13" s="433"/>
      <c r="E13" s="482">
        <f t="shared" si="0"/>
        <v>0</v>
      </c>
    </row>
    <row r="14" spans="1:5" s="457" customFormat="1" ht="12.75" customHeight="1">
      <c r="A14" s="739">
        <f t="shared" si="1"/>
        <v>2308</v>
      </c>
      <c r="B14" s="799" t="s">
        <v>526</v>
      </c>
      <c r="C14" s="433"/>
      <c r="D14" s="433"/>
      <c r="E14" s="482">
        <f t="shared" si="0"/>
        <v>0</v>
      </c>
    </row>
    <row r="15" spans="1:5" s="457" customFormat="1" ht="12.75" customHeight="1">
      <c r="A15" s="739">
        <f t="shared" si="1"/>
        <v>2309</v>
      </c>
      <c r="B15" s="799" t="s">
        <v>527</v>
      </c>
      <c r="C15" s="433"/>
      <c r="D15" s="433"/>
      <c r="E15" s="482">
        <f t="shared" si="0"/>
        <v>0</v>
      </c>
    </row>
    <row r="16" spans="1:5" s="457" customFormat="1" ht="12.75" customHeight="1">
      <c r="A16" s="739">
        <f t="shared" si="1"/>
        <v>2310</v>
      </c>
      <c r="B16" s="799" t="s">
        <v>528</v>
      </c>
      <c r="C16" s="433"/>
      <c r="D16" s="433"/>
      <c r="E16" s="482">
        <f t="shared" si="0"/>
        <v>0</v>
      </c>
    </row>
    <row r="17" spans="1:5" s="457" customFormat="1" ht="12.75" customHeight="1">
      <c r="A17" s="739">
        <f t="shared" si="1"/>
        <v>2311</v>
      </c>
      <c r="B17" s="799" t="s">
        <v>78</v>
      </c>
      <c r="C17" s="433"/>
      <c r="D17" s="433"/>
      <c r="E17" s="482">
        <f t="shared" si="0"/>
        <v>0</v>
      </c>
    </row>
    <row r="18" spans="1:5" s="457" customFormat="1" ht="12.75" customHeight="1">
      <c r="A18" s="739">
        <f>A17+1</f>
        <v>2312</v>
      </c>
      <c r="B18" s="1176" t="str">
        <f>CONCATENATE("Totaal eigen vermogen conform jaarrekening (regel ",A7," t/m ",A17,")")</f>
        <v>Totaal eigen vermogen conform jaarrekening (regel 2301 t/m 2311)</v>
      </c>
      <c r="C18" s="768">
        <f>SUM(C7:C17)</f>
        <v>0</v>
      </c>
      <c r="D18" s="768">
        <f>SUM(D7:D17)</f>
        <v>0</v>
      </c>
      <c r="E18" s="768">
        <f>SUM(E7:E17)</f>
        <v>0</v>
      </c>
    </row>
    <row r="19" spans="1:5" s="457" customFormat="1" ht="12.75" customHeight="1">
      <c r="A19" s="739">
        <f>A18+1</f>
        <v>2313</v>
      </c>
      <c r="B19" s="803" t="s">
        <v>680</v>
      </c>
      <c r="C19" s="857"/>
      <c r="D19" s="750"/>
      <c r="E19" s="801">
        <f>(C19+D19)/2</f>
        <v>0</v>
      </c>
    </row>
    <row r="20" spans="1:5" s="457" customFormat="1" ht="12.75" customHeight="1">
      <c r="A20" s="739">
        <f>A19+1</f>
        <v>2314</v>
      </c>
      <c r="B20" s="255" t="s">
        <v>95</v>
      </c>
      <c r="C20" s="800"/>
      <c r="D20" s="750"/>
      <c r="E20" s="801">
        <f>(C20+D20)/2</f>
        <v>0</v>
      </c>
    </row>
    <row r="21" spans="1:5" s="457" customFormat="1" ht="12.75" customHeight="1">
      <c r="A21" s="739">
        <f>A20+1</f>
        <v>2315</v>
      </c>
      <c r="B21" s="255"/>
      <c r="C21" s="1109"/>
      <c r="D21" s="1109"/>
      <c r="E21" s="482">
        <f>(C21+D21)/2</f>
        <v>0</v>
      </c>
    </row>
    <row r="22" spans="1:5" s="457" customFormat="1" ht="12.75" customHeight="1">
      <c r="A22" s="739">
        <f>A21+1</f>
        <v>2316</v>
      </c>
      <c r="B22" s="753" t="str">
        <f>CONCATENATE("In aanmerking te nemen eigen vermogen (regel ",A18," -/- ",A19," t/m ",A21,")")</f>
        <v>In aanmerking te nemen eigen vermogen (regel 2312 -/- 2313 t/m 2315)</v>
      </c>
      <c r="C22" s="768">
        <f>SUM(C7:C17)-C20+C21</f>
        <v>0</v>
      </c>
      <c r="D22" s="768">
        <f>SUM(D7:D17)-D19-D20+D21</f>
        <v>0</v>
      </c>
      <c r="E22" s="768">
        <f>SUM(E7:E17)-E19-E20+E21</f>
        <v>0</v>
      </c>
    </row>
    <row r="23" spans="1:4" s="457" customFormat="1" ht="12.75" customHeight="1">
      <c r="A23" s="624"/>
      <c r="B23" s="572"/>
      <c r="C23" s="459"/>
      <c r="D23" s="459"/>
    </row>
    <row r="24" spans="1:3" s="457" customFormat="1" ht="12.75" customHeight="1">
      <c r="A24" s="572"/>
      <c r="B24" s="637"/>
      <c r="C24" s="474"/>
    </row>
    <row r="25" spans="1:8" s="457" customFormat="1" ht="12.75" customHeight="1">
      <c r="A25" s="178"/>
      <c r="B25" s="179"/>
      <c r="C25" s="511"/>
      <c r="D25" s="471"/>
      <c r="E25" s="221" t="s">
        <v>123</v>
      </c>
      <c r="H25" s="455"/>
    </row>
    <row r="26" spans="1:9" s="457" customFormat="1" ht="12.75" customHeight="1">
      <c r="A26" s="624" t="s">
        <v>544</v>
      </c>
      <c r="B26" s="627" t="s">
        <v>412</v>
      </c>
      <c r="C26" s="474"/>
      <c r="E26" s="459"/>
      <c r="I26" s="459"/>
    </row>
    <row r="27" spans="1:9" s="457" customFormat="1" ht="12.75" customHeight="1">
      <c r="A27" s="739">
        <f>A22+1</f>
        <v>2317</v>
      </c>
      <c r="B27" s="858" t="str">
        <f>CONCATENATE("Rente lange leningen bijlage ",LEFT(H!A7)," (exclusief eventuele boeterente van conversies)")</f>
        <v>Rente lange leningen bijlage H (exclusief eventuele boeterente van conversies)</v>
      </c>
      <c r="C27" s="501"/>
      <c r="D27" s="469"/>
      <c r="E27" s="482">
        <f>H!T35</f>
        <v>0</v>
      </c>
      <c r="F27" s="471"/>
      <c r="G27" s="471"/>
      <c r="H27" s="471"/>
      <c r="I27" s="471"/>
    </row>
    <row r="28" spans="1:11" s="457" customFormat="1" ht="12.75" customHeight="1">
      <c r="A28" s="739">
        <f>A27+1</f>
        <v>2318</v>
      </c>
      <c r="B28" s="803" t="s">
        <v>94</v>
      </c>
      <c r="C28" s="501"/>
      <c r="D28" s="469"/>
      <c r="E28" s="433"/>
      <c r="I28" s="459"/>
      <c r="J28" s="471"/>
      <c r="K28" s="471"/>
    </row>
    <row r="29" spans="1:11" s="471" customFormat="1" ht="12.75" customHeight="1">
      <c r="A29" s="739">
        <f>A28+1</f>
        <v>2319</v>
      </c>
      <c r="B29" s="802" t="s">
        <v>413</v>
      </c>
      <c r="C29" s="501"/>
      <c r="D29" s="469"/>
      <c r="E29" s="433"/>
      <c r="F29" s="459"/>
      <c r="G29" s="459"/>
      <c r="H29" s="459"/>
      <c r="I29" s="459"/>
      <c r="J29" s="457"/>
      <c r="K29" s="457"/>
    </row>
    <row r="30" spans="1:11" s="457" customFormat="1" ht="12.75" customHeight="1">
      <c r="A30" s="739">
        <f>A29+1</f>
        <v>2320</v>
      </c>
      <c r="B30" s="804" t="s">
        <v>158</v>
      </c>
      <c r="C30" s="805"/>
      <c r="D30" s="806"/>
      <c r="E30" s="740"/>
      <c r="F30" s="459"/>
      <c r="G30" s="459"/>
      <c r="H30" s="459"/>
      <c r="I30" s="459"/>
      <c r="J30" s="459"/>
      <c r="K30" s="459"/>
    </row>
    <row r="31" spans="1:5" s="459" customFormat="1" ht="12.75" customHeight="1">
      <c r="A31" s="739">
        <f>A30+1</f>
        <v>2321</v>
      </c>
      <c r="B31" s="804" t="s">
        <v>79</v>
      </c>
      <c r="C31" s="805"/>
      <c r="D31" s="806"/>
      <c r="E31" s="740"/>
    </row>
    <row r="32" spans="1:5" s="459" customFormat="1" ht="12.75" customHeight="1">
      <c r="A32" s="739">
        <f>A31+1</f>
        <v>2322</v>
      </c>
      <c r="B32" s="779" t="str">
        <f>CONCATENATE("Totaal regels ",A27," t/m ",A31)</f>
        <v>Totaal regels 2317 t/m 2321</v>
      </c>
      <c r="C32" s="807"/>
      <c r="D32" s="808"/>
      <c r="E32" s="777">
        <f>SUM(E27:E31)</f>
        <v>0</v>
      </c>
    </row>
    <row r="33" spans="1:5" s="459" customFormat="1" ht="12.75" customHeight="1">
      <c r="A33"/>
      <c r="B33"/>
      <c r="C33"/>
      <c r="D33"/>
      <c r="E33"/>
    </row>
    <row r="34" spans="1:5" s="459" customFormat="1" ht="12.75" customHeight="1">
      <c r="A34" s="681"/>
      <c r="B34" s="681"/>
      <c r="C34" s="681"/>
      <c r="D34" s="681"/>
      <c r="E34" s="681"/>
    </row>
    <row r="35" spans="1:11" s="459" customFormat="1" ht="12.75">
      <c r="A35" s="681"/>
      <c r="B35" s="681"/>
      <c r="C35" s="681"/>
      <c r="D35" s="681"/>
      <c r="E35" s="681"/>
      <c r="F35"/>
      <c r="G35"/>
      <c r="H35"/>
      <c r="I35"/>
      <c r="J35"/>
      <c r="K35"/>
    </row>
    <row r="36" spans="1:5" ht="12.75" customHeight="1">
      <c r="A36" s="681"/>
      <c r="B36" s="681"/>
      <c r="C36" s="681"/>
      <c r="D36" s="681"/>
      <c r="E36" s="681"/>
    </row>
    <row r="37" spans="1:5" ht="12.75" customHeight="1">
      <c r="A37" s="681"/>
      <c r="B37" s="681"/>
      <c r="C37" s="681"/>
      <c r="D37" s="681"/>
      <c r="E37" s="681"/>
    </row>
    <row r="38" spans="1:5" ht="12.75" customHeight="1">
      <c r="A38" s="681"/>
      <c r="B38" s="681"/>
      <c r="C38" s="681"/>
      <c r="D38" s="681"/>
      <c r="E38" s="681"/>
    </row>
    <row r="39" spans="1:5" ht="12.75" customHeight="1">
      <c r="A39" s="681"/>
      <c r="B39" s="681"/>
      <c r="C39" s="681"/>
      <c r="D39" s="681"/>
      <c r="E39" s="681"/>
    </row>
    <row r="40" spans="1:5" ht="12.75" customHeight="1">
      <c r="A40" s="681"/>
      <c r="B40" s="681"/>
      <c r="C40" s="681"/>
      <c r="D40" s="681"/>
      <c r="E40" s="681"/>
    </row>
    <row r="41" spans="1:5" ht="12.75" customHeight="1">
      <c r="A41" s="682"/>
      <c r="B41" s="681"/>
      <c r="C41" s="683"/>
      <c r="D41" s="683"/>
      <c r="E41" s="681"/>
    </row>
    <row r="42" ht="12.75"/>
    <row r="43" ht="12.75"/>
  </sheetData>
  <sheetProtection password="CFAD" sheet="1" objects="1" scenarios="1"/>
  <conditionalFormatting sqref="E28:E31 C20:D21 C7:D17 D19">
    <cfRule type="expression" priority="1" dxfId="0" stopIfTrue="1">
      <formula>$C$2=TRUE</formula>
    </cfRule>
  </conditionalFormatting>
  <printOptions/>
  <pageMargins left="0.3937007874015748" right="0.3937007874015748" top="0.3937007874015748" bottom="0.3937007874015748" header="0.6299212598425197" footer="0.11811023622047245"/>
  <pageSetup fitToHeight="1" fitToWidth="1" horizontalDpi="300" verticalDpi="300" orientation="landscape" paperSize="9" r:id="rId2"/>
  <headerFooter alignWithMargins="0">
    <oddHeader xml:space="preserve">&amp;R&amp;9 </oddHeader>
  </headerFooter>
  <drawing r:id="rId1"/>
</worksheet>
</file>

<file path=xl/worksheets/sheet18.xml><?xml version="1.0" encoding="utf-8"?>
<worksheet xmlns="http://schemas.openxmlformats.org/spreadsheetml/2006/main" xmlns:r="http://schemas.openxmlformats.org/officeDocument/2006/relationships">
  <sheetPr codeName="Blad21"/>
  <dimension ref="A1:F110"/>
  <sheetViews>
    <sheetView showGridLines="0" zoomScale="75" zoomScaleNormal="75" zoomScaleSheetLayoutView="100" workbookViewId="0" topLeftCell="A1">
      <selection activeCell="K6" sqref="K6"/>
    </sheetView>
  </sheetViews>
  <sheetFormatPr defaultColWidth="9.140625" defaultRowHeight="12.75"/>
  <cols>
    <col min="1" max="1" width="5.7109375" style="0" customWidth="1"/>
    <col min="2" max="2" width="109.57421875" style="0" customWidth="1"/>
    <col min="3" max="3" width="0.71875" style="0" customWidth="1"/>
    <col min="4" max="6" width="8.28125" style="0" customWidth="1"/>
    <col min="7" max="7" width="0.85546875" style="0" customWidth="1"/>
  </cols>
  <sheetData>
    <row r="1" spans="1:6" ht="12.75">
      <c r="A1" s="859"/>
      <c r="B1" s="860"/>
      <c r="C1" s="860"/>
      <c r="D1" s="861"/>
      <c r="E1" s="861"/>
      <c r="F1" s="862"/>
    </row>
    <row r="2" spans="1:6" ht="12.75">
      <c r="A2" s="863" t="str">
        <f>Inhoud!$A$2</f>
        <v>Nacalculatieformulier 2004</v>
      </c>
      <c r="B2" s="864"/>
      <c r="C2" s="880" t="b">
        <f>Voorblad!D30</f>
        <v>1</v>
      </c>
      <c r="D2" s="866"/>
      <c r="E2" s="867"/>
      <c r="F2" s="868">
        <f>'I-J'!E2+1</f>
        <v>24</v>
      </c>
    </row>
    <row r="3" spans="1:6" ht="12.75">
      <c r="A3" s="859"/>
      <c r="B3" s="860"/>
      <c r="C3" s="860"/>
      <c r="D3" s="861"/>
      <c r="E3" s="861"/>
      <c r="F3" s="862"/>
    </row>
    <row r="4" spans="1:6" ht="12.75">
      <c r="A4" s="869" t="s">
        <v>591</v>
      </c>
      <c r="B4" s="870"/>
      <c r="C4" s="871"/>
      <c r="D4" s="871"/>
      <c r="E4" s="871"/>
      <c r="F4" s="871"/>
    </row>
    <row r="5" spans="1:6" ht="12.75">
      <c r="A5" t="s">
        <v>588</v>
      </c>
      <c r="B5" s="873"/>
      <c r="C5" s="871"/>
      <c r="D5" s="871"/>
      <c r="E5" s="871"/>
      <c r="F5" s="871"/>
    </row>
    <row r="6" spans="1:6" ht="12.75">
      <c r="A6" s="872" t="s">
        <v>589</v>
      </c>
      <c r="B6" s="873"/>
      <c r="C6" s="871"/>
      <c r="D6" s="871"/>
      <c r="E6" s="871"/>
      <c r="F6" s="871"/>
    </row>
    <row r="7" spans="1:6" ht="12.75">
      <c r="A7" s="872" t="s">
        <v>590</v>
      </c>
      <c r="B7" s="873"/>
      <c r="C7" s="871"/>
      <c r="D7" s="871"/>
      <c r="E7" s="871"/>
      <c r="F7" s="871"/>
    </row>
    <row r="8" spans="1:6" ht="12" customHeight="1">
      <c r="A8" s="871"/>
      <c r="B8" s="871"/>
      <c r="C8" s="871"/>
      <c r="D8" s="871"/>
      <c r="E8" s="871"/>
      <c r="F8" s="871"/>
    </row>
    <row r="9" spans="1:6" ht="12" customHeight="1">
      <c r="A9" s="874"/>
      <c r="B9" s="874"/>
      <c r="C9" s="871"/>
      <c r="D9" s="871"/>
      <c r="E9" s="871"/>
      <c r="F9" s="871"/>
    </row>
    <row r="10" spans="1:6" ht="12" customHeight="1">
      <c r="A10" s="871"/>
      <c r="B10" s="871"/>
      <c r="C10" s="871"/>
      <c r="D10" s="1413" t="s">
        <v>586</v>
      </c>
      <c r="E10" s="1414"/>
      <c r="F10" s="1415"/>
    </row>
    <row r="11" spans="1:6" ht="12" customHeight="1">
      <c r="A11" s="871"/>
      <c r="B11" s="871"/>
      <c r="C11" s="871"/>
      <c r="D11" s="875">
        <v>1</v>
      </c>
      <c r="E11" s="875">
        <v>2</v>
      </c>
      <c r="F11" s="875">
        <v>3</v>
      </c>
    </row>
    <row r="12" spans="1:6" ht="12" customHeight="1">
      <c r="A12" s="869" t="s">
        <v>587</v>
      </c>
      <c r="B12" s="871"/>
      <c r="C12" s="871"/>
      <c r="D12" s="871"/>
      <c r="E12" s="871"/>
      <c r="F12" s="871"/>
    </row>
    <row r="13" spans="1:6" ht="12" customHeight="1">
      <c r="A13" s="1404">
        <v>1</v>
      </c>
      <c r="B13" s="1419" t="s">
        <v>268</v>
      </c>
      <c r="C13" s="1412"/>
      <c r="D13" s="1399"/>
      <c r="E13" s="1399"/>
      <c r="F13" s="1420"/>
    </row>
    <row r="14" spans="1:6" ht="12" customHeight="1">
      <c r="A14" s="1405"/>
      <c r="B14" s="1411"/>
      <c r="C14" s="1412"/>
      <c r="D14" s="1400"/>
      <c r="E14" s="1400"/>
      <c r="F14" s="1420"/>
    </row>
    <row r="15" spans="1:6" ht="12" customHeight="1">
      <c r="A15" s="1406"/>
      <c r="B15" s="1411"/>
      <c r="C15" s="1412"/>
      <c r="D15" s="1400"/>
      <c r="E15" s="1400"/>
      <c r="F15" s="1420"/>
    </row>
    <row r="16" ht="12" customHeight="1"/>
    <row r="17" ht="12" customHeight="1">
      <c r="A17" s="869" t="s">
        <v>43</v>
      </c>
    </row>
    <row r="18" spans="1:6" ht="12" customHeight="1">
      <c r="A18" s="1404">
        <f>A13+1</f>
        <v>2</v>
      </c>
      <c r="B18" s="1419" t="s">
        <v>660</v>
      </c>
      <c r="C18" s="1412"/>
      <c r="D18" s="1399"/>
      <c r="E18" s="1399"/>
      <c r="F18" s="1396"/>
    </row>
    <row r="19" spans="1:6" ht="12" customHeight="1">
      <c r="A19" s="1405"/>
      <c r="B19" s="1411"/>
      <c r="C19" s="1412"/>
      <c r="D19" s="1400"/>
      <c r="E19" s="1400"/>
      <c r="F19" s="1396"/>
    </row>
    <row r="20" spans="1:6" ht="12" customHeight="1">
      <c r="A20" s="1406"/>
      <c r="B20" s="1411"/>
      <c r="C20" s="1412"/>
      <c r="D20" s="1410"/>
      <c r="E20" s="1410"/>
      <c r="F20" s="1396"/>
    </row>
    <row r="21" spans="1:6" ht="12" customHeight="1">
      <c r="A21" s="1404">
        <f>A18+1</f>
        <v>3</v>
      </c>
      <c r="B21" s="1419" t="s">
        <v>503</v>
      </c>
      <c r="C21" s="1412"/>
      <c r="D21" s="1399"/>
      <c r="E21" s="1399"/>
      <c r="F21" s="1396"/>
    </row>
    <row r="22" spans="1:6" ht="12" customHeight="1">
      <c r="A22" s="1405"/>
      <c r="B22" s="1411"/>
      <c r="C22" s="1412"/>
      <c r="D22" s="1400"/>
      <c r="E22" s="1400"/>
      <c r="F22" s="1396"/>
    </row>
    <row r="23" spans="1:6" ht="12" customHeight="1">
      <c r="A23" s="1406"/>
      <c r="B23" s="1411"/>
      <c r="C23" s="1412"/>
      <c r="D23" s="1410"/>
      <c r="E23" s="1410"/>
      <c r="F23" s="1396"/>
    </row>
    <row r="24" spans="1:6" ht="12" customHeight="1">
      <c r="A24" s="1404">
        <f>A21+1</f>
        <v>4</v>
      </c>
      <c r="B24" s="1407" t="s">
        <v>507</v>
      </c>
      <c r="C24" s="1076"/>
      <c r="D24" s="1399"/>
      <c r="E24" s="1399"/>
      <c r="F24" s="1396"/>
    </row>
    <row r="25" spans="1:6" ht="12" customHeight="1">
      <c r="A25" s="1405"/>
      <c r="B25" s="1408"/>
      <c r="C25" s="1076"/>
      <c r="D25" s="1400"/>
      <c r="E25" s="1400"/>
      <c r="F25" s="1396"/>
    </row>
    <row r="26" spans="1:6" ht="12" customHeight="1">
      <c r="A26" s="1406"/>
      <c r="B26" s="1409"/>
      <c r="C26" s="1076"/>
      <c r="D26" s="1410"/>
      <c r="E26" s="1410"/>
      <c r="F26" s="1396"/>
    </row>
    <row r="27" spans="1:6" ht="12" customHeight="1">
      <c r="A27" s="1404">
        <f>A24+1</f>
        <v>5</v>
      </c>
      <c r="B27" s="1419" t="s">
        <v>661</v>
      </c>
      <c r="C27" s="1412"/>
      <c r="D27" s="1399"/>
      <c r="E27" s="1399"/>
      <c r="F27" s="1396"/>
    </row>
    <row r="28" spans="1:6" ht="12" customHeight="1">
      <c r="A28" s="1405"/>
      <c r="B28" s="1411"/>
      <c r="C28" s="1412"/>
      <c r="D28" s="1400"/>
      <c r="E28" s="1400"/>
      <c r="F28" s="1396"/>
    </row>
    <row r="29" spans="1:6" ht="12" customHeight="1">
      <c r="A29" s="1406"/>
      <c r="B29" s="1411"/>
      <c r="C29" s="1412"/>
      <c r="D29" s="1410"/>
      <c r="E29" s="1410"/>
      <c r="F29" s="1396"/>
    </row>
    <row r="30" spans="1:6" ht="12" customHeight="1">
      <c r="A30" s="1404">
        <f>A27+1</f>
        <v>6</v>
      </c>
      <c r="B30" s="1419" t="s">
        <v>269</v>
      </c>
      <c r="C30" s="1412"/>
      <c r="D30" s="1399"/>
      <c r="E30" s="1399"/>
      <c r="F30" s="1396"/>
    </row>
    <row r="31" spans="1:6" ht="12" customHeight="1">
      <c r="A31" s="1405"/>
      <c r="B31" s="1411"/>
      <c r="C31" s="1412"/>
      <c r="D31" s="1400"/>
      <c r="E31" s="1400"/>
      <c r="F31" s="1396"/>
    </row>
    <row r="32" spans="1:6" ht="12" customHeight="1">
      <c r="A32" s="1406"/>
      <c r="B32" s="1411"/>
      <c r="C32" s="1412"/>
      <c r="D32" s="1410"/>
      <c r="E32" s="1410"/>
      <c r="F32" s="1396"/>
    </row>
    <row r="33" spans="1:6" ht="12" customHeight="1">
      <c r="A33" s="1404">
        <f>A30+1</f>
        <v>7</v>
      </c>
      <c r="B33" s="1411" t="s">
        <v>14</v>
      </c>
      <c r="C33" s="1412"/>
      <c r="D33" s="1399"/>
      <c r="E33" s="1399"/>
      <c r="F33" s="1396"/>
    </row>
    <row r="34" spans="1:6" ht="12" customHeight="1">
      <c r="A34" s="1405"/>
      <c r="B34" s="1411"/>
      <c r="C34" s="1412"/>
      <c r="D34" s="1400"/>
      <c r="E34" s="1400"/>
      <c r="F34" s="1396"/>
    </row>
    <row r="35" spans="1:6" ht="12" customHeight="1">
      <c r="A35" s="1406"/>
      <c r="B35" s="1411"/>
      <c r="C35" s="1412"/>
      <c r="D35" s="1410"/>
      <c r="E35" s="1410"/>
      <c r="F35" s="1396"/>
    </row>
    <row r="36" ht="12" customHeight="1"/>
    <row r="37" ht="12" customHeight="1">
      <c r="A37" s="869" t="s">
        <v>44</v>
      </c>
    </row>
    <row r="38" spans="1:6" ht="12" customHeight="1">
      <c r="A38" s="1404">
        <f>A33+1</f>
        <v>8</v>
      </c>
      <c r="B38" s="1419" t="s">
        <v>45</v>
      </c>
      <c r="C38" s="1412"/>
      <c r="D38" s="1399"/>
      <c r="E38" s="1399"/>
      <c r="F38" s="871"/>
    </row>
    <row r="39" spans="1:6" ht="12" customHeight="1">
      <c r="A39" s="1405"/>
      <c r="B39" s="1411"/>
      <c r="C39" s="1412"/>
      <c r="D39" s="1400"/>
      <c r="E39" s="1400"/>
      <c r="F39" s="871"/>
    </row>
    <row r="40" spans="1:6" ht="12" customHeight="1">
      <c r="A40" s="1406"/>
      <c r="B40" s="1411"/>
      <c r="C40" s="1412"/>
      <c r="D40" s="1410"/>
      <c r="E40" s="1410"/>
      <c r="F40" s="871"/>
    </row>
    <row r="41" spans="1:6" ht="12" customHeight="1">
      <c r="A41" s="1404">
        <f>A38+1</f>
        <v>9</v>
      </c>
      <c r="B41" s="1419" t="s">
        <v>46</v>
      </c>
      <c r="C41" s="1412"/>
      <c r="D41" s="1399"/>
      <c r="E41" s="1399"/>
      <c r="F41" s="871"/>
    </row>
    <row r="42" spans="1:6" ht="12" customHeight="1">
      <c r="A42" s="1405"/>
      <c r="B42" s="1411"/>
      <c r="C42" s="1412"/>
      <c r="D42" s="1400"/>
      <c r="E42" s="1400"/>
      <c r="F42" s="871"/>
    </row>
    <row r="43" spans="1:6" ht="12" customHeight="1">
      <c r="A43" s="1406"/>
      <c r="B43" s="1411"/>
      <c r="C43" s="1412"/>
      <c r="D43" s="1410"/>
      <c r="E43" s="1410"/>
      <c r="F43" s="871"/>
    </row>
    <row r="44" ht="12" customHeight="1"/>
    <row r="45" ht="12" customHeight="1"/>
    <row r="46" ht="12" customHeight="1"/>
    <row r="47" spans="1:6" ht="12" customHeight="1">
      <c r="A47" s="871"/>
      <c r="B47" s="871"/>
      <c r="C47" s="871"/>
      <c r="D47" s="871"/>
      <c r="E47" s="871"/>
      <c r="F47" s="871"/>
    </row>
    <row r="48" spans="1:6" ht="12" customHeight="1">
      <c r="A48" s="859"/>
      <c r="B48" s="860"/>
      <c r="C48" s="860"/>
      <c r="D48" s="861"/>
      <c r="E48" s="861"/>
      <c r="F48" s="862"/>
    </row>
    <row r="49" spans="1:6" ht="12" customHeight="1">
      <c r="A49" s="863" t="str">
        <f>Inhoud!$A$2</f>
        <v>Nacalculatieformulier 2004</v>
      </c>
      <c r="B49" s="864"/>
      <c r="C49" s="865"/>
      <c r="D49" s="866"/>
      <c r="E49" s="867"/>
      <c r="F49" s="868">
        <f>F2+1</f>
        <v>25</v>
      </c>
    </row>
    <row r="50" spans="1:6" ht="12" customHeight="1">
      <c r="A50" s="859"/>
      <c r="B50" s="860"/>
      <c r="C50" s="860"/>
      <c r="D50" s="861"/>
      <c r="E50" s="861"/>
      <c r="F50" s="862"/>
    </row>
    <row r="51" spans="1:6" ht="12" customHeight="1">
      <c r="A51" s="869" t="s">
        <v>592</v>
      </c>
      <c r="B51" s="870"/>
      <c r="C51" s="871"/>
      <c r="D51" s="1413" t="s">
        <v>586</v>
      </c>
      <c r="E51" s="1414"/>
      <c r="F51" s="1415"/>
    </row>
    <row r="52" spans="1:6" ht="12" customHeight="1">
      <c r="A52" s="871"/>
      <c r="B52" s="871"/>
      <c r="C52" s="871"/>
      <c r="D52" s="875">
        <v>1</v>
      </c>
      <c r="E52" s="875">
        <v>2</v>
      </c>
      <c r="F52" s="875">
        <v>3</v>
      </c>
    </row>
    <row r="53" spans="1:6" ht="12" customHeight="1">
      <c r="A53" s="869" t="s">
        <v>48</v>
      </c>
      <c r="B53" s="871"/>
      <c r="C53" s="871"/>
      <c r="D53" s="871"/>
      <c r="E53" s="871"/>
      <c r="F53" s="871"/>
    </row>
    <row r="54" spans="1:6" ht="12" customHeight="1">
      <c r="A54" s="869"/>
      <c r="B54" s="871"/>
      <c r="C54" s="871"/>
      <c r="D54" s="871"/>
      <c r="E54" s="871"/>
      <c r="F54" s="871"/>
    </row>
    <row r="55" spans="1:6" ht="12" customHeight="1">
      <c r="A55" s="1404">
        <f>A41+1</f>
        <v>10</v>
      </c>
      <c r="B55" s="1419" t="s">
        <v>47</v>
      </c>
      <c r="C55" s="1412"/>
      <c r="D55" s="1399"/>
      <c r="E55" s="1399"/>
      <c r="F55" s="871"/>
    </row>
    <row r="56" spans="1:6" ht="12" customHeight="1">
      <c r="A56" s="1405"/>
      <c r="B56" s="1411"/>
      <c r="C56" s="1412"/>
      <c r="D56" s="1400"/>
      <c r="E56" s="1400"/>
      <c r="F56" s="871"/>
    </row>
    <row r="57" spans="1:6" ht="12" customHeight="1">
      <c r="A57" s="1406"/>
      <c r="B57" s="1411"/>
      <c r="C57" s="1412"/>
      <c r="D57" s="1410"/>
      <c r="E57" s="1410"/>
      <c r="F57" s="871"/>
    </row>
    <row r="58" spans="1:6" ht="12" customHeight="1">
      <c r="A58" s="1404">
        <f>A55+1</f>
        <v>11</v>
      </c>
      <c r="B58" s="1419" t="s">
        <v>662</v>
      </c>
      <c r="C58" s="1412"/>
      <c r="D58" s="1399"/>
      <c r="E58" s="1416"/>
      <c r="F58" s="1396"/>
    </row>
    <row r="59" spans="1:6" ht="12" customHeight="1">
      <c r="A59" s="1405"/>
      <c r="B59" s="1411"/>
      <c r="C59" s="1412"/>
      <c r="D59" s="1400"/>
      <c r="E59" s="1417"/>
      <c r="F59" s="1396"/>
    </row>
    <row r="60" spans="1:6" ht="12" customHeight="1">
      <c r="A60" s="1406"/>
      <c r="B60" s="1411"/>
      <c r="C60" s="1412"/>
      <c r="D60" s="1410"/>
      <c r="E60" s="1418"/>
      <c r="F60" s="1396"/>
    </row>
    <row r="61" spans="1:6" ht="12" customHeight="1">
      <c r="A61" s="1404">
        <f>A58+1</f>
        <v>12</v>
      </c>
      <c r="B61" s="1419" t="s">
        <v>663</v>
      </c>
      <c r="C61" s="1412"/>
      <c r="D61" s="1399"/>
      <c r="E61" s="1416"/>
      <c r="F61" s="1396"/>
    </row>
    <row r="62" spans="1:6" ht="12" customHeight="1">
      <c r="A62" s="1405"/>
      <c r="B62" s="1411"/>
      <c r="C62" s="1412"/>
      <c r="D62" s="1400"/>
      <c r="E62" s="1417"/>
      <c r="F62" s="1396"/>
    </row>
    <row r="63" spans="1:6" ht="12" customHeight="1">
      <c r="A63" s="1406"/>
      <c r="B63" s="1411"/>
      <c r="C63" s="1412"/>
      <c r="D63" s="1410"/>
      <c r="E63" s="1418"/>
      <c r="F63" s="1396"/>
    </row>
    <row r="64" spans="1:6" ht="12" customHeight="1">
      <c r="A64" s="1404">
        <f>A61+1</f>
        <v>13</v>
      </c>
      <c r="B64" s="1419" t="s">
        <v>664</v>
      </c>
      <c r="C64" s="1412"/>
      <c r="D64" s="1399"/>
      <c r="E64" s="1416"/>
      <c r="F64" s="1396"/>
    </row>
    <row r="65" spans="1:6" ht="12" customHeight="1">
      <c r="A65" s="1405"/>
      <c r="B65" s="1411"/>
      <c r="C65" s="1412"/>
      <c r="D65" s="1400"/>
      <c r="E65" s="1417"/>
      <c r="F65" s="1396"/>
    </row>
    <row r="66" spans="1:6" ht="12" customHeight="1">
      <c r="A66" s="1406"/>
      <c r="B66" s="1411"/>
      <c r="C66" s="1412"/>
      <c r="D66" s="1410"/>
      <c r="E66" s="1418"/>
      <c r="F66" s="1396"/>
    </row>
    <row r="67" spans="1:6" ht="12" customHeight="1">
      <c r="A67" s="1404">
        <f>A64+1</f>
        <v>14</v>
      </c>
      <c r="B67" s="1419" t="s">
        <v>665</v>
      </c>
      <c r="C67" s="1412"/>
      <c r="D67" s="1399"/>
      <c r="E67" s="1416"/>
      <c r="F67" s="1396"/>
    </row>
    <row r="68" spans="1:6" ht="12" customHeight="1">
      <c r="A68" s="1405"/>
      <c r="B68" s="1411"/>
      <c r="C68" s="1412"/>
      <c r="D68" s="1400"/>
      <c r="E68" s="1417"/>
      <c r="F68" s="1396"/>
    </row>
    <row r="69" spans="1:6" ht="12" customHeight="1">
      <c r="A69" s="1406"/>
      <c r="B69" s="1411"/>
      <c r="C69" s="1412"/>
      <c r="D69" s="1410"/>
      <c r="E69" s="1418"/>
      <c r="F69" s="1396"/>
    </row>
    <row r="70" spans="1:6" ht="12" customHeight="1">
      <c r="A70" s="1404">
        <f>A67+1</f>
        <v>15</v>
      </c>
      <c r="B70" s="1419" t="s">
        <v>666</v>
      </c>
      <c r="C70" s="1412"/>
      <c r="D70" s="1399"/>
      <c r="E70" s="1416"/>
      <c r="F70" s="1396"/>
    </row>
    <row r="71" spans="1:6" ht="12" customHeight="1">
      <c r="A71" s="1405"/>
      <c r="B71" s="1411"/>
      <c r="C71" s="1412"/>
      <c r="D71" s="1400"/>
      <c r="E71" s="1417"/>
      <c r="F71" s="1396"/>
    </row>
    <row r="72" spans="1:6" ht="12" customHeight="1">
      <c r="A72" s="1406"/>
      <c r="B72" s="1411"/>
      <c r="C72" s="1412"/>
      <c r="D72" s="1410"/>
      <c r="E72" s="1418"/>
      <c r="F72" s="1396"/>
    </row>
    <row r="73" spans="1:6" ht="12" customHeight="1">
      <c r="A73" s="1404">
        <f>A70+1</f>
        <v>16</v>
      </c>
      <c r="B73" s="1419" t="s">
        <v>506</v>
      </c>
      <c r="C73" s="1412"/>
      <c r="D73" s="1399"/>
      <c r="E73" s="1416"/>
      <c r="F73" s="1396"/>
    </row>
    <row r="74" spans="1:6" ht="12" customHeight="1">
      <c r="A74" s="1405"/>
      <c r="B74" s="1411"/>
      <c r="C74" s="1412"/>
      <c r="D74" s="1400"/>
      <c r="E74" s="1417"/>
      <c r="F74" s="1396"/>
    </row>
    <row r="75" spans="1:6" ht="12" customHeight="1">
      <c r="A75" s="1406"/>
      <c r="B75" s="1411"/>
      <c r="C75" s="1412"/>
      <c r="D75" s="1410"/>
      <c r="E75" s="1418"/>
      <c r="F75" s="1396"/>
    </row>
    <row r="76" spans="1:6" ht="12" customHeight="1">
      <c r="A76" s="1404">
        <f>A73+1</f>
        <v>17</v>
      </c>
      <c r="B76" s="1411" t="s">
        <v>49</v>
      </c>
      <c r="C76" s="1412"/>
      <c r="D76" s="1399"/>
      <c r="E76" s="1399"/>
      <c r="F76" s="871"/>
    </row>
    <row r="77" spans="1:6" ht="12" customHeight="1">
      <c r="A77" s="1405"/>
      <c r="B77" s="1411"/>
      <c r="C77" s="1412"/>
      <c r="D77" s="1400"/>
      <c r="E77" s="1400"/>
      <c r="F77" s="871"/>
    </row>
    <row r="78" spans="1:6" ht="12" customHeight="1">
      <c r="A78" s="1406"/>
      <c r="B78" s="1411"/>
      <c r="C78" s="1412"/>
      <c r="D78" s="1400"/>
      <c r="E78" s="1400"/>
      <c r="F78" s="871"/>
    </row>
    <row r="79" spans="1:6" ht="12" customHeight="1">
      <c r="A79" s="1404">
        <f>A76+1</f>
        <v>18</v>
      </c>
      <c r="B79" s="1411" t="s">
        <v>50</v>
      </c>
      <c r="C79" s="1412"/>
      <c r="D79" s="1399"/>
      <c r="E79" s="1399"/>
      <c r="F79" s="871"/>
    </row>
    <row r="80" spans="1:6" ht="12" customHeight="1">
      <c r="A80" s="1405"/>
      <c r="B80" s="1411"/>
      <c r="C80" s="1412"/>
      <c r="D80" s="1400"/>
      <c r="E80" s="1400"/>
      <c r="F80" s="871"/>
    </row>
    <row r="81" spans="1:6" ht="12" customHeight="1">
      <c r="A81" s="1406"/>
      <c r="B81" s="1411"/>
      <c r="C81" s="1412"/>
      <c r="D81" s="1400"/>
      <c r="E81" s="1400"/>
      <c r="F81" s="871"/>
    </row>
    <row r="82" spans="1:6" ht="12" customHeight="1">
      <c r="A82" s="871"/>
      <c r="B82" s="871"/>
      <c r="C82" s="871"/>
      <c r="D82" s="871"/>
      <c r="E82" s="871"/>
      <c r="F82" s="871"/>
    </row>
    <row r="83" spans="1:6" ht="12" customHeight="1">
      <c r="A83" s="859"/>
      <c r="B83" s="860"/>
      <c r="C83" s="860"/>
      <c r="D83" s="861"/>
      <c r="E83" s="861"/>
      <c r="F83" s="862"/>
    </row>
    <row r="84" spans="1:6" ht="12" customHeight="1">
      <c r="A84" s="863" t="str">
        <f>Inhoud!$A$2</f>
        <v>Nacalculatieformulier 2004</v>
      </c>
      <c r="B84" s="864"/>
      <c r="C84" s="865"/>
      <c r="D84" s="866"/>
      <c r="E84" s="867"/>
      <c r="F84" s="868">
        <f>F49+1</f>
        <v>26</v>
      </c>
    </row>
    <row r="85" spans="1:6" ht="12" customHeight="1">
      <c r="A85" s="859"/>
      <c r="B85" s="860"/>
      <c r="C85" s="860"/>
      <c r="D85" s="861"/>
      <c r="E85" s="861"/>
      <c r="F85" s="862"/>
    </row>
    <row r="86" spans="1:6" ht="12" customHeight="1">
      <c r="A86" s="869" t="s">
        <v>592</v>
      </c>
      <c r="B86" s="870"/>
      <c r="C86" s="871"/>
      <c r="D86" s="1413" t="s">
        <v>586</v>
      </c>
      <c r="E86" s="1414"/>
      <c r="F86" s="1415"/>
    </row>
    <row r="87" spans="1:6" ht="12" customHeight="1">
      <c r="A87" s="871"/>
      <c r="B87" s="871"/>
      <c r="C87" s="871"/>
      <c r="D87" s="875">
        <v>1</v>
      </c>
      <c r="E87" s="875">
        <v>2</v>
      </c>
      <c r="F87" s="875">
        <v>3</v>
      </c>
    </row>
    <row r="88" spans="1:6" ht="12" customHeight="1">
      <c r="A88" s="869" t="s">
        <v>48</v>
      </c>
      <c r="B88" s="871"/>
      <c r="C88" s="871"/>
      <c r="D88" s="871"/>
      <c r="E88" s="871"/>
      <c r="F88" s="871"/>
    </row>
    <row r="89" spans="1:6" ht="12" customHeight="1">
      <c r="A89" s="1401">
        <f>A79+1</f>
        <v>19</v>
      </c>
      <c r="B89" s="1411" t="s">
        <v>15</v>
      </c>
      <c r="C89" s="1412"/>
      <c r="D89" s="1399"/>
      <c r="E89" s="1399"/>
      <c r="F89" s="1396"/>
    </row>
    <row r="90" spans="1:6" ht="12" customHeight="1">
      <c r="A90" s="1402"/>
      <c r="B90" s="1411"/>
      <c r="C90" s="1412"/>
      <c r="D90" s="1400"/>
      <c r="E90" s="1400"/>
      <c r="F90" s="1396"/>
    </row>
    <row r="91" spans="1:6" ht="12" customHeight="1">
      <c r="A91" s="1403"/>
      <c r="B91" s="1411"/>
      <c r="C91" s="1412"/>
      <c r="D91" s="1410"/>
      <c r="E91" s="1410"/>
      <c r="F91" s="1396"/>
    </row>
    <row r="92" spans="1:6" ht="12" customHeight="1">
      <c r="A92" s="1401">
        <f>A89+1</f>
        <v>20</v>
      </c>
      <c r="B92" s="1411" t="s">
        <v>16</v>
      </c>
      <c r="C92" s="1412"/>
      <c r="D92" s="1399"/>
      <c r="E92" s="1399"/>
      <c r="F92" s="1396"/>
    </row>
    <row r="93" spans="1:6" ht="12" customHeight="1">
      <c r="A93" s="1402"/>
      <c r="B93" s="1411"/>
      <c r="C93" s="1412"/>
      <c r="D93" s="1400"/>
      <c r="E93" s="1400"/>
      <c r="F93" s="1396"/>
    </row>
    <row r="94" spans="1:6" ht="12" customHeight="1">
      <c r="A94" s="1403"/>
      <c r="B94" s="1411"/>
      <c r="C94" s="1412"/>
      <c r="D94" s="1410"/>
      <c r="E94" s="1410"/>
      <c r="F94" s="1396"/>
    </row>
    <row r="95" spans="1:6" ht="12" customHeight="1">
      <c r="A95" s="1401">
        <f>A92+1</f>
        <v>21</v>
      </c>
      <c r="B95" s="1411" t="s">
        <v>17</v>
      </c>
      <c r="C95" s="1412"/>
      <c r="D95" s="1399"/>
      <c r="E95" s="1399"/>
      <c r="F95" s="1396"/>
    </row>
    <row r="96" spans="1:6" ht="12" customHeight="1">
      <c r="A96" s="1402"/>
      <c r="B96" s="1411"/>
      <c r="C96" s="1412"/>
      <c r="D96" s="1400"/>
      <c r="E96" s="1400"/>
      <c r="F96" s="1396"/>
    </row>
    <row r="97" spans="1:6" ht="12" customHeight="1">
      <c r="A97" s="1403"/>
      <c r="B97" s="1411"/>
      <c r="C97" s="1412"/>
      <c r="D97" s="1410"/>
      <c r="E97" s="1410"/>
      <c r="F97" s="1396"/>
    </row>
    <row r="98" ht="12" customHeight="1"/>
    <row r="99" ht="12" customHeight="1">
      <c r="A99" s="869" t="s">
        <v>51</v>
      </c>
    </row>
    <row r="100" spans="1:6" ht="12" customHeight="1">
      <c r="A100" s="1401">
        <v>22</v>
      </c>
      <c r="B100" s="1411" t="s">
        <v>52</v>
      </c>
      <c r="C100" s="1412"/>
      <c r="D100" s="1399"/>
      <c r="E100" s="1399"/>
      <c r="F100" s="871"/>
    </row>
    <row r="101" spans="1:6" ht="12" customHeight="1">
      <c r="A101" s="1402"/>
      <c r="B101" s="1411"/>
      <c r="C101" s="1412"/>
      <c r="D101" s="1400"/>
      <c r="E101" s="1400"/>
      <c r="F101" s="871"/>
    </row>
    <row r="102" spans="1:6" ht="12" customHeight="1">
      <c r="A102" s="1403"/>
      <c r="B102" s="1411"/>
      <c r="C102" s="1412"/>
      <c r="D102" s="1400"/>
      <c r="E102" s="1400"/>
      <c r="F102" s="871"/>
    </row>
    <row r="103" spans="1:5" ht="12" customHeight="1">
      <c r="A103" s="1401">
        <v>23</v>
      </c>
      <c r="B103" s="1419" t="s">
        <v>19</v>
      </c>
      <c r="C103" s="1412"/>
      <c r="D103" s="1399"/>
      <c r="E103" s="1399"/>
    </row>
    <row r="104" spans="1:5" ht="12" customHeight="1">
      <c r="A104" s="1402"/>
      <c r="B104" s="1411"/>
      <c r="C104" s="1412"/>
      <c r="D104" s="1400"/>
      <c r="E104" s="1400"/>
    </row>
    <row r="105" spans="1:5" ht="12" customHeight="1">
      <c r="A105" s="1403"/>
      <c r="B105" s="1411"/>
      <c r="C105" s="1412"/>
      <c r="D105" s="1410"/>
      <c r="E105" s="1410"/>
    </row>
    <row r="106" spans="1:3" ht="12" customHeight="1">
      <c r="A106" s="871"/>
      <c r="B106" s="876"/>
      <c r="C106" s="871"/>
    </row>
    <row r="107" spans="1:3" ht="12" customHeight="1">
      <c r="A107" s="871"/>
      <c r="B107" s="876"/>
      <c r="C107" s="871"/>
    </row>
    <row r="108" spans="1:3" ht="12" customHeight="1">
      <c r="A108" s="1397" t="s">
        <v>53</v>
      </c>
      <c r="B108" s="1398"/>
      <c r="C108" s="871"/>
    </row>
    <row r="109" spans="1:3" ht="12" customHeight="1">
      <c r="A109" s="1397"/>
      <c r="B109" s="1398"/>
      <c r="C109" s="871"/>
    </row>
    <row r="110" spans="1:6" ht="12" customHeight="1">
      <c r="A110" s="874"/>
      <c r="B110" s="874"/>
      <c r="C110" s="874"/>
      <c r="D110" s="874"/>
      <c r="E110" s="877"/>
      <c r="F110" s="874"/>
    </row>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row r="1454" ht="12" customHeight="1"/>
    <row r="1455" ht="12" customHeight="1"/>
    <row r="1456" ht="12" customHeight="1"/>
    <row r="1457" ht="12" customHeight="1"/>
    <row r="1458" ht="12" customHeight="1"/>
    <row r="1459" ht="12" customHeight="1"/>
    <row r="1460" ht="12" customHeight="1"/>
    <row r="1461" ht="12" customHeight="1"/>
    <row r="1462" ht="12" customHeight="1"/>
    <row r="1463" ht="12" customHeight="1"/>
    <row r="1464" ht="12" customHeight="1"/>
    <row r="1465" ht="12" customHeight="1"/>
    <row r="1466" ht="12" customHeight="1"/>
    <row r="1467" ht="12" customHeight="1"/>
    <row r="1468" ht="12" customHeight="1"/>
    <row r="1469" ht="12" customHeight="1"/>
    <row r="1470" ht="12" customHeight="1"/>
    <row r="1471" ht="12" customHeight="1"/>
    <row r="1472" ht="12" customHeight="1"/>
    <row r="1473" ht="12" customHeight="1"/>
    <row r="1474" ht="12" customHeight="1"/>
    <row r="1475" ht="12" customHeight="1"/>
    <row r="1476" ht="12" customHeight="1"/>
    <row r="1477" ht="12" customHeight="1"/>
    <row r="1478" ht="12" customHeight="1"/>
    <row r="1479" ht="12" customHeight="1"/>
    <row r="1480" ht="12" customHeight="1"/>
    <row r="1481" ht="12" customHeight="1"/>
    <row r="1482" ht="12" customHeight="1"/>
    <row r="1483" ht="12" customHeight="1"/>
    <row r="1484" ht="12" customHeight="1"/>
    <row r="1485" ht="12" customHeight="1"/>
    <row r="1486" ht="12" customHeight="1"/>
    <row r="1487" ht="12" customHeight="1"/>
    <row r="1488" ht="12" customHeight="1"/>
    <row r="1489" ht="12" customHeight="1"/>
    <row r="1490" ht="12" customHeight="1"/>
    <row r="1491" ht="12" customHeight="1"/>
    <row r="1492" ht="12" customHeight="1"/>
    <row r="1493" ht="12" customHeight="1"/>
    <row r="1494" ht="12" customHeight="1"/>
    <row r="1495" ht="12" customHeight="1"/>
    <row r="1496" ht="12" customHeight="1"/>
    <row r="1497" ht="12" customHeight="1"/>
    <row r="1498" ht="12" customHeight="1"/>
    <row r="1499" ht="12" customHeight="1"/>
    <row r="1500" ht="12" customHeight="1"/>
    <row r="1501" ht="12" customHeight="1"/>
    <row r="1502" ht="12" customHeight="1"/>
    <row r="1503" ht="12" customHeight="1"/>
    <row r="1504" ht="12" customHeight="1"/>
    <row r="1505" ht="12" customHeight="1"/>
    <row r="1506" ht="12" customHeight="1"/>
    <row r="1507" ht="12" customHeight="1"/>
    <row r="1508" ht="12" customHeight="1"/>
    <row r="1509" ht="12" customHeight="1"/>
    <row r="1510" ht="12" customHeight="1"/>
    <row r="1511" ht="12" customHeight="1"/>
    <row r="1512" ht="12" customHeight="1"/>
    <row r="1513" ht="12" customHeight="1"/>
    <row r="1514" ht="12" customHeight="1"/>
    <row r="1515" ht="12" customHeight="1"/>
    <row r="1516" ht="12" customHeight="1"/>
    <row r="1517" ht="12" customHeight="1"/>
    <row r="1518" ht="12" customHeight="1"/>
    <row r="1519" ht="12" customHeight="1"/>
    <row r="1520" ht="12" customHeight="1"/>
    <row r="1521" ht="12" customHeight="1"/>
    <row r="1522" ht="12" customHeight="1"/>
    <row r="1523" ht="12" customHeight="1"/>
    <row r="1524" ht="12" customHeight="1"/>
    <row r="1525" ht="12" customHeight="1"/>
    <row r="1526" ht="12" customHeight="1"/>
    <row r="1527" ht="12" customHeight="1"/>
    <row r="1528" ht="12" customHeight="1"/>
    <row r="1529" ht="12" customHeight="1"/>
    <row r="1530" ht="12" customHeight="1"/>
    <row r="1531" ht="12" customHeight="1"/>
    <row r="1532" ht="12" customHeight="1"/>
    <row r="1533" ht="12" customHeight="1"/>
    <row r="1534" ht="12" customHeight="1"/>
    <row r="1535" ht="12" customHeight="1"/>
    <row r="1536" ht="12" customHeight="1"/>
    <row r="1537" ht="12" customHeight="1"/>
    <row r="1538" ht="12" customHeight="1"/>
    <row r="1539" ht="12" customHeight="1"/>
    <row r="1540" ht="12" customHeight="1"/>
    <row r="1541" ht="12" customHeight="1"/>
    <row r="1542" ht="12" customHeight="1"/>
    <row r="1543" ht="12" customHeight="1"/>
    <row r="1544" ht="12" customHeight="1"/>
    <row r="1545" ht="12" customHeight="1"/>
    <row r="1546" ht="12" customHeight="1"/>
    <row r="1547" ht="12" customHeight="1"/>
    <row r="1548" ht="12" customHeight="1"/>
    <row r="1549" ht="12" customHeight="1"/>
    <row r="1550" ht="12" customHeight="1"/>
    <row r="1551" ht="12" customHeight="1"/>
    <row r="1552" ht="12" customHeight="1"/>
    <row r="1553" ht="12" customHeight="1"/>
    <row r="1554" ht="12" customHeight="1"/>
    <row r="1555" ht="12" customHeight="1"/>
    <row r="1556" ht="12" customHeight="1"/>
    <row r="1557" ht="12" customHeight="1"/>
    <row r="1558" ht="12" customHeight="1"/>
    <row r="1559" ht="12" customHeight="1"/>
    <row r="1560" ht="12" customHeight="1"/>
    <row r="1561" ht="12" customHeight="1"/>
    <row r="1562" ht="12" customHeight="1"/>
    <row r="1563" ht="12" customHeight="1"/>
    <row r="1564" ht="12" customHeight="1"/>
    <row r="1565" ht="12" customHeight="1"/>
    <row r="1566" ht="12" customHeight="1"/>
    <row r="1567" ht="12" customHeight="1"/>
    <row r="1568" ht="12" customHeight="1"/>
    <row r="1569" ht="12" customHeight="1"/>
    <row r="1570" ht="12" customHeight="1"/>
    <row r="1571" ht="12" customHeight="1"/>
    <row r="1572" ht="12" customHeight="1"/>
    <row r="1573" ht="12" customHeight="1"/>
    <row r="1574" ht="12" customHeight="1"/>
    <row r="1575" ht="12" customHeight="1"/>
    <row r="1576" ht="12" customHeight="1"/>
    <row r="1577" ht="12" customHeight="1"/>
    <row r="1578" ht="12" customHeight="1"/>
    <row r="1579" ht="12" customHeight="1"/>
    <row r="1580" ht="12" customHeight="1"/>
    <row r="1581" ht="12" customHeight="1"/>
    <row r="1582" ht="12" customHeight="1"/>
    <row r="1583" ht="12" customHeight="1"/>
    <row r="1584" ht="12" customHeight="1"/>
    <row r="1585" ht="12" customHeight="1"/>
    <row r="1586" ht="12" customHeight="1"/>
    <row r="1587" ht="12" customHeight="1"/>
    <row r="1588" ht="12" customHeight="1"/>
    <row r="1589" ht="12" customHeight="1"/>
    <row r="1590" ht="12" customHeight="1"/>
    <row r="1591" ht="12" customHeight="1"/>
    <row r="1592" ht="12" customHeight="1"/>
    <row r="1593" ht="12" customHeight="1"/>
    <row r="1594" ht="12" customHeight="1"/>
    <row r="1595" ht="12" customHeight="1"/>
    <row r="1596" ht="12" customHeight="1"/>
    <row r="1597" ht="12" customHeight="1"/>
    <row r="1598" ht="12" customHeight="1"/>
    <row r="1599" ht="12" customHeight="1"/>
    <row r="1600" ht="12" customHeight="1"/>
    <row r="1601" ht="12" customHeight="1"/>
    <row r="1602" ht="12" customHeight="1"/>
    <row r="1603" ht="12" customHeight="1"/>
    <row r="1604" ht="12" customHeight="1"/>
    <row r="1605" ht="12" customHeight="1"/>
    <row r="1606" ht="12" customHeight="1"/>
    <row r="1607" ht="12" customHeight="1"/>
    <row r="1608" ht="12" customHeight="1"/>
    <row r="1609" ht="12" customHeight="1"/>
    <row r="1610" ht="12" customHeight="1"/>
    <row r="1611" ht="12" customHeight="1"/>
    <row r="1612" ht="12" customHeight="1"/>
    <row r="1613" ht="12" customHeight="1"/>
    <row r="1614" ht="12" customHeight="1"/>
    <row r="1615" ht="12" customHeight="1"/>
    <row r="1616" ht="12" customHeight="1"/>
    <row r="1617" ht="12" customHeight="1"/>
    <row r="1618" ht="12" customHeight="1"/>
    <row r="1619" ht="12" customHeight="1"/>
    <row r="1620" ht="12" customHeight="1"/>
    <row r="1621" ht="12" customHeight="1"/>
    <row r="1622" ht="12" customHeight="1"/>
    <row r="1623" ht="12" customHeight="1"/>
    <row r="1624" ht="12" customHeight="1"/>
    <row r="1625" ht="12" customHeight="1"/>
    <row r="1626" ht="12" customHeight="1"/>
    <row r="1627" ht="12" customHeight="1"/>
    <row r="1628" ht="12" customHeight="1"/>
    <row r="1629" ht="12" customHeight="1"/>
    <row r="1630" ht="12" customHeight="1"/>
    <row r="1631" ht="12" customHeight="1"/>
    <row r="1632" ht="12" customHeight="1"/>
    <row r="1633" ht="12" customHeight="1"/>
    <row r="1634" ht="12" customHeight="1"/>
    <row r="1635" ht="12" customHeight="1"/>
    <row r="1636" ht="12" customHeight="1"/>
    <row r="1637" ht="12" customHeight="1"/>
    <row r="1638" ht="12" customHeight="1"/>
    <row r="1639" ht="12" customHeight="1"/>
    <row r="1640" ht="12" customHeight="1"/>
    <row r="1641" ht="12" customHeight="1"/>
    <row r="1642" ht="12" customHeight="1"/>
    <row r="1643" ht="12" customHeight="1"/>
    <row r="1644" ht="12" customHeight="1"/>
    <row r="1645" ht="12" customHeight="1"/>
    <row r="1646" ht="12" customHeight="1"/>
    <row r="1647" ht="12" customHeight="1"/>
    <row r="1648" ht="12" customHeight="1"/>
    <row r="1649" ht="12" customHeight="1"/>
    <row r="1650" ht="12" customHeight="1"/>
    <row r="1651" ht="12" customHeight="1"/>
    <row r="1652" ht="12" customHeight="1"/>
    <row r="1653" ht="12" customHeight="1"/>
    <row r="1654" ht="12" customHeight="1"/>
    <row r="1655" ht="12" customHeight="1"/>
    <row r="1656" ht="12" customHeight="1"/>
    <row r="1657" ht="12" customHeight="1"/>
    <row r="1658" ht="12" customHeight="1"/>
    <row r="1659" ht="12" customHeight="1"/>
    <row r="1660" ht="12" customHeight="1"/>
    <row r="1661" ht="12" customHeight="1"/>
    <row r="1662" ht="12" customHeight="1"/>
    <row r="1663" ht="12" customHeight="1"/>
    <row r="1664" ht="12" customHeight="1"/>
    <row r="1665" ht="12" customHeight="1"/>
    <row r="1666" ht="12" customHeight="1"/>
    <row r="1667" ht="12" customHeight="1"/>
    <row r="1668" ht="12" customHeight="1"/>
    <row r="1669" ht="12" customHeight="1"/>
    <row r="1670" ht="12" customHeight="1"/>
    <row r="1671" ht="12" customHeight="1"/>
    <row r="1672" ht="12" customHeight="1"/>
    <row r="1673" ht="12" customHeight="1"/>
    <row r="1674" ht="12" customHeight="1"/>
    <row r="1675" ht="12" customHeight="1"/>
    <row r="1676" ht="12" customHeight="1"/>
    <row r="1677" ht="12" customHeight="1"/>
    <row r="1678" ht="12" customHeight="1"/>
    <row r="1679" ht="12" customHeight="1"/>
    <row r="1680" ht="12" customHeight="1"/>
    <row r="1681" ht="12" customHeight="1"/>
    <row r="1682" ht="12" customHeight="1"/>
    <row r="1683" ht="12" customHeight="1"/>
    <row r="1684" ht="12" customHeight="1"/>
    <row r="1685" ht="12" customHeight="1"/>
    <row r="1686" ht="12" customHeight="1"/>
    <row r="1687" ht="12" customHeight="1"/>
    <row r="1688" ht="12" customHeight="1"/>
    <row r="1689" ht="12" customHeight="1"/>
    <row r="1690" ht="12" customHeight="1"/>
    <row r="1691" ht="12" customHeight="1"/>
    <row r="1692" ht="12" customHeight="1"/>
    <row r="1693" ht="12" customHeight="1"/>
    <row r="1694" ht="12" customHeight="1"/>
    <row r="1695" ht="12" customHeight="1"/>
    <row r="1696" ht="12" customHeight="1"/>
    <row r="1697" ht="12" customHeight="1"/>
    <row r="1698" ht="12" customHeight="1"/>
    <row r="1699" ht="12" customHeight="1"/>
    <row r="1700" ht="12" customHeight="1"/>
    <row r="1701" ht="12" customHeight="1"/>
    <row r="1702" ht="12" customHeight="1"/>
    <row r="1703" ht="12" customHeight="1"/>
    <row r="1704" ht="12" customHeight="1"/>
    <row r="1705" ht="12" customHeight="1"/>
    <row r="1706" ht="12" customHeight="1"/>
    <row r="1707" ht="12" customHeight="1"/>
    <row r="1708" ht="12" customHeight="1"/>
    <row r="1709" ht="12" customHeight="1"/>
    <row r="1710" ht="12" customHeight="1"/>
    <row r="1711" ht="12" customHeight="1"/>
    <row r="1712" ht="12" customHeight="1"/>
    <row r="1713" ht="12" customHeight="1"/>
    <row r="1714" ht="12" customHeight="1"/>
    <row r="1715" ht="12" customHeight="1"/>
    <row r="1716" ht="12" customHeight="1"/>
    <row r="1717" ht="12" customHeight="1"/>
    <row r="1718" ht="12" customHeight="1"/>
    <row r="1719" ht="12" customHeight="1"/>
    <row r="1720" ht="12" customHeight="1"/>
    <row r="1721" ht="12" customHeight="1"/>
    <row r="1722" ht="12" customHeight="1"/>
    <row r="1723" ht="12" customHeight="1"/>
    <row r="1724" ht="12" customHeight="1"/>
    <row r="1725" ht="12" customHeight="1"/>
    <row r="1726" ht="12" customHeight="1"/>
    <row r="1727" ht="12" customHeight="1"/>
    <row r="1728" ht="12" customHeight="1"/>
    <row r="1729" ht="12" customHeight="1"/>
    <row r="1730" ht="12" customHeight="1"/>
    <row r="1731" ht="12" customHeight="1"/>
    <row r="1732" ht="12" customHeight="1"/>
    <row r="1733" ht="12" customHeight="1"/>
    <row r="1734" ht="12" customHeight="1"/>
    <row r="1735" ht="12" customHeight="1"/>
    <row r="1736" ht="12" customHeight="1"/>
    <row r="1737" ht="12" customHeight="1"/>
    <row r="1738" ht="12" customHeight="1"/>
    <row r="1739" ht="12" customHeight="1"/>
    <row r="1740" ht="12" customHeight="1"/>
    <row r="1741" ht="12" customHeight="1"/>
    <row r="1742" ht="12" customHeight="1"/>
    <row r="1743" ht="12" customHeight="1"/>
    <row r="1744" ht="12" customHeight="1"/>
    <row r="1745" ht="12" customHeight="1"/>
    <row r="1746" ht="12" customHeight="1"/>
    <row r="1747" ht="12" customHeight="1"/>
    <row r="1748" ht="12" customHeight="1"/>
    <row r="1749" ht="12" customHeight="1"/>
    <row r="1750" ht="12" customHeight="1"/>
    <row r="1751" ht="12" customHeight="1"/>
    <row r="1752" ht="12" customHeight="1"/>
    <row r="1753" ht="12" customHeight="1"/>
    <row r="1754" ht="12" customHeight="1"/>
    <row r="1755" ht="12" customHeight="1"/>
    <row r="1756" ht="12" customHeight="1"/>
    <row r="1757" ht="12" customHeight="1"/>
    <row r="1758" ht="12" customHeight="1"/>
    <row r="1759" ht="12" customHeight="1"/>
    <row r="1760" ht="12" customHeight="1"/>
    <row r="1761" ht="12" customHeight="1"/>
    <row r="1762" ht="12" customHeight="1"/>
    <row r="1763" ht="12" customHeight="1"/>
    <row r="1764" ht="12" customHeight="1"/>
    <row r="1765" ht="12" customHeight="1"/>
    <row r="1766" ht="12" customHeight="1"/>
    <row r="1767" ht="12" customHeight="1"/>
    <row r="1768" ht="12" customHeight="1"/>
    <row r="1769" ht="12" customHeight="1"/>
    <row r="1770" ht="12" customHeight="1"/>
    <row r="1771" ht="12" customHeight="1"/>
    <row r="1772" ht="12" customHeight="1"/>
    <row r="1773" ht="12" customHeight="1"/>
    <row r="1774" ht="12" customHeight="1"/>
    <row r="1775" ht="12" customHeight="1"/>
    <row r="1776" ht="12" customHeight="1"/>
    <row r="1777" ht="12" customHeight="1"/>
    <row r="1778" ht="12" customHeight="1"/>
    <row r="1779" ht="12" customHeight="1"/>
    <row r="1780" ht="12" customHeight="1"/>
    <row r="1781" ht="12" customHeight="1"/>
    <row r="1782" ht="12" customHeight="1"/>
    <row r="1783" ht="12" customHeight="1"/>
    <row r="1784" ht="12" customHeight="1"/>
    <row r="1785" ht="12" customHeight="1"/>
    <row r="1786" ht="12" customHeight="1"/>
    <row r="1787" ht="12" customHeight="1"/>
    <row r="1788" ht="12" customHeight="1"/>
    <row r="1789" ht="12" customHeight="1"/>
    <row r="1790" ht="12" customHeight="1"/>
    <row r="1791" ht="12" customHeight="1"/>
    <row r="1792" ht="12" customHeight="1"/>
    <row r="1793" ht="12" customHeight="1"/>
    <row r="1794" ht="12" customHeight="1"/>
    <row r="1795" ht="12" customHeight="1"/>
    <row r="1796" ht="12" customHeight="1"/>
    <row r="1797" ht="12" customHeight="1"/>
    <row r="1798" ht="12" customHeight="1"/>
    <row r="1799" ht="12" customHeight="1"/>
    <row r="1800" ht="12" customHeight="1"/>
    <row r="1801" ht="12" customHeight="1"/>
    <row r="1802" ht="12" customHeight="1"/>
    <row r="1803" ht="12" customHeight="1"/>
    <row r="1804" ht="12" customHeight="1"/>
    <row r="1805" ht="12" customHeight="1"/>
    <row r="1806" ht="12" customHeight="1"/>
    <row r="1807" ht="12" customHeight="1"/>
    <row r="1808" ht="12" customHeight="1"/>
    <row r="1809" ht="12" customHeight="1"/>
    <row r="1810" ht="12" customHeight="1"/>
    <row r="1811" ht="12" customHeight="1"/>
    <row r="1812" ht="12" customHeight="1"/>
    <row r="1813" ht="12" customHeight="1"/>
    <row r="1814" ht="12" customHeight="1"/>
    <row r="1815" ht="12" customHeight="1"/>
    <row r="1816" ht="12" customHeight="1"/>
    <row r="1817" ht="12" customHeight="1"/>
    <row r="1818" ht="12" customHeight="1"/>
    <row r="1819" ht="12" customHeight="1"/>
    <row r="1820" ht="12" customHeight="1"/>
    <row r="1821" ht="12" customHeight="1"/>
    <row r="1822" ht="12" customHeight="1"/>
    <row r="1823" ht="12" customHeight="1"/>
    <row r="1824" ht="12" customHeight="1"/>
    <row r="1825" ht="12" customHeight="1"/>
    <row r="1826" ht="12" customHeight="1"/>
    <row r="1827" ht="12" customHeight="1"/>
    <row r="1828" ht="12" customHeight="1"/>
    <row r="1829" ht="12" customHeight="1"/>
    <row r="1830" ht="12" customHeight="1"/>
    <row r="1831" ht="12" customHeight="1"/>
    <row r="1832" ht="12" customHeight="1"/>
    <row r="1833" ht="12" customHeight="1"/>
    <row r="1834" ht="12" customHeight="1"/>
    <row r="1835" ht="12" customHeight="1"/>
    <row r="1836" ht="12" customHeight="1"/>
    <row r="1837" ht="12" customHeight="1"/>
    <row r="1838" ht="12" customHeight="1"/>
    <row r="1839" ht="12" customHeight="1"/>
    <row r="1840" ht="12" customHeight="1"/>
    <row r="1841" ht="12" customHeight="1"/>
    <row r="1842" ht="12" customHeight="1"/>
    <row r="1843" ht="12" customHeight="1"/>
    <row r="1844" ht="12" customHeight="1"/>
    <row r="1845" ht="12" customHeight="1"/>
    <row r="1846" ht="12" customHeight="1"/>
    <row r="1847" ht="12" customHeight="1"/>
    <row r="1848" ht="12" customHeight="1"/>
    <row r="1849" ht="12" customHeight="1"/>
    <row r="1850" ht="12" customHeight="1"/>
    <row r="1851" ht="12" customHeight="1"/>
    <row r="1852" ht="12" customHeight="1"/>
    <row r="1853" ht="12" customHeight="1"/>
    <row r="1854" ht="12" customHeight="1"/>
    <row r="1855" ht="12" customHeight="1"/>
    <row r="1856" ht="12" customHeight="1"/>
    <row r="1857" ht="12" customHeight="1"/>
    <row r="1858" ht="12" customHeight="1"/>
    <row r="1859" ht="12" customHeight="1"/>
    <row r="1860" ht="12" customHeight="1"/>
    <row r="1861" ht="12" customHeight="1"/>
    <row r="1862" ht="12" customHeight="1"/>
    <row r="1863" ht="12" customHeight="1"/>
    <row r="1864" ht="12" customHeight="1"/>
    <row r="1865" ht="12" customHeight="1"/>
    <row r="1866" ht="12" customHeight="1"/>
    <row r="1867" ht="12" customHeight="1"/>
    <row r="1868" ht="12" customHeight="1"/>
    <row r="1869" ht="12" customHeight="1"/>
    <row r="1870" ht="12" customHeight="1"/>
    <row r="1871" ht="12" customHeight="1"/>
    <row r="1872" ht="12" customHeight="1"/>
    <row r="1873" ht="12" customHeight="1"/>
    <row r="1874" ht="12" customHeight="1"/>
    <row r="1875" ht="12" customHeight="1"/>
    <row r="1876" ht="12" customHeight="1"/>
    <row r="1877" ht="12" customHeight="1"/>
    <row r="1878" ht="12" customHeight="1"/>
    <row r="1879" ht="12" customHeight="1"/>
    <row r="1880" ht="12" customHeight="1"/>
    <row r="1881" ht="12" customHeight="1"/>
    <row r="1882" ht="12" customHeight="1"/>
    <row r="1883" ht="12" customHeight="1"/>
    <row r="1884" ht="12" customHeight="1"/>
    <row r="1885" ht="12" customHeight="1"/>
    <row r="1886" ht="12" customHeight="1"/>
    <row r="1887" ht="12" customHeight="1"/>
    <row r="1888" ht="12" customHeight="1"/>
    <row r="1889" ht="12" customHeight="1"/>
    <row r="1890" ht="12" customHeight="1"/>
    <row r="1891" ht="12" customHeight="1"/>
    <row r="1892" ht="12" customHeight="1"/>
    <row r="1893" ht="12" customHeight="1"/>
    <row r="1894" ht="12" customHeight="1"/>
    <row r="1895" ht="12" customHeight="1"/>
    <row r="1896" ht="12" customHeight="1"/>
    <row r="1897" ht="12" customHeight="1"/>
    <row r="1898" ht="12" customHeight="1"/>
    <row r="1899" ht="12" customHeight="1"/>
    <row r="1900" ht="12" customHeight="1"/>
    <row r="1901" ht="12" customHeight="1"/>
    <row r="1902" ht="12" customHeight="1"/>
    <row r="1903" ht="12" customHeight="1"/>
    <row r="1904" ht="12" customHeight="1"/>
    <row r="1905" ht="12" customHeight="1"/>
    <row r="1906" ht="12" customHeight="1"/>
    <row r="1907" ht="12" customHeight="1"/>
    <row r="1908" ht="12" customHeight="1"/>
    <row r="1909" ht="12" customHeight="1"/>
    <row r="1910" ht="12" customHeight="1"/>
    <row r="1911" ht="12" customHeight="1"/>
    <row r="1912" ht="12" customHeight="1"/>
    <row r="1913" ht="12" customHeight="1"/>
    <row r="1914" ht="12" customHeight="1"/>
    <row r="1915" ht="12" customHeight="1"/>
    <row r="1916" ht="12" customHeight="1"/>
    <row r="1917" ht="12" customHeight="1"/>
    <row r="1918" ht="12" customHeight="1"/>
    <row r="1919" ht="12" customHeight="1"/>
    <row r="1920" ht="12" customHeight="1"/>
    <row r="1921" ht="12" customHeight="1"/>
    <row r="1922" ht="12" customHeight="1"/>
    <row r="1923" ht="12" customHeight="1"/>
    <row r="1924" ht="12" customHeight="1"/>
    <row r="1925" ht="12" customHeight="1"/>
    <row r="1926" ht="12" customHeight="1"/>
    <row r="1927" ht="12" customHeight="1"/>
    <row r="1928" ht="12" customHeight="1"/>
    <row r="1929" ht="12" customHeight="1"/>
    <row r="1930" ht="12" customHeight="1"/>
    <row r="1931" ht="12" customHeight="1"/>
    <row r="1932" ht="12" customHeight="1"/>
    <row r="1933" ht="12" customHeight="1"/>
    <row r="1934" ht="12" customHeight="1"/>
    <row r="1935" ht="12" customHeight="1"/>
    <row r="1936" ht="12" customHeight="1"/>
    <row r="1937" ht="12" customHeight="1"/>
    <row r="1938" ht="12" customHeight="1"/>
    <row r="1939" ht="12" customHeight="1"/>
    <row r="1940" ht="12" customHeight="1"/>
    <row r="1941" ht="12" customHeight="1"/>
    <row r="1942" ht="12" customHeight="1"/>
    <row r="1943" ht="12" customHeight="1"/>
    <row r="1944" ht="12" customHeight="1"/>
    <row r="1945" ht="12" customHeight="1"/>
    <row r="1946" ht="12" customHeight="1"/>
    <row r="1947" ht="12" customHeight="1"/>
    <row r="1948" ht="12" customHeight="1"/>
    <row r="1949" ht="12" customHeight="1"/>
    <row r="1950" ht="12" customHeight="1"/>
    <row r="1951" ht="12" customHeight="1"/>
    <row r="1952" ht="12" customHeight="1"/>
    <row r="1953" ht="12" customHeight="1"/>
    <row r="1954" ht="12" customHeight="1"/>
    <row r="1955" ht="12" customHeight="1"/>
    <row r="1956" ht="12" customHeight="1"/>
    <row r="1957" ht="12" customHeight="1"/>
    <row r="1958" ht="12" customHeight="1"/>
    <row r="1959" ht="12" customHeight="1"/>
    <row r="1960" ht="12" customHeight="1"/>
    <row r="1961" ht="12" customHeight="1"/>
    <row r="1962" ht="12" customHeight="1"/>
    <row r="1963" ht="12" customHeight="1"/>
    <row r="1964" ht="12" customHeight="1"/>
    <row r="1965" ht="12" customHeight="1"/>
    <row r="1966" ht="12" customHeight="1"/>
    <row r="1967" ht="12" customHeight="1"/>
    <row r="1968" ht="12" customHeight="1"/>
    <row r="1969" ht="12" customHeight="1"/>
    <row r="1970" ht="12" customHeight="1"/>
    <row r="1971" ht="12" customHeight="1"/>
    <row r="1972" ht="12" customHeight="1"/>
    <row r="1973" ht="12" customHeight="1"/>
    <row r="1974" ht="12" customHeight="1"/>
    <row r="1975" ht="12" customHeight="1"/>
    <row r="1976" ht="12" customHeight="1"/>
    <row r="1977" ht="12" customHeight="1"/>
    <row r="1978" ht="12" customHeight="1"/>
    <row r="1979" ht="12" customHeight="1"/>
    <row r="1980" ht="12" customHeight="1"/>
    <row r="1981" ht="12" customHeight="1"/>
    <row r="1982" ht="12" customHeight="1"/>
    <row r="1983" ht="12" customHeight="1"/>
    <row r="1984" ht="12" customHeight="1"/>
    <row r="1985" ht="12" customHeight="1"/>
    <row r="1986" ht="12" customHeight="1"/>
    <row r="1987" ht="12" customHeight="1"/>
    <row r="1988" ht="12" customHeight="1"/>
    <row r="1989" ht="12" customHeight="1"/>
    <row r="1990" ht="12" customHeight="1"/>
    <row r="1991" ht="12" customHeight="1"/>
    <row r="1992" ht="12" customHeight="1"/>
    <row r="1993" ht="12" customHeight="1"/>
    <row r="1994" ht="12" customHeight="1"/>
    <row r="1995" ht="12" customHeight="1"/>
    <row r="1996" ht="12" customHeight="1"/>
    <row r="1997" ht="12" customHeight="1"/>
    <row r="1998" ht="12" customHeight="1"/>
    <row r="1999" ht="12" customHeight="1"/>
    <row r="2000" ht="12" customHeight="1"/>
    <row r="2001" ht="12" customHeight="1"/>
    <row r="2002" ht="12" customHeight="1"/>
    <row r="2003" ht="12" customHeight="1"/>
    <row r="2004" ht="12" customHeight="1"/>
    <row r="2005" ht="12" customHeight="1"/>
    <row r="2006" ht="12" customHeight="1"/>
    <row r="2007" ht="12" customHeight="1"/>
    <row r="2008" ht="12" customHeight="1"/>
    <row r="2009" ht="12" customHeight="1"/>
    <row r="2010" ht="12" customHeight="1"/>
    <row r="2011" ht="12" customHeight="1"/>
    <row r="2012" ht="12" customHeight="1"/>
    <row r="2013" ht="12" customHeight="1"/>
    <row r="2014" ht="12" customHeight="1"/>
    <row r="2015" ht="12" customHeight="1"/>
    <row r="2016" ht="12" customHeight="1"/>
    <row r="2017" ht="12" customHeight="1"/>
    <row r="2018" ht="12" customHeight="1"/>
    <row r="2019" ht="12" customHeight="1"/>
    <row r="2020" ht="12" customHeight="1"/>
    <row r="2021" ht="12" customHeight="1"/>
    <row r="2022" ht="12" customHeight="1"/>
    <row r="2023" ht="12" customHeight="1"/>
    <row r="2024" ht="12" customHeight="1"/>
    <row r="2025" ht="12" customHeight="1"/>
    <row r="2026" ht="12" customHeight="1"/>
    <row r="2027" ht="12" customHeight="1"/>
    <row r="2028" ht="12" customHeight="1"/>
    <row r="2029" ht="12" customHeight="1"/>
    <row r="2030" ht="12" customHeight="1"/>
    <row r="2031" ht="12" customHeight="1"/>
    <row r="2032" ht="12" customHeight="1"/>
    <row r="2033" ht="12" customHeight="1"/>
    <row r="2034" ht="12" customHeight="1"/>
    <row r="2035" ht="12" customHeight="1"/>
    <row r="2036" ht="12" customHeight="1"/>
    <row r="2037" ht="12" customHeight="1"/>
    <row r="2038" ht="12" customHeight="1"/>
    <row r="2039" ht="12" customHeight="1"/>
    <row r="2040" ht="12" customHeight="1"/>
    <row r="2041" ht="12" customHeight="1"/>
    <row r="2042" ht="12" customHeight="1"/>
    <row r="2043" ht="12" customHeight="1"/>
    <row r="2044" ht="12" customHeight="1"/>
    <row r="2045" ht="12" customHeight="1"/>
    <row r="2046" ht="12" customHeight="1"/>
    <row r="2047" ht="12" customHeight="1"/>
    <row r="2048" ht="12" customHeight="1"/>
    <row r="2049" ht="12" customHeight="1"/>
    <row r="2050" ht="12" customHeight="1"/>
    <row r="2051" ht="12" customHeight="1"/>
    <row r="2052" ht="12" customHeight="1"/>
    <row r="2053" ht="12" customHeight="1"/>
    <row r="2054" ht="12" customHeight="1"/>
    <row r="2055" ht="12" customHeight="1"/>
    <row r="2056" ht="12" customHeight="1"/>
    <row r="2057" ht="12" customHeight="1"/>
    <row r="2058" ht="12" customHeight="1"/>
    <row r="2059" ht="12" customHeight="1"/>
    <row r="2060" ht="12" customHeight="1"/>
    <row r="2061" ht="12" customHeight="1"/>
    <row r="2062" ht="12" customHeight="1"/>
    <row r="2063" ht="12" customHeight="1"/>
    <row r="2064" ht="12" customHeight="1"/>
    <row r="2065" ht="12" customHeight="1"/>
    <row r="2066" ht="12" customHeight="1"/>
    <row r="2067" ht="12" customHeight="1"/>
    <row r="2068" ht="12" customHeight="1"/>
    <row r="2069" ht="12" customHeight="1"/>
    <row r="2070" ht="12" customHeight="1"/>
    <row r="2071" ht="12" customHeight="1"/>
    <row r="2072" ht="12" customHeight="1"/>
    <row r="2073" ht="12" customHeight="1"/>
    <row r="2074" ht="12" customHeight="1"/>
    <row r="2075" ht="12" customHeight="1"/>
    <row r="2076" ht="12" customHeight="1"/>
    <row r="2077" ht="12" customHeight="1"/>
    <row r="2078" ht="12" customHeight="1"/>
    <row r="2079" ht="12" customHeight="1"/>
    <row r="2080" ht="12" customHeight="1"/>
    <row r="2081" ht="12" customHeight="1"/>
    <row r="2082" ht="12" customHeight="1"/>
    <row r="2083" ht="12" customHeight="1"/>
    <row r="2084" ht="12" customHeight="1"/>
    <row r="2085" ht="12" customHeight="1"/>
    <row r="2086" ht="12" customHeight="1"/>
    <row r="2087" ht="12" customHeight="1"/>
    <row r="2088" ht="12" customHeight="1"/>
    <row r="2089" ht="12" customHeight="1"/>
    <row r="2090" ht="12" customHeight="1"/>
    <row r="2091" ht="12" customHeight="1"/>
    <row r="2092" ht="12" customHeight="1"/>
    <row r="2093" ht="12" customHeight="1"/>
    <row r="2094" ht="12" customHeight="1"/>
    <row r="2095" ht="12" customHeight="1"/>
    <row r="2096" ht="12" customHeight="1"/>
    <row r="2097" ht="12" customHeight="1"/>
    <row r="2098" ht="12" customHeight="1"/>
    <row r="2099" ht="12" customHeight="1"/>
    <row r="2100" ht="12" customHeight="1"/>
    <row r="2101" ht="12" customHeight="1"/>
    <row r="2102" ht="12" customHeight="1"/>
    <row r="2103" ht="12" customHeight="1"/>
    <row r="2104" ht="12" customHeight="1"/>
    <row r="2105" ht="12" customHeight="1"/>
    <row r="2106" ht="12" customHeight="1"/>
    <row r="2107" ht="12" customHeight="1"/>
    <row r="2108" ht="12" customHeight="1"/>
    <row r="2109" ht="12" customHeight="1"/>
    <row r="2110" ht="12" customHeight="1"/>
    <row r="2111" ht="12" customHeight="1"/>
    <row r="2112" ht="12" customHeight="1"/>
    <row r="2113" ht="12" customHeight="1"/>
    <row r="2114" ht="12" customHeight="1"/>
    <row r="2115" ht="12" customHeight="1"/>
    <row r="2116" ht="12" customHeight="1"/>
    <row r="2117" ht="12" customHeight="1"/>
    <row r="2118" ht="12" customHeight="1"/>
    <row r="2119" ht="12" customHeight="1"/>
    <row r="2120" ht="12" customHeight="1"/>
    <row r="2121" ht="12" customHeight="1"/>
    <row r="2122" ht="12" customHeight="1"/>
    <row r="2123" ht="12" customHeight="1"/>
    <row r="2124" ht="12" customHeight="1"/>
    <row r="2125" ht="12" customHeight="1"/>
    <row r="2126" ht="12" customHeight="1"/>
    <row r="2127" ht="12" customHeight="1"/>
    <row r="2128" ht="12" customHeight="1"/>
    <row r="2129" ht="12" customHeight="1"/>
    <row r="2130" ht="12" customHeight="1"/>
    <row r="2131" ht="12" customHeight="1"/>
    <row r="2132" ht="12" customHeight="1"/>
    <row r="2133" ht="12" customHeight="1"/>
    <row r="2134" ht="12" customHeight="1"/>
    <row r="2135" ht="12" customHeight="1"/>
    <row r="2136" ht="12" customHeight="1"/>
    <row r="2137" ht="12" customHeight="1"/>
    <row r="2138" ht="12" customHeight="1"/>
    <row r="2139" ht="12" customHeight="1"/>
    <row r="2140" ht="12" customHeight="1"/>
    <row r="2141" ht="12" customHeight="1"/>
    <row r="2142" ht="12" customHeight="1"/>
    <row r="2143" ht="12" customHeight="1"/>
    <row r="2144" ht="12" customHeight="1"/>
    <row r="2145" ht="12" customHeight="1"/>
    <row r="2146" ht="12" customHeight="1"/>
    <row r="2147" ht="12" customHeight="1"/>
    <row r="2148" ht="12" customHeight="1"/>
    <row r="2149" ht="12" customHeight="1"/>
    <row r="2150" ht="12" customHeight="1"/>
    <row r="2151" ht="12" customHeight="1"/>
    <row r="2152" ht="12" customHeight="1"/>
    <row r="2153" ht="12" customHeight="1"/>
    <row r="2154" ht="12" customHeight="1"/>
    <row r="2155" ht="12" customHeight="1"/>
    <row r="2156" ht="12" customHeight="1"/>
    <row r="2157" ht="12" customHeight="1"/>
    <row r="2158" ht="12" customHeight="1"/>
    <row r="2159" ht="12" customHeight="1"/>
    <row r="2160" ht="12" customHeight="1"/>
    <row r="2161" ht="12" customHeight="1"/>
    <row r="2162" ht="12" customHeight="1"/>
    <row r="2163" ht="12" customHeight="1"/>
    <row r="2164" ht="12" customHeight="1"/>
    <row r="2165" ht="12" customHeight="1"/>
    <row r="2166" ht="12" customHeight="1"/>
    <row r="2167" ht="12" customHeight="1"/>
    <row r="2168" ht="12" customHeight="1"/>
    <row r="2169" ht="12" customHeight="1"/>
    <row r="2170" ht="12" customHeight="1"/>
    <row r="2171" ht="12" customHeight="1"/>
    <row r="2172" ht="12" customHeight="1"/>
    <row r="2173" ht="12" customHeight="1"/>
    <row r="2174" ht="12" customHeight="1"/>
    <row r="2175" ht="12" customHeight="1"/>
    <row r="2176" ht="12" customHeight="1"/>
    <row r="2177" ht="12" customHeight="1"/>
    <row r="2178" ht="12" customHeight="1"/>
    <row r="2179" ht="12" customHeight="1"/>
    <row r="2180" ht="12" customHeight="1"/>
    <row r="2181" ht="12" customHeight="1"/>
    <row r="2182" ht="12" customHeight="1"/>
    <row r="2183" ht="12" customHeight="1"/>
    <row r="2184" ht="12" customHeight="1"/>
    <row r="2185" ht="12" customHeight="1"/>
    <row r="2186" ht="12" customHeight="1"/>
    <row r="2187" ht="12" customHeight="1"/>
    <row r="2188" ht="12" customHeight="1"/>
    <row r="2189" ht="12" customHeight="1"/>
    <row r="2190" ht="12" customHeight="1"/>
    <row r="2191" ht="12" customHeight="1"/>
    <row r="2192" ht="12" customHeight="1"/>
    <row r="2193" ht="12" customHeight="1"/>
    <row r="2194" ht="12" customHeight="1"/>
    <row r="2195" ht="12" customHeight="1"/>
    <row r="2196" ht="12" customHeight="1"/>
    <row r="2197" ht="12" customHeight="1"/>
    <row r="2198" ht="12" customHeight="1"/>
    <row r="2199" ht="12" customHeight="1"/>
    <row r="2200" ht="12" customHeight="1"/>
    <row r="2201" ht="12" customHeight="1"/>
    <row r="2202" ht="12" customHeight="1"/>
    <row r="2203" ht="12" customHeight="1"/>
    <row r="2204" ht="12" customHeight="1"/>
    <row r="2205" ht="12" customHeight="1"/>
    <row r="2206" ht="12" customHeight="1"/>
    <row r="2207" ht="12" customHeight="1"/>
    <row r="2208" ht="12" customHeight="1"/>
    <row r="2209" ht="12" customHeight="1"/>
    <row r="2210" ht="12" customHeight="1"/>
    <row r="2211" ht="12" customHeight="1"/>
    <row r="2212" ht="12" customHeight="1"/>
    <row r="2213" ht="12" customHeight="1"/>
    <row r="2214" ht="12" customHeight="1"/>
    <row r="2215" ht="12" customHeight="1"/>
    <row r="2216" ht="12" customHeight="1"/>
    <row r="2217" ht="12" customHeight="1"/>
    <row r="2218" ht="12" customHeight="1"/>
    <row r="2219" ht="12" customHeight="1"/>
    <row r="2220" ht="12" customHeight="1"/>
    <row r="2221" ht="12" customHeight="1"/>
    <row r="2222" ht="12" customHeight="1"/>
    <row r="2223" ht="12" customHeight="1"/>
    <row r="2224" ht="12" customHeight="1"/>
    <row r="2225" ht="12" customHeight="1"/>
    <row r="2226" ht="12" customHeight="1"/>
    <row r="2227" ht="12" customHeight="1"/>
    <row r="2228" ht="12" customHeight="1"/>
    <row r="2229" ht="12" customHeight="1"/>
    <row r="2230" ht="12" customHeight="1"/>
    <row r="2231" ht="12" customHeight="1"/>
    <row r="2232" ht="12" customHeight="1"/>
    <row r="2233" ht="12" customHeight="1"/>
    <row r="2234" ht="12" customHeight="1"/>
    <row r="2235" ht="12" customHeight="1"/>
    <row r="2236" ht="12" customHeight="1"/>
    <row r="2237" ht="12" customHeight="1"/>
    <row r="2238" ht="12" customHeight="1"/>
    <row r="2239" ht="12" customHeight="1"/>
    <row r="2240" ht="12" customHeight="1"/>
    <row r="2241" ht="12" customHeight="1"/>
    <row r="2242" ht="12" customHeight="1"/>
    <row r="2243" ht="12" customHeight="1"/>
    <row r="2244" ht="12" customHeight="1"/>
    <row r="2245" ht="12" customHeight="1"/>
    <row r="2246" ht="12" customHeight="1"/>
    <row r="2247" ht="12" customHeight="1"/>
    <row r="2248" ht="12" customHeight="1"/>
    <row r="2249" ht="12" customHeight="1"/>
    <row r="2250" ht="12" customHeight="1"/>
    <row r="2251" ht="12" customHeight="1"/>
    <row r="2252" ht="12" customHeight="1"/>
    <row r="2253" ht="12" customHeight="1"/>
    <row r="2254" ht="12" customHeight="1"/>
    <row r="2255" ht="12" customHeight="1"/>
    <row r="2256" ht="12" customHeight="1"/>
    <row r="2257" ht="12" customHeight="1"/>
    <row r="2258" ht="12" customHeight="1"/>
    <row r="2259" ht="12" customHeight="1"/>
    <row r="2260" ht="12" customHeight="1"/>
    <row r="2261" ht="12" customHeight="1"/>
    <row r="2262" ht="12" customHeight="1"/>
    <row r="2263" ht="12" customHeight="1"/>
    <row r="2264" ht="12" customHeight="1"/>
    <row r="2265" ht="12" customHeight="1"/>
    <row r="2266" ht="12" customHeight="1"/>
    <row r="2267" ht="12" customHeight="1"/>
    <row r="2268" ht="12" customHeight="1"/>
    <row r="2269" ht="12" customHeight="1"/>
    <row r="2270" ht="12" customHeight="1"/>
    <row r="2271" ht="12" customHeight="1"/>
    <row r="2272" ht="12" customHeight="1"/>
    <row r="2273" ht="12" customHeight="1"/>
    <row r="2274" ht="12" customHeight="1"/>
    <row r="2275" ht="12" customHeight="1"/>
    <row r="2276" ht="12" customHeight="1"/>
    <row r="2277" ht="12" customHeight="1"/>
    <row r="2278" ht="12" customHeight="1"/>
    <row r="2279" ht="12" customHeight="1"/>
    <row r="2280" ht="12" customHeight="1"/>
    <row r="2281" ht="12" customHeight="1"/>
    <row r="2282" ht="12" customHeight="1"/>
    <row r="2283" ht="12" customHeight="1"/>
    <row r="2284" ht="12" customHeight="1"/>
    <row r="2285" ht="12" customHeight="1"/>
    <row r="2286" ht="12" customHeight="1"/>
    <row r="2287" ht="12" customHeight="1"/>
    <row r="2288" ht="12" customHeight="1"/>
    <row r="2289" ht="12" customHeight="1"/>
    <row r="2290" ht="12" customHeight="1"/>
    <row r="2291" ht="12" customHeight="1"/>
    <row r="2292" ht="12" customHeight="1"/>
    <row r="2293" ht="12" customHeight="1"/>
    <row r="2294" ht="12" customHeight="1"/>
    <row r="2295" ht="12" customHeight="1"/>
    <row r="2296" ht="12" customHeight="1"/>
    <row r="2297" ht="12" customHeight="1"/>
    <row r="2298" ht="12" customHeight="1"/>
    <row r="2299" ht="12" customHeight="1"/>
    <row r="2300" ht="12" customHeight="1"/>
    <row r="2301" ht="12" customHeight="1"/>
    <row r="2302" ht="12" customHeight="1"/>
    <row r="2303" ht="12" customHeight="1"/>
    <row r="2304" ht="12" customHeight="1"/>
    <row r="2305" ht="12" customHeight="1"/>
    <row r="2306" ht="12" customHeight="1"/>
    <row r="2307" ht="12" customHeight="1"/>
    <row r="2308" ht="12" customHeight="1"/>
    <row r="2309" ht="12" customHeight="1"/>
    <row r="2310" ht="12" customHeight="1"/>
    <row r="2311" ht="12" customHeight="1"/>
    <row r="2312" ht="12" customHeight="1"/>
    <row r="2313" ht="12" customHeight="1"/>
    <row r="2314" ht="12" customHeight="1"/>
    <row r="2315" ht="12" customHeight="1"/>
    <row r="2316" ht="12" customHeight="1"/>
    <row r="2317" ht="12" customHeight="1"/>
    <row r="2318" ht="12" customHeight="1"/>
    <row r="2319" ht="12" customHeight="1"/>
    <row r="2320" ht="12" customHeight="1"/>
    <row r="2321" ht="12" customHeight="1"/>
    <row r="2322" ht="12" customHeight="1"/>
    <row r="2323" ht="12" customHeight="1"/>
    <row r="2324" ht="12" customHeight="1"/>
    <row r="2325" ht="12" customHeight="1"/>
    <row r="2326" ht="12" customHeight="1"/>
    <row r="2327" ht="12" customHeight="1"/>
    <row r="2328" ht="12" customHeight="1"/>
    <row r="2329" ht="12" customHeight="1"/>
    <row r="2330" ht="12" customHeight="1"/>
    <row r="2331" ht="12" customHeight="1"/>
    <row r="2332" ht="12" customHeight="1"/>
    <row r="2333" ht="12" customHeight="1"/>
    <row r="2334" ht="12" customHeight="1"/>
    <row r="2335" ht="12" customHeight="1"/>
    <row r="2336" ht="12" customHeight="1"/>
    <row r="2337" ht="12" customHeight="1"/>
    <row r="2338" ht="12" customHeight="1"/>
    <row r="2339" ht="12" customHeight="1"/>
    <row r="2340" ht="12" customHeight="1"/>
    <row r="2341" ht="12" customHeight="1"/>
    <row r="2342" ht="12" customHeight="1"/>
    <row r="2343" ht="12" customHeight="1"/>
    <row r="2344" ht="12" customHeight="1"/>
    <row r="2345" ht="12" customHeight="1"/>
    <row r="2346" ht="12" customHeight="1"/>
    <row r="2347" ht="12" customHeight="1"/>
    <row r="2348" ht="12" customHeight="1"/>
    <row r="2349" ht="12" customHeight="1"/>
    <row r="2350" ht="12" customHeight="1"/>
    <row r="2351" ht="12" customHeight="1"/>
    <row r="2352" ht="12" customHeight="1"/>
    <row r="2353" ht="12" customHeight="1"/>
    <row r="2354" ht="12" customHeight="1"/>
    <row r="2355" ht="12" customHeight="1"/>
    <row r="2356" ht="12" customHeight="1"/>
    <row r="2357" ht="12" customHeight="1"/>
    <row r="2358" ht="12" customHeight="1"/>
    <row r="2359" ht="12" customHeight="1"/>
    <row r="2360" ht="12" customHeight="1"/>
    <row r="2361" ht="12" customHeight="1"/>
    <row r="2362" ht="12" customHeight="1"/>
    <row r="2363" ht="12" customHeight="1"/>
    <row r="2364" ht="12" customHeight="1"/>
    <row r="2365" ht="12" customHeight="1"/>
    <row r="2366" ht="12" customHeight="1"/>
    <row r="2367" ht="12" customHeight="1"/>
    <row r="2368" ht="12" customHeight="1"/>
    <row r="2369" ht="12" customHeight="1"/>
    <row r="2370" ht="12" customHeight="1"/>
    <row r="2371" ht="12" customHeight="1"/>
    <row r="2372" ht="12" customHeight="1"/>
    <row r="2373" ht="12" customHeight="1"/>
    <row r="2374" ht="12" customHeight="1"/>
    <row r="2375" ht="12" customHeight="1"/>
    <row r="2376" ht="12" customHeight="1"/>
    <row r="2377" ht="12" customHeight="1"/>
    <row r="2378" ht="12" customHeight="1"/>
    <row r="2379" ht="12" customHeight="1"/>
    <row r="2380" ht="12" customHeight="1"/>
    <row r="2381" ht="12" customHeight="1"/>
    <row r="2382" ht="12" customHeight="1"/>
    <row r="2383" ht="12" customHeight="1"/>
    <row r="2384" ht="12" customHeight="1"/>
    <row r="2385" ht="12" customHeight="1"/>
    <row r="2386" ht="12" customHeight="1"/>
    <row r="2387" ht="12" customHeight="1"/>
    <row r="2388" ht="12" customHeight="1"/>
    <row r="2389" ht="12" customHeight="1"/>
    <row r="2390" ht="12" customHeight="1"/>
    <row r="2391" ht="12" customHeight="1"/>
    <row r="2392" ht="12" customHeight="1"/>
    <row r="2393" ht="12" customHeight="1"/>
    <row r="2394" ht="12" customHeight="1"/>
    <row r="2395" ht="12" customHeight="1"/>
    <row r="2396" ht="12" customHeight="1"/>
    <row r="2397" ht="12" customHeight="1"/>
    <row r="2398" ht="12" customHeight="1"/>
    <row r="2399" ht="12" customHeight="1"/>
    <row r="2400" ht="12" customHeight="1"/>
    <row r="2401" ht="12" customHeight="1"/>
    <row r="2402" ht="12" customHeight="1"/>
    <row r="2403" ht="12" customHeight="1"/>
    <row r="2404" ht="12" customHeight="1"/>
    <row r="2405" ht="12" customHeight="1"/>
    <row r="2406" ht="12" customHeight="1"/>
    <row r="2407" ht="12" customHeight="1"/>
    <row r="2408" ht="12" customHeight="1"/>
    <row r="2409" ht="12" customHeight="1"/>
    <row r="2410" ht="12" customHeight="1"/>
    <row r="2411" ht="12" customHeight="1"/>
    <row r="2412" ht="12" customHeight="1"/>
    <row r="2413" ht="12" customHeight="1"/>
    <row r="2414" ht="12" customHeight="1"/>
    <row r="2415" ht="12" customHeight="1"/>
    <row r="2416" ht="12" customHeight="1"/>
    <row r="2417" ht="12" customHeight="1"/>
    <row r="2418" ht="12" customHeight="1"/>
    <row r="2419" ht="12" customHeight="1"/>
    <row r="2420" ht="12" customHeight="1"/>
    <row r="2421" ht="12" customHeight="1"/>
    <row r="2422" ht="12" customHeight="1"/>
    <row r="2423" ht="12" customHeight="1"/>
    <row r="2424" ht="12" customHeight="1"/>
    <row r="2425" ht="12" customHeight="1"/>
    <row r="2426" ht="12" customHeight="1"/>
    <row r="2427" ht="12" customHeight="1"/>
    <row r="2428" ht="12" customHeight="1"/>
    <row r="2429" ht="12" customHeight="1"/>
    <row r="2430" ht="12" customHeight="1"/>
    <row r="2431" ht="12" customHeight="1"/>
    <row r="2432" ht="12" customHeight="1"/>
    <row r="2433" ht="12" customHeight="1"/>
    <row r="2434" ht="12" customHeight="1"/>
    <row r="2435" ht="12" customHeight="1"/>
    <row r="2436" ht="12" customHeight="1"/>
    <row r="2437" ht="12" customHeight="1"/>
    <row r="2438" ht="12" customHeight="1"/>
    <row r="2439" ht="12" customHeight="1"/>
    <row r="2440" ht="12" customHeight="1"/>
    <row r="2441" ht="12" customHeight="1"/>
    <row r="2442" ht="12" customHeight="1"/>
    <row r="2443" ht="12" customHeight="1"/>
    <row r="2444" ht="12" customHeight="1"/>
    <row r="2445" ht="12" customHeight="1"/>
    <row r="2446" ht="12" customHeight="1"/>
    <row r="2447" ht="12" customHeight="1"/>
    <row r="2448" ht="12" customHeight="1"/>
    <row r="2449" ht="12" customHeight="1"/>
    <row r="2450" ht="12" customHeight="1"/>
    <row r="2451" ht="12" customHeight="1"/>
    <row r="2452" ht="12" customHeight="1"/>
    <row r="2453" ht="12" customHeight="1"/>
    <row r="2454" ht="12" customHeight="1"/>
    <row r="2455" ht="12" customHeight="1"/>
    <row r="2456" ht="12" customHeight="1"/>
    <row r="2457" ht="12" customHeight="1"/>
    <row r="2458" ht="12" customHeight="1"/>
    <row r="2459" ht="12" customHeight="1"/>
    <row r="2460" ht="12" customHeight="1"/>
    <row r="2461" ht="12" customHeight="1"/>
    <row r="2462" ht="12" customHeight="1"/>
    <row r="2463" ht="12" customHeight="1"/>
    <row r="2464" ht="12" customHeight="1"/>
    <row r="2465" ht="12" customHeight="1"/>
    <row r="2466" ht="12" customHeight="1"/>
    <row r="2467" ht="12" customHeight="1"/>
    <row r="2468" ht="12" customHeight="1"/>
    <row r="2469" ht="12" customHeight="1"/>
    <row r="2470" ht="12" customHeight="1"/>
    <row r="2471" ht="12" customHeight="1"/>
    <row r="2472" ht="12" customHeight="1"/>
    <row r="2473" ht="12" customHeight="1"/>
    <row r="2474" ht="12" customHeight="1"/>
    <row r="2475" ht="12" customHeight="1"/>
    <row r="2476" ht="12" customHeight="1"/>
    <row r="2477" ht="12" customHeight="1"/>
    <row r="2478" ht="12" customHeight="1"/>
    <row r="2479" ht="12" customHeight="1"/>
    <row r="2480" ht="12" customHeight="1"/>
    <row r="2481" ht="12" customHeight="1"/>
    <row r="2482" ht="12" customHeight="1"/>
    <row r="2483" ht="12" customHeight="1"/>
    <row r="2484" ht="12" customHeight="1"/>
    <row r="2485" ht="12" customHeight="1"/>
    <row r="2486" ht="12" customHeight="1"/>
    <row r="2487" ht="12" customHeight="1"/>
    <row r="2488" ht="12" customHeight="1"/>
    <row r="2489" ht="12" customHeight="1"/>
    <row r="2490" ht="12" customHeight="1"/>
    <row r="2491" ht="12" customHeight="1"/>
    <row r="2492" ht="12" customHeight="1"/>
    <row r="2493" ht="12" customHeight="1"/>
    <row r="2494" ht="12" customHeight="1"/>
    <row r="2495" ht="12" customHeight="1"/>
    <row r="2496" ht="12" customHeight="1"/>
    <row r="2497" ht="12" customHeight="1"/>
    <row r="2498" ht="12" customHeight="1"/>
    <row r="2499" ht="12" customHeight="1"/>
    <row r="2500" ht="12" customHeight="1"/>
    <row r="2501" ht="12" customHeight="1"/>
    <row r="2502" ht="12" customHeight="1"/>
    <row r="2503" ht="12" customHeight="1"/>
    <row r="2504" ht="12" customHeight="1"/>
    <row r="2505" ht="12" customHeight="1"/>
    <row r="2506" ht="12" customHeight="1"/>
    <row r="2507" ht="12" customHeight="1"/>
    <row r="2508" ht="12" customHeight="1"/>
    <row r="2509" ht="12" customHeight="1"/>
    <row r="2510" ht="12" customHeight="1"/>
    <row r="2511" ht="12" customHeight="1"/>
    <row r="2512" ht="12" customHeight="1"/>
    <row r="2513" ht="12" customHeight="1"/>
    <row r="2514" ht="12" customHeight="1"/>
    <row r="2515" ht="12" customHeight="1"/>
    <row r="2516" ht="12" customHeight="1"/>
    <row r="2517" ht="12" customHeight="1"/>
    <row r="2518" ht="12" customHeight="1"/>
    <row r="2519" ht="12" customHeight="1"/>
    <row r="2520" ht="12" customHeight="1"/>
    <row r="2521" ht="12" customHeight="1"/>
    <row r="2522" ht="12" customHeight="1"/>
    <row r="2523" ht="12" customHeight="1"/>
    <row r="2524" ht="12" customHeight="1"/>
    <row r="2525" ht="12" customHeight="1"/>
    <row r="2526" ht="12" customHeight="1"/>
    <row r="2527" ht="12" customHeight="1"/>
    <row r="2528" ht="12" customHeight="1"/>
    <row r="2529" ht="12" customHeight="1"/>
    <row r="2530" ht="12" customHeight="1"/>
    <row r="2531" ht="12" customHeight="1"/>
    <row r="2532" ht="12" customHeight="1"/>
    <row r="2533" ht="12" customHeight="1"/>
    <row r="2534" ht="12" customHeight="1"/>
    <row r="2535" ht="12" customHeight="1"/>
    <row r="2536" ht="12" customHeight="1"/>
    <row r="2537" ht="12" customHeight="1"/>
    <row r="2538" ht="12" customHeight="1"/>
    <row r="2539" ht="12" customHeight="1"/>
    <row r="2540" ht="12" customHeight="1"/>
    <row r="2541" ht="12" customHeight="1"/>
    <row r="2542" ht="12" customHeight="1"/>
    <row r="2543" ht="12" customHeight="1"/>
    <row r="2544" ht="12" customHeight="1"/>
    <row r="2545" ht="12" customHeight="1"/>
    <row r="2546" ht="12" customHeight="1"/>
    <row r="2547" ht="12" customHeight="1"/>
    <row r="2548" ht="12" customHeight="1"/>
    <row r="2549" ht="12" customHeight="1"/>
    <row r="2550" ht="12" customHeight="1"/>
    <row r="2551" ht="12" customHeight="1"/>
    <row r="2552" ht="12" customHeight="1"/>
    <row r="2553" ht="12" customHeight="1"/>
    <row r="2554" ht="12" customHeight="1"/>
    <row r="2555" ht="12" customHeight="1"/>
    <row r="2556" ht="12" customHeight="1"/>
    <row r="2557" ht="12" customHeight="1"/>
    <row r="2558" ht="12" customHeight="1"/>
    <row r="2559" ht="12" customHeight="1"/>
    <row r="2560" ht="12" customHeight="1"/>
    <row r="2561" ht="12" customHeight="1"/>
    <row r="2562" ht="12" customHeight="1"/>
    <row r="2563" ht="12" customHeight="1"/>
    <row r="2564" ht="12" customHeight="1"/>
    <row r="2565" ht="12" customHeight="1"/>
    <row r="2566" ht="12" customHeight="1"/>
    <row r="2567" ht="12" customHeight="1"/>
    <row r="2568" ht="12" customHeight="1"/>
    <row r="2569" ht="12" customHeight="1"/>
    <row r="2570" ht="12" customHeight="1"/>
    <row r="2571" ht="12" customHeight="1"/>
    <row r="2572" ht="12" customHeight="1"/>
    <row r="2573" ht="12" customHeight="1"/>
    <row r="2574" ht="12" customHeight="1"/>
    <row r="2575" ht="12" customHeight="1"/>
    <row r="2576" ht="12" customHeight="1"/>
    <row r="2577" ht="12" customHeight="1"/>
    <row r="2578" ht="12" customHeight="1"/>
    <row r="2579" ht="12" customHeight="1"/>
    <row r="2580" ht="12" customHeight="1"/>
    <row r="2581" ht="12" customHeight="1"/>
    <row r="2582" ht="12" customHeight="1"/>
    <row r="2583" ht="12" customHeight="1"/>
    <row r="2584" ht="12" customHeight="1"/>
    <row r="2585" ht="12" customHeight="1"/>
    <row r="2586" ht="12" customHeight="1"/>
    <row r="2587" ht="12" customHeight="1"/>
    <row r="2588" ht="12" customHeight="1"/>
    <row r="2589" ht="12" customHeight="1"/>
    <row r="2590" ht="12" customHeight="1"/>
    <row r="2591" ht="12" customHeight="1"/>
    <row r="2592" ht="12" customHeight="1"/>
    <row r="2593" ht="12" customHeight="1"/>
    <row r="2594" ht="12" customHeight="1"/>
    <row r="2595" ht="12" customHeight="1"/>
    <row r="2596" ht="12" customHeight="1"/>
    <row r="2597" ht="12" customHeight="1"/>
    <row r="2598" ht="12" customHeight="1"/>
    <row r="2599" ht="12" customHeight="1"/>
    <row r="2600" ht="12" customHeight="1"/>
    <row r="2601" ht="12" customHeight="1"/>
    <row r="2602" ht="12" customHeight="1"/>
    <row r="2603" ht="12" customHeight="1"/>
    <row r="2604" ht="12" customHeight="1"/>
    <row r="2605" ht="12" customHeight="1"/>
    <row r="2606" ht="12" customHeight="1"/>
    <row r="2607" ht="12" customHeight="1"/>
    <row r="2608" ht="12" customHeight="1"/>
    <row r="2609" ht="12" customHeight="1"/>
    <row r="2610" ht="12" customHeight="1"/>
    <row r="2611" ht="12" customHeight="1"/>
    <row r="2612" ht="12" customHeight="1"/>
    <row r="2613" ht="12" customHeight="1"/>
    <row r="2614" ht="12" customHeight="1"/>
    <row r="2615" ht="12" customHeight="1"/>
    <row r="2616" ht="12" customHeight="1"/>
    <row r="2617" ht="12" customHeight="1"/>
    <row r="2618" ht="12" customHeight="1"/>
    <row r="2619" ht="12" customHeight="1"/>
    <row r="2620" ht="12" customHeight="1"/>
    <row r="2621" ht="12" customHeight="1"/>
    <row r="2622" ht="12" customHeight="1"/>
    <row r="2623" ht="12" customHeight="1"/>
    <row r="2624" ht="12" customHeight="1"/>
    <row r="2625" ht="12" customHeight="1"/>
    <row r="2626" ht="12" customHeight="1"/>
    <row r="2627" ht="12" customHeight="1"/>
    <row r="2628" ht="12" customHeight="1"/>
    <row r="2629" ht="12" customHeight="1"/>
    <row r="2630" ht="12" customHeight="1"/>
    <row r="2631" ht="12" customHeight="1"/>
    <row r="2632" ht="12" customHeight="1"/>
    <row r="2633" ht="12" customHeight="1"/>
    <row r="2634" ht="12" customHeight="1"/>
    <row r="2635" ht="12" customHeight="1"/>
    <row r="2636" ht="12" customHeight="1"/>
    <row r="2637" ht="12" customHeight="1"/>
    <row r="2638" ht="12" customHeight="1"/>
    <row r="2639" ht="12" customHeight="1"/>
    <row r="2640" ht="12" customHeight="1"/>
    <row r="2641" ht="12" customHeight="1"/>
    <row r="2642" ht="12" customHeight="1"/>
    <row r="2643" ht="12" customHeight="1"/>
    <row r="2644" ht="12" customHeight="1"/>
    <row r="2645" ht="12" customHeight="1"/>
    <row r="2646" ht="12" customHeight="1"/>
    <row r="2647" ht="12" customHeight="1"/>
    <row r="2648" ht="12" customHeight="1"/>
    <row r="2649" ht="12" customHeight="1"/>
    <row r="2650" ht="12" customHeight="1"/>
    <row r="2651" ht="12" customHeight="1"/>
    <row r="2652" ht="12" customHeight="1"/>
    <row r="2653" ht="12" customHeight="1"/>
    <row r="2654" ht="12" customHeight="1"/>
    <row r="2655" ht="12" customHeight="1"/>
    <row r="2656" ht="12" customHeight="1"/>
    <row r="2657" ht="12" customHeight="1"/>
    <row r="2658" ht="12" customHeight="1"/>
    <row r="2659" ht="12" customHeight="1"/>
    <row r="2660" ht="12" customHeight="1"/>
    <row r="2661" ht="12" customHeight="1"/>
    <row r="2662" ht="12" customHeight="1"/>
    <row r="2663" ht="12" customHeight="1"/>
    <row r="2664" ht="12" customHeight="1"/>
    <row r="2665" ht="12" customHeight="1"/>
    <row r="2666" ht="12" customHeight="1"/>
    <row r="2667" ht="12" customHeight="1"/>
    <row r="2668" ht="12" customHeight="1"/>
    <row r="2669" ht="12" customHeight="1"/>
    <row r="2670" ht="12" customHeight="1"/>
    <row r="2671" ht="12" customHeight="1"/>
    <row r="2672" ht="12" customHeight="1"/>
    <row r="2673" ht="12" customHeight="1"/>
    <row r="2674" ht="12" customHeight="1"/>
    <row r="2675" ht="12" customHeight="1"/>
    <row r="2676" ht="12" customHeight="1"/>
    <row r="2677" ht="12" customHeight="1"/>
    <row r="2678" ht="12" customHeight="1"/>
    <row r="2679" ht="12" customHeight="1"/>
    <row r="2680" ht="12" customHeight="1"/>
    <row r="2681" ht="12" customHeight="1"/>
    <row r="2682" ht="12" customHeight="1"/>
    <row r="2683" ht="12" customHeight="1"/>
    <row r="2684" ht="12" customHeight="1"/>
    <row r="2685" ht="12" customHeight="1"/>
    <row r="2686" ht="12" customHeight="1"/>
    <row r="2687" ht="12" customHeight="1"/>
    <row r="2688" ht="12" customHeight="1"/>
    <row r="2689" ht="12" customHeight="1"/>
    <row r="2690" ht="12" customHeight="1"/>
    <row r="2691" ht="12" customHeight="1"/>
    <row r="2692" ht="12" customHeight="1"/>
    <row r="2693" ht="12" customHeight="1"/>
    <row r="2694" ht="12" customHeight="1"/>
    <row r="2695" ht="12" customHeight="1"/>
    <row r="2696" ht="12" customHeight="1"/>
    <row r="2697" ht="12" customHeight="1"/>
    <row r="2698" ht="12" customHeight="1"/>
    <row r="2699" ht="12" customHeight="1"/>
    <row r="2700" ht="12" customHeight="1"/>
    <row r="2701" ht="12" customHeight="1"/>
    <row r="2702" ht="12" customHeight="1"/>
    <row r="2703" ht="12" customHeight="1"/>
    <row r="2704" ht="12" customHeight="1"/>
    <row r="2705" ht="12" customHeight="1"/>
    <row r="2706" ht="12" customHeight="1"/>
    <row r="2707" ht="12" customHeight="1"/>
    <row r="2708" ht="12" customHeight="1"/>
    <row r="2709" ht="12" customHeight="1"/>
    <row r="2710" ht="12" customHeight="1"/>
    <row r="2711" ht="12" customHeight="1"/>
    <row r="2712" ht="12" customHeight="1"/>
    <row r="2713" ht="12" customHeight="1"/>
    <row r="2714" ht="12" customHeight="1"/>
    <row r="2715" ht="12" customHeight="1"/>
    <row r="2716" ht="12" customHeight="1"/>
    <row r="2717" ht="12" customHeight="1"/>
    <row r="2718" ht="12" customHeight="1"/>
    <row r="2719" ht="12" customHeight="1"/>
    <row r="2720" ht="12" customHeight="1"/>
    <row r="2721" ht="12" customHeight="1"/>
    <row r="2722" ht="12" customHeight="1"/>
    <row r="2723" ht="12" customHeight="1"/>
    <row r="2724" ht="12" customHeight="1"/>
    <row r="2725" ht="12" customHeight="1"/>
    <row r="2726" ht="12" customHeight="1"/>
    <row r="2727" ht="12" customHeight="1"/>
    <row r="2728" ht="12" customHeight="1"/>
    <row r="2729" ht="12" customHeight="1"/>
    <row r="2730" ht="12" customHeight="1"/>
    <row r="2731" ht="12" customHeight="1"/>
    <row r="2732" ht="12" customHeight="1"/>
    <row r="2733" ht="12" customHeight="1"/>
    <row r="2734" ht="12" customHeight="1"/>
    <row r="2735" ht="12" customHeight="1"/>
    <row r="2736" ht="12" customHeight="1"/>
    <row r="2737" ht="12" customHeight="1"/>
    <row r="2738" ht="12" customHeight="1"/>
    <row r="2739" ht="12" customHeight="1"/>
    <row r="2740" ht="12" customHeight="1"/>
    <row r="2741" ht="12" customHeight="1"/>
    <row r="2742" ht="12" customHeight="1"/>
    <row r="2743" ht="12" customHeight="1"/>
    <row r="2744" ht="12" customHeight="1"/>
    <row r="2745" ht="12" customHeight="1"/>
    <row r="2746" ht="12" customHeight="1"/>
    <row r="2747" ht="12" customHeight="1"/>
    <row r="2748" ht="12" customHeight="1"/>
    <row r="2749" ht="12" customHeight="1"/>
    <row r="2750" ht="12" customHeight="1"/>
    <row r="2751" ht="12" customHeight="1"/>
    <row r="2752" ht="12" customHeight="1"/>
    <row r="2753" ht="12" customHeight="1"/>
    <row r="2754" ht="12" customHeight="1"/>
    <row r="2755" ht="12" customHeight="1"/>
    <row r="2756" ht="12" customHeight="1"/>
    <row r="2757" ht="12" customHeight="1"/>
    <row r="2758" ht="12" customHeight="1"/>
    <row r="2759" ht="12" customHeight="1"/>
    <row r="2760" ht="12" customHeight="1"/>
    <row r="2761" ht="12" customHeight="1"/>
    <row r="2762" ht="12" customHeight="1"/>
    <row r="2763" ht="12" customHeight="1"/>
    <row r="2764" ht="12" customHeight="1"/>
    <row r="2765" ht="12" customHeight="1"/>
    <row r="2766" ht="12" customHeight="1"/>
    <row r="2767" ht="12" customHeight="1"/>
    <row r="2768" ht="12" customHeight="1"/>
    <row r="2769" ht="12" customHeight="1"/>
    <row r="2770" ht="12" customHeight="1"/>
    <row r="2771" ht="12" customHeight="1"/>
    <row r="2772" ht="12" customHeight="1"/>
    <row r="2773" ht="12" customHeight="1"/>
    <row r="2774" ht="12" customHeight="1"/>
    <row r="2775" ht="12" customHeight="1"/>
    <row r="2776" ht="12" customHeight="1"/>
    <row r="2777" ht="12" customHeight="1"/>
    <row r="2778" ht="12" customHeight="1"/>
    <row r="2779" ht="12" customHeight="1"/>
    <row r="2780" ht="12" customHeight="1"/>
    <row r="2781" ht="12" customHeight="1"/>
    <row r="2782" ht="12" customHeight="1"/>
    <row r="2783" ht="12" customHeight="1"/>
    <row r="2784" ht="12" customHeight="1"/>
    <row r="2785" ht="12" customHeight="1"/>
    <row r="2786" ht="12" customHeight="1"/>
    <row r="2787" ht="12" customHeight="1"/>
    <row r="2788" ht="12" customHeight="1"/>
    <row r="2789" ht="12" customHeight="1"/>
    <row r="2790" ht="12" customHeight="1"/>
    <row r="2791" ht="12" customHeight="1"/>
    <row r="2792" ht="12" customHeight="1"/>
    <row r="2793" ht="12" customHeight="1"/>
    <row r="2794" ht="12" customHeight="1"/>
    <row r="2795" ht="12" customHeight="1"/>
    <row r="2796" ht="12" customHeight="1"/>
    <row r="2797" ht="12" customHeight="1"/>
    <row r="2798" ht="12" customHeight="1"/>
    <row r="2799" ht="12" customHeight="1"/>
    <row r="2800" ht="12" customHeight="1"/>
    <row r="2801" ht="12" customHeight="1"/>
    <row r="2802" ht="12" customHeight="1"/>
    <row r="2803" ht="12" customHeight="1"/>
    <row r="2804" ht="12" customHeight="1"/>
    <row r="2805" ht="12" customHeight="1"/>
    <row r="2806" ht="12" customHeight="1"/>
    <row r="2807" ht="12" customHeight="1"/>
    <row r="2808" ht="12" customHeight="1"/>
    <row r="2809" ht="12" customHeight="1"/>
    <row r="2810" ht="12" customHeight="1"/>
    <row r="2811" ht="12" customHeight="1"/>
    <row r="2812" ht="12" customHeight="1"/>
    <row r="2813" ht="12" customHeight="1"/>
    <row r="2814" ht="12" customHeight="1"/>
    <row r="2815" ht="12" customHeight="1"/>
    <row r="2816" ht="12" customHeight="1"/>
    <row r="2817" ht="12" customHeight="1"/>
    <row r="2818" ht="12" customHeight="1"/>
    <row r="2819" ht="12" customHeight="1"/>
    <row r="2820" ht="12" customHeight="1"/>
    <row r="2821" ht="12" customHeight="1"/>
    <row r="2822" ht="12" customHeight="1"/>
    <row r="2823" ht="12" customHeight="1"/>
    <row r="2824" ht="12" customHeight="1"/>
    <row r="2825" ht="12" customHeight="1"/>
    <row r="2826" ht="12" customHeight="1"/>
    <row r="2827" ht="12" customHeight="1"/>
    <row r="2828" ht="12" customHeight="1"/>
    <row r="2829" ht="12" customHeight="1"/>
    <row r="2830" ht="12" customHeight="1"/>
    <row r="2831" ht="12" customHeight="1"/>
    <row r="2832" ht="12" customHeight="1"/>
    <row r="2833" ht="12" customHeight="1"/>
    <row r="2834" ht="12" customHeight="1"/>
    <row r="2835" ht="12" customHeight="1"/>
    <row r="2836" ht="12" customHeight="1"/>
    <row r="2837" ht="12" customHeight="1"/>
    <row r="2838" ht="12" customHeight="1"/>
    <row r="2839" ht="12" customHeight="1"/>
    <row r="2840" ht="12" customHeight="1"/>
    <row r="2841" ht="12" customHeight="1"/>
    <row r="2842" ht="12" customHeight="1"/>
    <row r="2843" ht="12" customHeight="1"/>
    <row r="2844" ht="12" customHeight="1"/>
    <row r="2845" ht="12" customHeight="1"/>
    <row r="2846" ht="12" customHeight="1"/>
    <row r="2847" ht="12" customHeight="1"/>
    <row r="2848" ht="12" customHeight="1"/>
    <row r="2849" ht="12" customHeight="1"/>
    <row r="2850" ht="12" customHeight="1"/>
    <row r="2851" ht="12" customHeight="1"/>
    <row r="2852" ht="12" customHeight="1"/>
    <row r="2853" ht="12" customHeight="1"/>
    <row r="2854" ht="12" customHeight="1"/>
    <row r="2855" ht="12" customHeight="1"/>
    <row r="2856" ht="12" customHeight="1"/>
    <row r="2857" ht="12" customHeight="1"/>
    <row r="2858" ht="12" customHeight="1"/>
    <row r="2859" ht="12" customHeight="1"/>
    <row r="2860" ht="12" customHeight="1"/>
    <row r="2861" ht="12" customHeight="1"/>
    <row r="2862" ht="12" customHeight="1"/>
    <row r="2863" ht="12" customHeight="1"/>
    <row r="2864" ht="12" customHeight="1"/>
    <row r="2865" ht="12" customHeight="1"/>
    <row r="2866" ht="12" customHeight="1"/>
    <row r="2867" ht="12" customHeight="1"/>
    <row r="2868" ht="12" customHeight="1"/>
    <row r="2869" ht="12" customHeight="1"/>
    <row r="2870" ht="12" customHeight="1"/>
    <row r="2871" ht="12" customHeight="1"/>
    <row r="2872" ht="12" customHeight="1"/>
    <row r="2873" ht="12" customHeight="1"/>
    <row r="2874" ht="12" customHeight="1"/>
    <row r="2875" ht="12" customHeight="1"/>
    <row r="2876" ht="12" customHeight="1"/>
    <row r="2877" ht="12" customHeight="1"/>
    <row r="2878" ht="12" customHeight="1"/>
    <row r="2879" ht="12" customHeight="1"/>
    <row r="2880" ht="12" customHeight="1"/>
    <row r="2881" ht="12" customHeight="1"/>
    <row r="2882" ht="12" customHeight="1"/>
    <row r="2883" ht="12" customHeight="1"/>
    <row r="2884" ht="12" customHeight="1"/>
    <row r="2885" ht="12" customHeight="1"/>
    <row r="2886" ht="12" customHeight="1"/>
    <row r="2887" ht="12" customHeight="1"/>
    <row r="2888" ht="12" customHeight="1"/>
    <row r="2889" ht="12" customHeight="1"/>
    <row r="2890" ht="12" customHeight="1"/>
    <row r="2891" ht="12" customHeight="1"/>
    <row r="2892" ht="12" customHeight="1"/>
    <row r="2893" ht="12" customHeight="1"/>
    <row r="2894" ht="12" customHeight="1"/>
    <row r="2895" ht="12" customHeight="1"/>
    <row r="2896" ht="12" customHeight="1"/>
    <row r="2897" ht="12" customHeight="1"/>
    <row r="2898" ht="12" customHeight="1"/>
    <row r="2899" ht="12" customHeight="1"/>
    <row r="2900" ht="12" customHeight="1"/>
    <row r="2901" ht="12" customHeight="1"/>
    <row r="2902" ht="12" customHeight="1"/>
    <row r="2903" ht="12" customHeight="1"/>
    <row r="2904" ht="12" customHeight="1"/>
    <row r="2905" ht="12" customHeight="1"/>
    <row r="2906" ht="12" customHeight="1"/>
    <row r="2907" ht="12" customHeight="1"/>
    <row r="2908" ht="12" customHeight="1"/>
    <row r="2909" ht="12" customHeight="1"/>
    <row r="2910" ht="12" customHeight="1"/>
    <row r="2911" ht="12" customHeight="1"/>
    <row r="2912" ht="12" customHeight="1"/>
    <row r="2913" ht="12" customHeight="1"/>
    <row r="2914" ht="12" customHeight="1"/>
    <row r="2915" ht="12" customHeight="1"/>
    <row r="2916" ht="12" customHeight="1"/>
    <row r="2917" ht="12" customHeight="1"/>
    <row r="2918" ht="12" customHeight="1"/>
    <row r="2919" ht="12" customHeight="1"/>
    <row r="2920" ht="12" customHeight="1"/>
    <row r="2921" ht="12" customHeight="1"/>
    <row r="2922" ht="12" customHeight="1"/>
    <row r="2923" ht="12" customHeight="1"/>
    <row r="2924" ht="12" customHeight="1"/>
    <row r="2925" ht="12" customHeight="1"/>
    <row r="2926" ht="12" customHeight="1"/>
    <row r="2927" ht="12" customHeight="1"/>
  </sheetData>
  <sheetProtection password="CFAD" sheet="1" objects="1" scenarios="1"/>
  <mergeCells count="134">
    <mergeCell ref="E103:E105"/>
    <mergeCell ref="A103:A105"/>
    <mergeCell ref="B103:B105"/>
    <mergeCell ref="C103:C105"/>
    <mergeCell ref="D103:D105"/>
    <mergeCell ref="D10:F10"/>
    <mergeCell ref="A13:A15"/>
    <mergeCell ref="B13:B15"/>
    <mergeCell ref="C13:C15"/>
    <mergeCell ref="D13:D15"/>
    <mergeCell ref="E13:E15"/>
    <mergeCell ref="F13:F15"/>
    <mergeCell ref="F18:F20"/>
    <mergeCell ref="A21:A23"/>
    <mergeCell ref="B21:B23"/>
    <mergeCell ref="C21:C23"/>
    <mergeCell ref="D21:D23"/>
    <mergeCell ref="E21:E23"/>
    <mergeCell ref="F21:F23"/>
    <mergeCell ref="A18:A20"/>
    <mergeCell ref="B18:B20"/>
    <mergeCell ref="C18:C20"/>
    <mergeCell ref="B27:B29"/>
    <mergeCell ref="C27:C29"/>
    <mergeCell ref="D27:D29"/>
    <mergeCell ref="E18:E20"/>
    <mergeCell ref="D18:D20"/>
    <mergeCell ref="D33:D35"/>
    <mergeCell ref="E27:E29"/>
    <mergeCell ref="F27:F29"/>
    <mergeCell ref="A30:A32"/>
    <mergeCell ref="B30:B32"/>
    <mergeCell ref="C30:C32"/>
    <mergeCell ref="D30:D32"/>
    <mergeCell ref="E30:E32"/>
    <mergeCell ref="F30:F32"/>
    <mergeCell ref="A27:A29"/>
    <mergeCell ref="E33:E35"/>
    <mergeCell ref="F33:F35"/>
    <mergeCell ref="A38:A40"/>
    <mergeCell ref="B38:B40"/>
    <mergeCell ref="C38:C40"/>
    <mergeCell ref="D38:D40"/>
    <mergeCell ref="E38:E40"/>
    <mergeCell ref="A33:A35"/>
    <mergeCell ref="B33:B35"/>
    <mergeCell ref="C33:C35"/>
    <mergeCell ref="E41:E43"/>
    <mergeCell ref="A55:A57"/>
    <mergeCell ref="B55:B57"/>
    <mergeCell ref="C55:C57"/>
    <mergeCell ref="D55:D57"/>
    <mergeCell ref="E55:E57"/>
    <mergeCell ref="A41:A43"/>
    <mergeCell ref="B41:B43"/>
    <mergeCell ref="C41:C43"/>
    <mergeCell ref="D41:D43"/>
    <mergeCell ref="D51:F51"/>
    <mergeCell ref="A58:A60"/>
    <mergeCell ref="B58:B60"/>
    <mergeCell ref="C58:C60"/>
    <mergeCell ref="D58:D60"/>
    <mergeCell ref="E58:E60"/>
    <mergeCell ref="F58:F60"/>
    <mergeCell ref="A61:A63"/>
    <mergeCell ref="B61:B63"/>
    <mergeCell ref="C61:C63"/>
    <mergeCell ref="D61:D63"/>
    <mergeCell ref="A64:A66"/>
    <mergeCell ref="B64:B66"/>
    <mergeCell ref="C64:C66"/>
    <mergeCell ref="D64:D66"/>
    <mergeCell ref="E61:E63"/>
    <mergeCell ref="F61:F63"/>
    <mergeCell ref="E64:E66"/>
    <mergeCell ref="F64:F66"/>
    <mergeCell ref="E67:E69"/>
    <mergeCell ref="F67:F69"/>
    <mergeCell ref="A67:A69"/>
    <mergeCell ref="B67:B69"/>
    <mergeCell ref="C67:C69"/>
    <mergeCell ref="D67:D69"/>
    <mergeCell ref="A70:A72"/>
    <mergeCell ref="B70:B72"/>
    <mergeCell ref="C70:C72"/>
    <mergeCell ref="D70:D72"/>
    <mergeCell ref="A73:A75"/>
    <mergeCell ref="B73:B75"/>
    <mergeCell ref="C73:C75"/>
    <mergeCell ref="D73:D75"/>
    <mergeCell ref="E70:E72"/>
    <mergeCell ref="F70:F72"/>
    <mergeCell ref="E73:E75"/>
    <mergeCell ref="F73:F75"/>
    <mergeCell ref="D76:D78"/>
    <mergeCell ref="E76:E78"/>
    <mergeCell ref="A79:A81"/>
    <mergeCell ref="B79:B81"/>
    <mergeCell ref="C79:C81"/>
    <mergeCell ref="D79:D81"/>
    <mergeCell ref="E79:E81"/>
    <mergeCell ref="A76:A78"/>
    <mergeCell ref="B76:B78"/>
    <mergeCell ref="C76:C78"/>
    <mergeCell ref="A89:A91"/>
    <mergeCell ref="B89:B91"/>
    <mergeCell ref="C89:C91"/>
    <mergeCell ref="D89:D91"/>
    <mergeCell ref="D92:D94"/>
    <mergeCell ref="D86:F86"/>
    <mergeCell ref="E89:E91"/>
    <mergeCell ref="F89:F91"/>
    <mergeCell ref="E92:E94"/>
    <mergeCell ref="F92:F94"/>
    <mergeCell ref="D100:D102"/>
    <mergeCell ref="E95:E97"/>
    <mergeCell ref="F95:F97"/>
    <mergeCell ref="A92:A94"/>
    <mergeCell ref="B92:B94"/>
    <mergeCell ref="A95:A97"/>
    <mergeCell ref="B95:B97"/>
    <mergeCell ref="C95:C97"/>
    <mergeCell ref="D95:D97"/>
    <mergeCell ref="C92:C94"/>
    <mergeCell ref="F24:F26"/>
    <mergeCell ref="A108:B109"/>
    <mergeCell ref="E100:E102"/>
    <mergeCell ref="A100:A102"/>
    <mergeCell ref="A24:A26"/>
    <mergeCell ref="B24:B26"/>
    <mergeCell ref="D24:D26"/>
    <mergeCell ref="E24:E26"/>
    <mergeCell ref="B100:B102"/>
    <mergeCell ref="C100:C102"/>
  </mergeCells>
  <conditionalFormatting sqref="D13:E15 D76:E81 D89:F97 D58:F75 D38:E43 D18:F35 D55:E57 D100:E105">
    <cfRule type="expression" priority="1" dxfId="0" stopIfTrue="1">
      <formula>$C$2=TRUE</formula>
    </cfRule>
  </conditionalFormatting>
  <printOptions/>
  <pageMargins left="0.3937007874015748" right="0.3937007874015748" top="0.3937007874015748" bottom="0.3937007874015748" header="0.6299212598425197" footer="0.11811023622047245"/>
  <pageSetup horizontalDpi="600" verticalDpi="600" orientation="landscape" paperSize="9" r:id="rId3"/>
  <rowBreaks count="2" manualBreakCount="2">
    <brk id="44" max="6" man="1"/>
    <brk id="82" max="255" man="1"/>
  </rowBreaks>
  <drawing r:id="rId2"/>
  <legacyDrawing r:id="rId1"/>
</worksheet>
</file>

<file path=xl/worksheets/sheet19.xml><?xml version="1.0" encoding="utf-8"?>
<worksheet xmlns="http://schemas.openxmlformats.org/spreadsheetml/2006/main" xmlns:r="http://schemas.openxmlformats.org/officeDocument/2006/relationships">
  <sheetPr codeName="Blad23"/>
  <dimension ref="A1:J932"/>
  <sheetViews>
    <sheetView workbookViewId="0" topLeftCell="A1">
      <selection activeCell="G20" sqref="G20"/>
    </sheetView>
  </sheetViews>
  <sheetFormatPr defaultColWidth="9.140625" defaultRowHeight="12.75"/>
  <cols>
    <col min="1" max="1" width="33.28125" style="565" customWidth="1"/>
    <col min="2" max="3" width="13.7109375" style="565" customWidth="1"/>
    <col min="4" max="16384" width="9.140625" style="565" customWidth="1"/>
  </cols>
  <sheetData>
    <row r="1" spans="1:4" ht="12.75">
      <c r="A1" s="1114" t="s">
        <v>160</v>
      </c>
      <c r="B1" s="1124"/>
      <c r="C1" s="1124"/>
      <c r="D1" s="892"/>
    </row>
    <row r="2" spans="1:4" ht="12.75">
      <c r="A2" s="1114"/>
      <c r="B2" s="1124"/>
      <c r="C2" s="1124"/>
      <c r="D2" s="892"/>
    </row>
    <row r="3" spans="1:4" ht="12.75">
      <c r="A3" s="1124"/>
      <c r="B3" s="1124"/>
      <c r="C3" s="1124"/>
      <c r="D3" s="892"/>
    </row>
    <row r="4" spans="1:4" ht="12.75">
      <c r="A4" s="1124"/>
      <c r="B4" s="1125" t="s">
        <v>615</v>
      </c>
      <c r="C4" s="1126"/>
      <c r="D4" s="892"/>
    </row>
    <row r="5" spans="1:4" ht="12.75">
      <c r="A5" s="1127" t="s">
        <v>65</v>
      </c>
      <c r="B5" s="1128" t="s">
        <v>470</v>
      </c>
      <c r="C5" s="1128" t="s">
        <v>471</v>
      </c>
      <c r="D5" s="892"/>
    </row>
    <row r="6" spans="1:3" ht="12.75">
      <c r="A6" s="1129"/>
      <c r="B6" s="1129"/>
      <c r="C6" s="1129"/>
    </row>
    <row r="7" spans="1:3" ht="12.75">
      <c r="A7" s="1124" t="s">
        <v>161</v>
      </c>
      <c r="B7" s="1177">
        <v>24.57</v>
      </c>
      <c r="C7" s="1177">
        <v>6.78</v>
      </c>
    </row>
    <row r="8" spans="1:3" ht="12.75">
      <c r="A8" s="1124" t="s">
        <v>162</v>
      </c>
      <c r="B8" s="1177">
        <v>10.22</v>
      </c>
      <c r="C8" s="1177">
        <v>2.81</v>
      </c>
    </row>
    <row r="9" spans="1:3" ht="12.75">
      <c r="A9" s="1124" t="s">
        <v>163</v>
      </c>
      <c r="B9" s="1178">
        <v>178686</v>
      </c>
      <c r="C9" s="1178">
        <v>6580</v>
      </c>
    </row>
    <row r="10" spans="1:3" ht="12.75">
      <c r="A10" s="1124" t="s">
        <v>164</v>
      </c>
      <c r="B10" s="1178">
        <v>6602</v>
      </c>
      <c r="C10" s="1178">
        <v>138</v>
      </c>
    </row>
    <row r="11" spans="1:3" ht="12.75">
      <c r="A11" s="1124" t="s">
        <v>165</v>
      </c>
      <c r="B11" s="1178">
        <v>49</v>
      </c>
      <c r="C11" s="1178">
        <v>0</v>
      </c>
    </row>
    <row r="12" spans="1:3" ht="12.75">
      <c r="A12" s="1124" t="s">
        <v>166</v>
      </c>
      <c r="B12" s="1178">
        <v>97</v>
      </c>
      <c r="C12" s="1178">
        <v>0</v>
      </c>
    </row>
    <row r="13" spans="1:3" ht="12.75">
      <c r="A13" s="1124" t="s">
        <v>167</v>
      </c>
      <c r="B13" s="1178">
        <v>146</v>
      </c>
      <c r="C13" s="1178">
        <v>0</v>
      </c>
    </row>
    <row r="14" spans="1:3" ht="12.75">
      <c r="A14" s="1124" t="s">
        <v>168</v>
      </c>
      <c r="B14" s="1178">
        <v>194</v>
      </c>
      <c r="C14" s="1178">
        <v>0</v>
      </c>
    </row>
    <row r="15" spans="1:3" ht="12.75">
      <c r="A15" s="1124" t="s">
        <v>169</v>
      </c>
      <c r="B15" s="1178">
        <v>118823</v>
      </c>
      <c r="C15" s="1178">
        <v>38910</v>
      </c>
    </row>
    <row r="16" spans="1:3" ht="12.75">
      <c r="A16" s="1124" t="s">
        <v>170</v>
      </c>
      <c r="B16" s="1178">
        <v>72754</v>
      </c>
      <c r="C16" s="1178">
        <v>1660</v>
      </c>
    </row>
    <row r="17" spans="1:3" ht="12.75">
      <c r="A17" s="1124" t="s">
        <v>171</v>
      </c>
      <c r="B17" s="1178">
        <v>43218</v>
      </c>
      <c r="C17" s="1178">
        <v>4109</v>
      </c>
    </row>
    <row r="18" spans="1:3" ht="12.75">
      <c r="A18" s="1124" t="s">
        <v>172</v>
      </c>
      <c r="B18" s="1178">
        <v>0</v>
      </c>
      <c r="C18" s="1178">
        <v>0</v>
      </c>
    </row>
    <row r="19" spans="1:3" ht="12.75">
      <c r="A19" s="1124" t="s">
        <v>173</v>
      </c>
      <c r="B19" s="1178">
        <v>9114</v>
      </c>
      <c r="C19" s="1178">
        <v>16636</v>
      </c>
    </row>
    <row r="20" spans="1:3" ht="12.75">
      <c r="A20" s="1124" t="s">
        <v>174</v>
      </c>
      <c r="B20" s="1177">
        <v>2694.84</v>
      </c>
      <c r="C20" s="1177">
        <v>4194.51</v>
      </c>
    </row>
    <row r="21" spans="1:7" ht="12.75">
      <c r="A21" s="1124" t="s">
        <v>175</v>
      </c>
      <c r="B21" s="1177">
        <v>0</v>
      </c>
      <c r="C21" s="1177">
        <v>4083.07</v>
      </c>
      <c r="F21" s="899"/>
      <c r="G21" s="899"/>
    </row>
    <row r="22" spans="1:7" ht="12.75">
      <c r="A22" s="1124" t="s">
        <v>176</v>
      </c>
      <c r="B22" s="1177">
        <v>0</v>
      </c>
      <c r="C22" s="1177">
        <v>832.7</v>
      </c>
      <c r="F22" s="899"/>
      <c r="G22" s="899"/>
    </row>
    <row r="23" spans="1:7" ht="12.75">
      <c r="A23" s="1124" t="s">
        <v>177</v>
      </c>
      <c r="B23" s="1178">
        <v>0</v>
      </c>
      <c r="C23" s="1177">
        <v>34814.58</v>
      </c>
      <c r="F23" s="899"/>
      <c r="G23" s="899"/>
    </row>
    <row r="24" spans="1:7" ht="12.75">
      <c r="A24" s="1124" t="s">
        <v>178</v>
      </c>
      <c r="B24" s="1178">
        <v>0</v>
      </c>
      <c r="C24" s="1177">
        <v>3764.73</v>
      </c>
      <c r="F24" s="899"/>
      <c r="G24" s="899"/>
    </row>
    <row r="25" spans="1:7" ht="12.75">
      <c r="A25" s="1124" t="s">
        <v>180</v>
      </c>
      <c r="B25" s="1177">
        <v>24025.16</v>
      </c>
      <c r="C25" s="1177">
        <v>15601.38</v>
      </c>
      <c r="F25" s="899"/>
      <c r="G25" s="899"/>
    </row>
    <row r="26" spans="1:7" ht="12.75">
      <c r="A26" s="1124" t="s">
        <v>181</v>
      </c>
      <c r="B26" s="1177">
        <v>0</v>
      </c>
      <c r="C26" s="1177">
        <v>14235</v>
      </c>
      <c r="D26" s="899"/>
      <c r="E26" s="899"/>
      <c r="F26" s="899"/>
      <c r="G26" s="899"/>
    </row>
    <row r="27" spans="1:7" ht="12.75">
      <c r="A27" s="1124" t="s">
        <v>182</v>
      </c>
      <c r="B27" s="1177">
        <v>0</v>
      </c>
      <c r="C27" s="1177">
        <v>12174</v>
      </c>
      <c r="D27" s="899"/>
      <c r="E27" s="899"/>
      <c r="F27" s="899"/>
      <c r="G27" s="899"/>
    </row>
    <row r="28" spans="1:7" ht="12.75">
      <c r="A28" s="1124" t="s">
        <v>183</v>
      </c>
      <c r="B28" s="1177">
        <v>0</v>
      </c>
      <c r="C28" s="1177">
        <v>20331</v>
      </c>
      <c r="D28" s="899"/>
      <c r="E28" s="899"/>
      <c r="F28" s="899"/>
      <c r="G28" s="899"/>
    </row>
    <row r="29" spans="1:7" ht="12.75">
      <c r="A29" s="1124" t="s">
        <v>184</v>
      </c>
      <c r="B29" s="1177">
        <v>0</v>
      </c>
      <c r="C29" s="1177">
        <v>9739</v>
      </c>
      <c r="D29" s="899"/>
      <c r="E29" s="899"/>
      <c r="F29" s="899"/>
      <c r="G29" s="899"/>
    </row>
    <row r="30" spans="1:7" ht="12.75">
      <c r="A30" s="1124" t="s">
        <v>185</v>
      </c>
      <c r="B30" s="1177">
        <v>0</v>
      </c>
      <c r="C30" s="1177">
        <v>15339</v>
      </c>
      <c r="D30" s="899"/>
      <c r="E30" s="899"/>
      <c r="F30" s="899"/>
      <c r="G30" s="899"/>
    </row>
    <row r="31" spans="1:7" ht="12.75">
      <c r="A31" s="1124" t="s">
        <v>270</v>
      </c>
      <c r="B31" s="1177">
        <v>0</v>
      </c>
      <c r="C31" s="1177">
        <v>11887.18</v>
      </c>
      <c r="D31" s="899"/>
      <c r="E31" s="899"/>
      <c r="F31" s="899"/>
      <c r="G31" s="899"/>
    </row>
    <row r="32" spans="1:7" ht="12.75">
      <c r="A32" s="1124" t="s">
        <v>271</v>
      </c>
      <c r="B32" s="1177">
        <v>0</v>
      </c>
      <c r="C32" s="1177">
        <v>9589.66</v>
      </c>
      <c r="D32" s="899"/>
      <c r="E32" s="899"/>
      <c r="F32" s="899"/>
      <c r="G32" s="899"/>
    </row>
    <row r="33" spans="1:7" ht="12.75">
      <c r="A33" s="1124" t="s">
        <v>186</v>
      </c>
      <c r="B33" s="1177">
        <v>9578</v>
      </c>
      <c r="C33" s="1177">
        <v>5351</v>
      </c>
      <c r="D33" s="899"/>
      <c r="E33" s="899"/>
      <c r="F33" s="899"/>
      <c r="G33" s="899"/>
    </row>
    <row r="34" spans="1:7" ht="12.75">
      <c r="A34" s="1124" t="s">
        <v>187</v>
      </c>
      <c r="B34" s="1177">
        <v>641.19</v>
      </c>
      <c r="C34" s="1177">
        <v>67.47</v>
      </c>
      <c r="D34" s="899"/>
      <c r="E34" s="899"/>
      <c r="F34" s="899"/>
      <c r="G34" s="899"/>
    </row>
    <row r="35" spans="1:7" ht="12.75">
      <c r="A35" s="1124" t="s">
        <v>188</v>
      </c>
      <c r="B35" s="1178">
        <v>0</v>
      </c>
      <c r="C35" s="1177">
        <v>0</v>
      </c>
      <c r="D35" s="899"/>
      <c r="E35" s="899"/>
      <c r="F35" s="899"/>
      <c r="G35" s="899"/>
    </row>
    <row r="36" spans="1:7" ht="12.75">
      <c r="A36" s="1124" t="s">
        <v>189</v>
      </c>
      <c r="B36" s="1178">
        <v>0</v>
      </c>
      <c r="C36" s="1177">
        <v>4768.11</v>
      </c>
      <c r="F36" s="899"/>
      <c r="G36" s="899"/>
    </row>
    <row r="37" spans="1:7" ht="12.75">
      <c r="A37" s="1124" t="s">
        <v>190</v>
      </c>
      <c r="B37" s="1178">
        <v>0</v>
      </c>
      <c r="C37" s="1177">
        <v>2944.5</v>
      </c>
      <c r="F37" s="899"/>
      <c r="G37" s="899"/>
    </row>
    <row r="38" spans="1:7" ht="12.75">
      <c r="A38" s="1124" t="s">
        <v>472</v>
      </c>
      <c r="B38" s="1177">
        <v>318.7</v>
      </c>
      <c r="C38" s="1177">
        <v>53.45</v>
      </c>
      <c r="F38" s="899"/>
      <c r="G38" s="899"/>
    </row>
    <row r="39" spans="1:7" ht="12.75" customHeight="1">
      <c r="A39" s="1124" t="s">
        <v>473</v>
      </c>
      <c r="B39" s="1177">
        <v>1020.88</v>
      </c>
      <c r="C39" s="1177">
        <v>170.02</v>
      </c>
      <c r="F39" s="899"/>
      <c r="G39" s="899"/>
    </row>
    <row r="40" spans="1:7" ht="12.75">
      <c r="A40" s="1124" t="s">
        <v>474</v>
      </c>
      <c r="B40" s="1177">
        <v>1749.07</v>
      </c>
      <c r="C40" s="1177">
        <v>291.18</v>
      </c>
      <c r="F40" s="899"/>
      <c r="G40" s="899"/>
    </row>
    <row r="41" spans="1:7" ht="12.75">
      <c r="A41" s="1124" t="s">
        <v>475</v>
      </c>
      <c r="B41" s="1177">
        <v>2938.27</v>
      </c>
      <c r="C41" s="1177">
        <v>488.7</v>
      </c>
      <c r="F41" s="899"/>
      <c r="G41" s="899"/>
    </row>
    <row r="42" spans="1:7" ht="12.75">
      <c r="A42" s="1124" t="s">
        <v>191</v>
      </c>
      <c r="B42" s="1177">
        <v>155.01</v>
      </c>
      <c r="C42" s="1177">
        <v>25.96</v>
      </c>
      <c r="F42" s="899"/>
      <c r="G42" s="899"/>
    </row>
    <row r="43" spans="1:7" ht="12.75">
      <c r="A43" s="1124" t="s">
        <v>192</v>
      </c>
      <c r="B43" s="1177">
        <v>265.08</v>
      </c>
      <c r="C43" s="1177">
        <v>39.2</v>
      </c>
      <c r="F43" s="899"/>
      <c r="G43" s="899"/>
    </row>
    <row r="44" spans="1:7" ht="12.75">
      <c r="A44" s="1124" t="s">
        <v>193</v>
      </c>
      <c r="B44" s="1177">
        <v>539.64</v>
      </c>
      <c r="C44" s="1177">
        <v>89.59</v>
      </c>
      <c r="F44" s="899"/>
      <c r="G44" s="899"/>
    </row>
    <row r="45" spans="1:7" ht="12.75">
      <c r="A45" s="1124" t="s">
        <v>194</v>
      </c>
      <c r="B45" s="1177">
        <v>1909.87</v>
      </c>
      <c r="C45" s="1177">
        <v>318.17</v>
      </c>
      <c r="F45" s="899"/>
      <c r="G45" s="899"/>
    </row>
    <row r="46" spans="1:7" ht="12.75">
      <c r="A46" s="1124" t="s">
        <v>272</v>
      </c>
      <c r="B46" s="1177">
        <v>1909.87</v>
      </c>
      <c r="C46" s="1177">
        <v>4397.77</v>
      </c>
      <c r="F46" s="899"/>
      <c r="G46" s="899"/>
    </row>
    <row r="47" spans="1:7" ht="12.75">
      <c r="A47" s="1124" t="s">
        <v>195</v>
      </c>
      <c r="B47" s="1177">
        <v>402.08</v>
      </c>
      <c r="C47" s="1177">
        <v>262.75</v>
      </c>
      <c r="F47" s="899"/>
      <c r="G47" s="899"/>
    </row>
    <row r="48" spans="1:7" ht="12.75">
      <c r="A48" s="1124" t="s">
        <v>196</v>
      </c>
      <c r="B48" s="1177">
        <v>1029.8</v>
      </c>
      <c r="C48" s="1177">
        <v>66.5</v>
      </c>
      <c r="F48" s="899"/>
      <c r="G48" s="899"/>
    </row>
    <row r="49" spans="1:7" ht="12.75">
      <c r="A49" s="1124" t="s">
        <v>197</v>
      </c>
      <c r="B49" s="1177">
        <v>34.9</v>
      </c>
      <c r="C49" s="1177">
        <v>19.25</v>
      </c>
      <c r="F49" s="899"/>
      <c r="G49" s="899"/>
    </row>
    <row r="50" spans="1:7" ht="12.75">
      <c r="A50" s="1124" t="s">
        <v>198</v>
      </c>
      <c r="B50" s="1177">
        <v>2287.7</v>
      </c>
      <c r="C50" s="1177">
        <v>1073.79</v>
      </c>
      <c r="F50" s="899"/>
      <c r="G50" s="899"/>
    </row>
    <row r="51" spans="1:7" ht="12.75">
      <c r="A51" s="1124" t="s">
        <v>199</v>
      </c>
      <c r="B51" s="1177">
        <v>577.41</v>
      </c>
      <c r="C51" s="1177">
        <v>106.12</v>
      </c>
      <c r="F51" s="899"/>
      <c r="G51" s="899"/>
    </row>
    <row r="52" spans="1:7" ht="12.75">
      <c r="A52" s="1124" t="s">
        <v>200</v>
      </c>
      <c r="B52" s="1177">
        <v>171.49</v>
      </c>
      <c r="C52" s="1177">
        <v>135.49</v>
      </c>
      <c r="F52" s="899"/>
      <c r="G52" s="899"/>
    </row>
    <row r="53" spans="1:7" ht="12.75">
      <c r="A53" s="1124" t="s">
        <v>201</v>
      </c>
      <c r="B53" s="1177">
        <v>17.51</v>
      </c>
      <c r="C53" s="1177">
        <v>79.26</v>
      </c>
      <c r="F53" s="899"/>
      <c r="G53" s="899"/>
    </row>
    <row r="54" spans="1:7" ht="12.75">
      <c r="A54" s="1124" t="s">
        <v>202</v>
      </c>
      <c r="B54" s="1177">
        <v>171.49</v>
      </c>
      <c r="C54" s="1177">
        <v>195</v>
      </c>
      <c r="F54" s="899"/>
      <c r="G54" s="899"/>
    </row>
    <row r="55" spans="1:7" ht="12.75">
      <c r="A55" s="1124" t="s">
        <v>203</v>
      </c>
      <c r="B55" s="1177">
        <v>17.51</v>
      </c>
      <c r="C55" s="1177">
        <v>99.52</v>
      </c>
      <c r="F55" s="899"/>
      <c r="G55" s="899"/>
    </row>
    <row r="56" spans="1:7" ht="12.75">
      <c r="A56" s="1124" t="s">
        <v>204</v>
      </c>
      <c r="B56" s="1177">
        <v>104.35</v>
      </c>
      <c r="C56" s="1177">
        <v>110.16</v>
      </c>
      <c r="F56" s="899"/>
      <c r="G56" s="899"/>
    </row>
    <row r="57" spans="1:7" ht="12.75">
      <c r="A57" s="1124" t="s">
        <v>205</v>
      </c>
      <c r="B57" s="1177">
        <v>104.35</v>
      </c>
      <c r="C57" s="1177">
        <v>170.95</v>
      </c>
      <c r="F57" s="899"/>
      <c r="G57" s="899"/>
    </row>
    <row r="58" spans="1:7" ht="12.75">
      <c r="A58" s="1124" t="s">
        <v>206</v>
      </c>
      <c r="B58" s="1177">
        <v>244.66</v>
      </c>
      <c r="C58" s="1177">
        <v>110.16</v>
      </c>
      <c r="F58" s="899"/>
      <c r="G58" s="899"/>
    </row>
    <row r="59" spans="1:7" ht="12.75">
      <c r="A59" s="1124" t="s">
        <v>207</v>
      </c>
      <c r="B59" s="1177">
        <v>244.66</v>
      </c>
      <c r="C59" s="1177">
        <v>170.95</v>
      </c>
      <c r="F59" s="899"/>
      <c r="G59" s="899"/>
    </row>
    <row r="60" spans="1:7" ht="12.75">
      <c r="A60" s="1124" t="s">
        <v>208</v>
      </c>
      <c r="B60" s="1178">
        <v>17.51</v>
      </c>
      <c r="C60" s="1177">
        <v>88.94</v>
      </c>
      <c r="D60" s="899"/>
      <c r="E60" s="899"/>
      <c r="F60" s="899"/>
      <c r="G60" s="899"/>
    </row>
    <row r="61" spans="1:7" ht="12.75">
      <c r="A61" s="1124" t="s">
        <v>209</v>
      </c>
      <c r="B61" s="1178">
        <v>17.51</v>
      </c>
      <c r="C61" s="1177">
        <v>109.19</v>
      </c>
      <c r="D61" s="899"/>
      <c r="E61" s="899"/>
      <c r="F61" s="899"/>
      <c r="G61" s="899"/>
    </row>
    <row r="62" spans="1:9" ht="12.75">
      <c r="A62" s="1124" t="s">
        <v>210</v>
      </c>
      <c r="B62" s="1177">
        <v>62.71</v>
      </c>
      <c r="C62" s="1177">
        <v>9.85</v>
      </c>
      <c r="F62" s="899"/>
      <c r="I62" s="899"/>
    </row>
    <row r="63" spans="1:8" ht="12.75">
      <c r="A63" s="1124" t="s">
        <v>211</v>
      </c>
      <c r="B63" s="1179">
        <v>1.028</v>
      </c>
      <c r="C63" s="1179">
        <v>0.243</v>
      </c>
      <c r="F63" s="899"/>
      <c r="H63" s="899"/>
    </row>
    <row r="64" spans="1:8" ht="12.75">
      <c r="A64" s="1124" t="s">
        <v>212</v>
      </c>
      <c r="B64" s="1177">
        <v>405.26</v>
      </c>
      <c r="C64" s="1177">
        <v>479.62</v>
      </c>
      <c r="F64" s="899"/>
      <c r="H64" s="899"/>
    </row>
    <row r="65" spans="1:8" ht="12.75">
      <c r="A65" s="1124" t="s">
        <v>213</v>
      </c>
      <c r="B65" s="1177">
        <v>420.89</v>
      </c>
      <c r="C65" s="1177">
        <v>527.77</v>
      </c>
      <c r="E65" s="899"/>
      <c r="H65" s="899"/>
    </row>
    <row r="66" spans="1:8" ht="12.75">
      <c r="A66" s="1124" t="s">
        <v>214</v>
      </c>
      <c r="B66" s="1177">
        <v>37.93</v>
      </c>
      <c r="C66" s="1177">
        <v>8.74</v>
      </c>
      <c r="E66" s="899"/>
      <c r="H66" s="899"/>
    </row>
    <row r="67" spans="1:10" ht="12.75">
      <c r="A67" s="1124" t="s">
        <v>215</v>
      </c>
      <c r="B67" s="1177">
        <v>39.17</v>
      </c>
      <c r="C67" s="1177">
        <v>8.95</v>
      </c>
      <c r="F67" s="899"/>
      <c r="G67" s="899"/>
      <c r="I67" s="899"/>
      <c r="J67" s="899"/>
    </row>
    <row r="68" spans="1:10" ht="12.75">
      <c r="A68" s="1124" t="s">
        <v>216</v>
      </c>
      <c r="B68" s="1177">
        <v>75.14</v>
      </c>
      <c r="C68" s="1177">
        <v>37.58</v>
      </c>
      <c r="G68" s="899"/>
      <c r="J68" s="899"/>
    </row>
    <row r="69" spans="1:10" ht="12.75">
      <c r="A69" s="1124" t="s">
        <v>217</v>
      </c>
      <c r="B69" s="1177">
        <v>78.23</v>
      </c>
      <c r="C69" s="1177">
        <v>41.21</v>
      </c>
      <c r="F69" s="899"/>
      <c r="G69" s="899"/>
      <c r="I69" s="899"/>
      <c r="J69" s="899"/>
    </row>
    <row r="70" spans="1:10" ht="12.75">
      <c r="A70" s="1124" t="s">
        <v>218</v>
      </c>
      <c r="B70" s="1177">
        <v>211.47</v>
      </c>
      <c r="C70" s="1177">
        <v>103.25</v>
      </c>
      <c r="F70" s="899"/>
      <c r="G70" s="899"/>
      <c r="I70" s="899"/>
      <c r="J70" s="899"/>
    </row>
    <row r="71" spans="1:10" ht="12.75">
      <c r="A71" s="1124" t="s">
        <v>219</v>
      </c>
      <c r="B71" s="1177">
        <v>215.55</v>
      </c>
      <c r="C71" s="1177">
        <v>109.17</v>
      </c>
      <c r="E71" s="899"/>
      <c r="F71" s="899"/>
      <c r="G71" s="899"/>
      <c r="H71" s="899"/>
      <c r="I71" s="899"/>
      <c r="J71" s="899"/>
    </row>
    <row r="72" spans="1:10" ht="12.75">
      <c r="A72" s="1124" t="s">
        <v>220</v>
      </c>
      <c r="B72" s="1177">
        <v>481.11</v>
      </c>
      <c r="C72" s="1177">
        <v>497.1</v>
      </c>
      <c r="F72" s="899"/>
      <c r="G72" s="899"/>
      <c r="H72" s="899"/>
      <c r="I72" s="899"/>
      <c r="J72" s="899"/>
    </row>
    <row r="73" spans="1:10" ht="12.75">
      <c r="A73" s="1124" t="s">
        <v>221</v>
      </c>
      <c r="B73" s="1177">
        <v>499.24</v>
      </c>
      <c r="C73" s="1177">
        <v>545.68</v>
      </c>
      <c r="F73" s="899"/>
      <c r="G73" s="899"/>
      <c r="H73" s="899"/>
      <c r="I73" s="899"/>
      <c r="J73" s="899"/>
    </row>
    <row r="74" spans="1:10" ht="12.75">
      <c r="A74" s="1124" t="s">
        <v>222</v>
      </c>
      <c r="B74" s="1177">
        <v>211.47</v>
      </c>
      <c r="C74" s="1177">
        <v>103.25</v>
      </c>
      <c r="F74" s="899"/>
      <c r="G74" s="899"/>
      <c r="H74" s="899"/>
      <c r="I74" s="899"/>
      <c r="J74" s="899"/>
    </row>
    <row r="75" spans="1:10" ht="12.75">
      <c r="A75" s="1124" t="s">
        <v>223</v>
      </c>
      <c r="B75" s="1177">
        <v>215.55</v>
      </c>
      <c r="C75" s="1177">
        <v>109.17</v>
      </c>
      <c r="F75" s="899"/>
      <c r="G75" s="899"/>
      <c r="H75" s="899"/>
      <c r="I75" s="899"/>
      <c r="J75" s="899"/>
    </row>
    <row r="76" spans="1:10" ht="12.75">
      <c r="A76" s="1124" t="s">
        <v>224</v>
      </c>
      <c r="B76" s="1177">
        <v>211.47</v>
      </c>
      <c r="C76" s="1177">
        <v>103.25</v>
      </c>
      <c r="F76" s="899"/>
      <c r="G76" s="899"/>
      <c r="H76" s="899"/>
      <c r="I76" s="899"/>
      <c r="J76" s="899"/>
    </row>
    <row r="77" spans="1:10" ht="12.75">
      <c r="A77" s="1124" t="s">
        <v>225</v>
      </c>
      <c r="B77" s="1177">
        <v>215.55</v>
      </c>
      <c r="C77" s="1177">
        <v>109.17</v>
      </c>
      <c r="F77" s="899"/>
      <c r="G77" s="899"/>
      <c r="H77" s="899"/>
      <c r="I77" s="899"/>
      <c r="J77" s="899"/>
    </row>
    <row r="78" spans="1:10" ht="12.75">
      <c r="A78" s="1124" t="s">
        <v>226</v>
      </c>
      <c r="B78" s="1177">
        <v>9.55</v>
      </c>
      <c r="C78" s="1177">
        <v>5.27</v>
      </c>
      <c r="F78" s="899"/>
      <c r="G78" s="899"/>
      <c r="H78" s="899"/>
      <c r="I78" s="899"/>
      <c r="J78" s="899"/>
    </row>
    <row r="79" spans="1:10" ht="12.75">
      <c r="A79" s="1124" t="s">
        <v>227</v>
      </c>
      <c r="B79" s="1177">
        <v>5.84</v>
      </c>
      <c r="C79" s="1177">
        <v>2.15</v>
      </c>
      <c r="F79" s="899"/>
      <c r="G79" s="899"/>
      <c r="H79" s="899"/>
      <c r="I79" s="899"/>
      <c r="J79" s="899"/>
    </row>
    <row r="80" spans="1:10" ht="12.75">
      <c r="A80" s="1124" t="s">
        <v>228</v>
      </c>
      <c r="B80" s="1177">
        <v>3.67</v>
      </c>
      <c r="C80" s="1177">
        <v>1.36</v>
      </c>
      <c r="E80" s="899"/>
      <c r="F80" s="899"/>
      <c r="G80" s="899"/>
      <c r="H80" s="899"/>
      <c r="I80" s="899"/>
      <c r="J80" s="899"/>
    </row>
    <row r="81" spans="1:10" ht="12.75">
      <c r="A81" s="1124" t="s">
        <v>229</v>
      </c>
      <c r="B81" s="1177">
        <v>9.12</v>
      </c>
      <c r="C81" s="1177">
        <v>3.36</v>
      </c>
      <c r="E81" s="899"/>
      <c r="F81" s="899"/>
      <c r="G81" s="899"/>
      <c r="H81" s="899"/>
      <c r="I81" s="899"/>
      <c r="J81" s="899"/>
    </row>
    <row r="82" spans="1:10" ht="12.75">
      <c r="A82" s="1124" t="s">
        <v>230</v>
      </c>
      <c r="B82" s="1177">
        <v>0.63</v>
      </c>
      <c r="C82" s="1177">
        <v>0.561</v>
      </c>
      <c r="E82" s="899"/>
      <c r="F82" s="899"/>
      <c r="G82" s="899"/>
      <c r="H82" s="899"/>
      <c r="I82" s="899"/>
      <c r="J82" s="899"/>
    </row>
    <row r="83" spans="1:3" ht="12.75">
      <c r="A83" s="1124" t="s">
        <v>231</v>
      </c>
      <c r="B83" s="1177">
        <v>6.92</v>
      </c>
      <c r="C83" s="1177">
        <v>1.95</v>
      </c>
    </row>
    <row r="84" spans="1:3" ht="12.75">
      <c r="A84" s="1124" t="s">
        <v>232</v>
      </c>
      <c r="B84" s="1177">
        <v>234.26</v>
      </c>
      <c r="C84" s="1177">
        <v>198.88</v>
      </c>
    </row>
    <row r="85" spans="1:3" ht="12.75">
      <c r="A85" s="1124" t="s">
        <v>233</v>
      </c>
      <c r="B85" s="1177">
        <v>199.18</v>
      </c>
      <c r="C85" s="1177">
        <v>627.24</v>
      </c>
    </row>
    <row r="86" spans="1:3" ht="12.75">
      <c r="A86" s="1124" t="s">
        <v>234</v>
      </c>
      <c r="B86" s="1179">
        <v>0.413</v>
      </c>
      <c r="C86" s="1179">
        <v>0.085</v>
      </c>
    </row>
    <row r="87" spans="1:3" ht="12.75">
      <c r="A87" s="1124" t="s">
        <v>235</v>
      </c>
      <c r="B87" s="1179">
        <v>0.463</v>
      </c>
      <c r="C87" s="1179">
        <v>0.108</v>
      </c>
    </row>
    <row r="88" spans="1:3" ht="12.75">
      <c r="A88" s="1124" t="s">
        <v>236</v>
      </c>
      <c r="B88" s="1179">
        <v>0.849</v>
      </c>
      <c r="C88" s="1179">
        <v>0.17</v>
      </c>
    </row>
    <row r="89" spans="1:3" ht="12.75">
      <c r="A89" s="1124" t="s">
        <v>237</v>
      </c>
      <c r="B89" s="1179">
        <v>0.849</v>
      </c>
      <c r="C89" s="1179">
        <v>0.17</v>
      </c>
    </row>
    <row r="90" spans="1:3" ht="12.75">
      <c r="A90" s="1124"/>
      <c r="B90" s="1124"/>
      <c r="C90" s="1124"/>
    </row>
    <row r="91" spans="1:3" ht="12.75">
      <c r="A91" s="1124"/>
      <c r="B91" s="1124"/>
      <c r="C91" s="1124"/>
    </row>
    <row r="92" spans="1:3" ht="12.75">
      <c r="A92" s="1124"/>
      <c r="B92" s="1124"/>
      <c r="C92" s="1124"/>
    </row>
    <row r="93" spans="1:3" ht="12.75">
      <c r="A93" s="1124"/>
      <c r="B93" s="1124"/>
      <c r="C93" s="1124"/>
    </row>
    <row r="94" spans="1:3" ht="12.75">
      <c r="A94" s="1124"/>
      <c r="B94" s="1124"/>
      <c r="C94" s="1124"/>
    </row>
    <row r="95" spans="1:3" ht="12.75">
      <c r="A95" s="1124"/>
      <c r="B95" s="1124"/>
      <c r="C95" s="1124"/>
    </row>
    <row r="96" spans="1:3" ht="12.75">
      <c r="A96" s="1124"/>
      <c r="B96" s="1124"/>
      <c r="C96" s="1124"/>
    </row>
    <row r="97" spans="1:3" ht="12.75">
      <c r="A97" s="1124"/>
      <c r="B97" s="1124"/>
      <c r="C97" s="1124"/>
    </row>
    <row r="98" spans="1:3" ht="12.75">
      <c r="A98" s="1124"/>
      <c r="B98" s="1124"/>
      <c r="C98" s="1124"/>
    </row>
    <row r="99" spans="1:3" ht="12.75">
      <c r="A99" s="1124"/>
      <c r="B99" s="1124"/>
      <c r="C99" s="1124"/>
    </row>
    <row r="100" spans="1:3" ht="12.75">
      <c r="A100" s="1124"/>
      <c r="B100" s="1124"/>
      <c r="C100" s="1124"/>
    </row>
    <row r="101" spans="1:3" ht="12.75">
      <c r="A101" s="1124"/>
      <c r="B101" s="1124"/>
      <c r="C101" s="1124"/>
    </row>
    <row r="102" spans="1:3" ht="12.75">
      <c r="A102" s="1124"/>
      <c r="B102" s="1124"/>
      <c r="C102" s="1124"/>
    </row>
    <row r="103" spans="1:3" ht="12.75">
      <c r="A103" s="1124"/>
      <c r="B103" s="1124"/>
      <c r="C103" s="1124"/>
    </row>
    <row r="104" spans="1:3" ht="12.75">
      <c r="A104" s="1124"/>
      <c r="B104" s="1124"/>
      <c r="C104" s="1124"/>
    </row>
    <row r="105" spans="1:3" ht="12.75">
      <c r="A105" s="1124"/>
      <c r="B105" s="1124"/>
      <c r="C105" s="1124"/>
    </row>
    <row r="106" spans="1:3" ht="12.75">
      <c r="A106" s="1124"/>
      <c r="B106" s="1124"/>
      <c r="C106" s="1124"/>
    </row>
    <row r="107" spans="1:3" ht="12.75">
      <c r="A107" s="1124"/>
      <c r="B107" s="1124"/>
      <c r="C107" s="1124"/>
    </row>
    <row r="108" spans="1:3" ht="12.75">
      <c r="A108" s="1124"/>
      <c r="B108" s="1124"/>
      <c r="C108" s="1124"/>
    </row>
    <row r="109" spans="1:3" ht="12.75">
      <c r="A109" s="1124"/>
      <c r="B109" s="1124"/>
      <c r="C109" s="1124"/>
    </row>
    <row r="110" spans="1:3" ht="12.75">
      <c r="A110" s="1124"/>
      <c r="B110" s="1124"/>
      <c r="C110" s="1124"/>
    </row>
    <row r="111" spans="1:3" ht="12.75">
      <c r="A111" s="1124"/>
      <c r="B111" s="1124"/>
      <c r="C111" s="1124"/>
    </row>
    <row r="112" spans="1:3" ht="12.75">
      <c r="A112" s="1124"/>
      <c r="B112" s="1124"/>
      <c r="C112" s="1124"/>
    </row>
    <row r="113" spans="1:3" ht="12.75">
      <c r="A113" s="1124"/>
      <c r="B113" s="1124"/>
      <c r="C113" s="1124"/>
    </row>
    <row r="114" spans="1:3" ht="12.75">
      <c r="A114" s="1124"/>
      <c r="B114" s="1124"/>
      <c r="C114" s="1124"/>
    </row>
    <row r="115" spans="1:3" ht="12.75">
      <c r="A115" s="1124"/>
      <c r="B115" s="1124"/>
      <c r="C115" s="1124"/>
    </row>
    <row r="116" spans="1:3" ht="12.75">
      <c r="A116" s="1124"/>
      <c r="B116" s="1124"/>
      <c r="C116" s="1124"/>
    </row>
    <row r="117" spans="1:3" ht="12.75">
      <c r="A117" s="1124"/>
      <c r="B117" s="1124"/>
      <c r="C117" s="1124"/>
    </row>
    <row r="118" spans="1:3" ht="12.75">
      <c r="A118" s="1124"/>
      <c r="B118" s="1124"/>
      <c r="C118" s="1124"/>
    </row>
    <row r="119" spans="1:3" ht="12.75">
      <c r="A119" s="1124"/>
      <c r="B119" s="1124"/>
      <c r="C119" s="1124"/>
    </row>
    <row r="120" spans="1:3" ht="12.75">
      <c r="A120" s="1124"/>
      <c r="B120" s="1124"/>
      <c r="C120" s="1124"/>
    </row>
    <row r="121" spans="1:3" ht="12.75">
      <c r="A121" s="1124"/>
      <c r="B121" s="1124"/>
      <c r="C121" s="1124"/>
    </row>
    <row r="122" spans="1:3" ht="12.75">
      <c r="A122" s="1124"/>
      <c r="B122" s="1124"/>
      <c r="C122" s="1124"/>
    </row>
    <row r="123" spans="1:3" ht="12.75">
      <c r="A123" s="1124"/>
      <c r="B123" s="1124"/>
      <c r="C123" s="1124"/>
    </row>
    <row r="124" spans="1:3" ht="12.75">
      <c r="A124" s="1124"/>
      <c r="B124" s="1124"/>
      <c r="C124" s="1124"/>
    </row>
    <row r="125" spans="1:3" ht="12.75">
      <c r="A125" s="1124"/>
      <c r="B125" s="1124"/>
      <c r="C125" s="1124"/>
    </row>
    <row r="126" spans="1:3" ht="12.75">
      <c r="A126" s="1124"/>
      <c r="B126" s="1124"/>
      <c r="C126" s="1124"/>
    </row>
    <row r="127" spans="1:3" ht="12.75">
      <c r="A127" s="1124"/>
      <c r="B127" s="1124"/>
      <c r="C127" s="1124"/>
    </row>
    <row r="128" spans="1:3" ht="12.75">
      <c r="A128" s="1124"/>
      <c r="B128" s="1124"/>
      <c r="C128" s="1124"/>
    </row>
    <row r="129" spans="1:3" ht="12.75">
      <c r="A129" s="1124"/>
      <c r="B129" s="1124"/>
      <c r="C129" s="1124"/>
    </row>
    <row r="130" spans="1:3" ht="12.75">
      <c r="A130" s="1124"/>
      <c r="B130" s="1124"/>
      <c r="C130" s="1124"/>
    </row>
    <row r="131" spans="1:3" ht="12.75">
      <c r="A131" s="1124"/>
      <c r="B131" s="1124"/>
      <c r="C131" s="1124"/>
    </row>
    <row r="132" spans="1:3" ht="12.75">
      <c r="A132" s="1124"/>
      <c r="B132" s="1124"/>
      <c r="C132" s="1124"/>
    </row>
    <row r="133" spans="1:3" ht="12.75">
      <c r="A133" s="1124"/>
      <c r="B133" s="1124"/>
      <c r="C133" s="1124"/>
    </row>
    <row r="134" spans="1:3" ht="12.75">
      <c r="A134" s="1124"/>
      <c r="B134" s="1124"/>
      <c r="C134" s="1124"/>
    </row>
    <row r="135" spans="1:3" ht="12.75">
      <c r="A135" s="1124"/>
      <c r="B135" s="1124"/>
      <c r="C135" s="1124"/>
    </row>
    <row r="136" spans="1:3" ht="12.75">
      <c r="A136" s="1124"/>
      <c r="B136" s="1124"/>
      <c r="C136" s="1124"/>
    </row>
    <row r="137" spans="1:3" ht="12.75">
      <c r="A137" s="1124"/>
      <c r="B137" s="1124"/>
      <c r="C137" s="1124"/>
    </row>
    <row r="138" spans="1:3" ht="12.75">
      <c r="A138" s="1124"/>
      <c r="B138" s="1124"/>
      <c r="C138" s="1124"/>
    </row>
    <row r="139" spans="1:3" ht="12.75">
      <c r="A139" s="1124"/>
      <c r="B139" s="1124"/>
      <c r="C139" s="1124"/>
    </row>
    <row r="140" spans="1:3" ht="12.75">
      <c r="A140" s="1124"/>
      <c r="B140" s="1124"/>
      <c r="C140" s="1124"/>
    </row>
    <row r="141" spans="1:3" ht="12.75">
      <c r="A141" s="1124"/>
      <c r="B141" s="1124"/>
      <c r="C141" s="1124"/>
    </row>
    <row r="142" spans="1:3" ht="12.75">
      <c r="A142" s="1124"/>
      <c r="B142" s="1124"/>
      <c r="C142" s="1124"/>
    </row>
    <row r="143" spans="1:3" ht="12.75">
      <c r="A143" s="1124"/>
      <c r="B143" s="1124"/>
      <c r="C143" s="1124"/>
    </row>
    <row r="144" spans="1:3" ht="12.75">
      <c r="A144" s="1124"/>
      <c r="B144" s="1124"/>
      <c r="C144" s="1124"/>
    </row>
    <row r="145" spans="1:3" ht="12.75">
      <c r="A145" s="1124"/>
      <c r="B145" s="1124"/>
      <c r="C145" s="1124"/>
    </row>
    <row r="146" spans="1:3" ht="12.75">
      <c r="A146" s="1124"/>
      <c r="B146" s="1124"/>
      <c r="C146" s="1124"/>
    </row>
    <row r="147" spans="1:3" ht="12.75">
      <c r="A147" s="1124"/>
      <c r="B147" s="1124"/>
      <c r="C147" s="1124"/>
    </row>
    <row r="148" spans="1:3" ht="12.75">
      <c r="A148" s="1124"/>
      <c r="B148" s="1124"/>
      <c r="C148" s="1124"/>
    </row>
    <row r="149" spans="1:3" ht="12.75">
      <c r="A149" s="1124"/>
      <c r="B149" s="1124"/>
      <c r="C149" s="1124"/>
    </row>
    <row r="150" spans="1:3" ht="12.75">
      <c r="A150" s="1124"/>
      <c r="B150" s="1124"/>
      <c r="C150" s="1124"/>
    </row>
    <row r="151" spans="1:3" ht="12.75">
      <c r="A151" s="1124"/>
      <c r="B151" s="1124"/>
      <c r="C151" s="1124"/>
    </row>
    <row r="152" spans="1:3" ht="12.75">
      <c r="A152" s="1124"/>
      <c r="B152" s="1124"/>
      <c r="C152" s="1124"/>
    </row>
    <row r="153" spans="1:3" ht="12.75">
      <c r="A153" s="1124"/>
      <c r="B153" s="1124"/>
      <c r="C153" s="1124"/>
    </row>
    <row r="154" spans="1:3" ht="12.75">
      <c r="A154" s="1124"/>
      <c r="B154" s="1124"/>
      <c r="C154" s="1124"/>
    </row>
    <row r="155" spans="1:3" ht="12.75">
      <c r="A155" s="1124"/>
      <c r="B155" s="1124"/>
      <c r="C155" s="1124"/>
    </row>
    <row r="156" spans="1:3" ht="12.75">
      <c r="A156" s="1124"/>
      <c r="B156" s="1124"/>
      <c r="C156" s="1124"/>
    </row>
    <row r="157" spans="1:3" ht="12.75">
      <c r="A157" s="1124"/>
      <c r="B157" s="1124"/>
      <c r="C157" s="1124"/>
    </row>
    <row r="158" spans="1:3" ht="12.75">
      <c r="A158" s="1124"/>
      <c r="B158" s="1124"/>
      <c r="C158" s="1124"/>
    </row>
    <row r="159" spans="1:3" ht="12.75">
      <c r="A159" s="1124"/>
      <c r="B159" s="1124"/>
      <c r="C159" s="1124"/>
    </row>
    <row r="160" spans="1:3" ht="12.75">
      <c r="A160" s="1124"/>
      <c r="B160" s="1124"/>
      <c r="C160" s="1124"/>
    </row>
    <row r="161" spans="1:3" ht="12.75">
      <c r="A161" s="1124"/>
      <c r="B161" s="1124"/>
      <c r="C161" s="1124"/>
    </row>
    <row r="162" spans="1:3" ht="12.75">
      <c r="A162" s="1124"/>
      <c r="B162" s="1124"/>
      <c r="C162" s="1124"/>
    </row>
    <row r="163" spans="1:3" ht="12.75">
      <c r="A163" s="1124"/>
      <c r="B163" s="1124"/>
      <c r="C163" s="1124"/>
    </row>
    <row r="164" spans="1:3" ht="12.75">
      <c r="A164" s="1124"/>
      <c r="B164" s="1124"/>
      <c r="C164" s="1124"/>
    </row>
    <row r="165" spans="1:3" ht="12.75">
      <c r="A165" s="1124"/>
      <c r="B165" s="1124"/>
      <c r="C165" s="1124"/>
    </row>
    <row r="166" spans="1:3" ht="12.75">
      <c r="A166" s="1124"/>
      <c r="B166" s="1124"/>
      <c r="C166" s="1124"/>
    </row>
    <row r="167" spans="1:3" ht="12.75">
      <c r="A167" s="1124"/>
      <c r="B167" s="1124"/>
      <c r="C167" s="1124"/>
    </row>
    <row r="168" spans="1:3" ht="12.75">
      <c r="A168" s="1124"/>
      <c r="B168" s="1124"/>
      <c r="C168" s="1124"/>
    </row>
    <row r="169" spans="1:3" ht="12.75">
      <c r="A169" s="1124"/>
      <c r="B169" s="1124"/>
      <c r="C169" s="1124"/>
    </row>
    <row r="170" spans="1:3" ht="12.75">
      <c r="A170" s="1124"/>
      <c r="B170" s="1124"/>
      <c r="C170" s="1124"/>
    </row>
    <row r="171" spans="1:3" ht="12.75">
      <c r="A171" s="1124"/>
      <c r="B171" s="1124"/>
      <c r="C171" s="1124"/>
    </row>
    <row r="172" spans="1:3" ht="12.75">
      <c r="A172" s="1124"/>
      <c r="B172" s="1124"/>
      <c r="C172" s="1124"/>
    </row>
    <row r="173" spans="1:3" ht="12.75">
      <c r="A173" s="1124"/>
      <c r="B173" s="1124"/>
      <c r="C173" s="1124"/>
    </row>
    <row r="174" spans="1:3" ht="12.75">
      <c r="A174" s="1124"/>
      <c r="B174" s="1124"/>
      <c r="C174" s="1124"/>
    </row>
    <row r="175" spans="1:3" ht="12.75">
      <c r="A175" s="1124"/>
      <c r="B175" s="1124"/>
      <c r="C175" s="1124"/>
    </row>
    <row r="176" spans="1:3" ht="12.75">
      <c r="A176" s="1124"/>
      <c r="B176" s="1124"/>
      <c r="C176" s="1124"/>
    </row>
    <row r="177" spans="1:3" ht="12.75">
      <c r="A177" s="1124"/>
      <c r="B177" s="1124"/>
      <c r="C177" s="1124"/>
    </row>
    <row r="178" spans="1:3" ht="12.75">
      <c r="A178" s="1124"/>
      <c r="B178" s="1124"/>
      <c r="C178" s="1124"/>
    </row>
    <row r="179" spans="1:3" ht="12.75">
      <c r="A179" s="1124"/>
      <c r="B179" s="1124"/>
      <c r="C179" s="1124"/>
    </row>
    <row r="180" spans="1:3" ht="12.75">
      <c r="A180" s="1124"/>
      <c r="B180" s="1124"/>
      <c r="C180" s="1124"/>
    </row>
    <row r="181" spans="1:3" ht="12.75">
      <c r="A181" s="1124"/>
      <c r="B181" s="1124"/>
      <c r="C181" s="1124"/>
    </row>
    <row r="182" spans="1:3" ht="12.75">
      <c r="A182" s="1124"/>
      <c r="B182" s="1124"/>
      <c r="C182" s="1124"/>
    </row>
    <row r="183" spans="1:3" ht="12.75">
      <c r="A183" s="1124"/>
      <c r="B183" s="1124"/>
      <c r="C183" s="1124"/>
    </row>
    <row r="184" spans="1:3" ht="12.75">
      <c r="A184" s="1124"/>
      <c r="B184" s="1124"/>
      <c r="C184" s="1124"/>
    </row>
    <row r="185" spans="1:3" ht="12.75">
      <c r="A185" s="1124"/>
      <c r="B185" s="1124"/>
      <c r="C185" s="1124"/>
    </row>
    <row r="186" spans="1:3" ht="12.75">
      <c r="A186" s="1124"/>
      <c r="B186" s="1124"/>
      <c r="C186" s="1124"/>
    </row>
    <row r="187" spans="1:3" ht="12.75">
      <c r="A187" s="1124"/>
      <c r="B187" s="1124"/>
      <c r="C187" s="1124"/>
    </row>
    <row r="188" spans="1:3" ht="12.75">
      <c r="A188" s="1124"/>
      <c r="B188" s="1124"/>
      <c r="C188" s="1124"/>
    </row>
    <row r="189" spans="1:3" ht="12.75">
      <c r="A189" s="1124"/>
      <c r="B189" s="1124"/>
      <c r="C189" s="1124"/>
    </row>
    <row r="190" spans="1:3" ht="12.75">
      <c r="A190" s="1124"/>
      <c r="B190" s="1124"/>
      <c r="C190" s="1124"/>
    </row>
    <row r="191" spans="1:3" ht="12.75">
      <c r="A191" s="1124"/>
      <c r="B191" s="1124"/>
      <c r="C191" s="1124"/>
    </row>
    <row r="192" spans="1:3" ht="12.75">
      <c r="A192" s="1124"/>
      <c r="B192" s="1124"/>
      <c r="C192" s="1124"/>
    </row>
    <row r="193" spans="1:3" ht="12.75">
      <c r="A193" s="1124"/>
      <c r="B193" s="1124"/>
      <c r="C193" s="1124"/>
    </row>
    <row r="194" spans="1:3" ht="12.75">
      <c r="A194" s="1124"/>
      <c r="B194" s="1124"/>
      <c r="C194" s="1124"/>
    </row>
    <row r="195" spans="1:3" ht="12.75">
      <c r="A195" s="1124"/>
      <c r="B195" s="1124"/>
      <c r="C195" s="1124"/>
    </row>
    <row r="196" spans="1:3" ht="12.75">
      <c r="A196" s="1124"/>
      <c r="B196" s="1124"/>
      <c r="C196" s="1124"/>
    </row>
    <row r="197" spans="1:3" ht="12.75">
      <c r="A197" s="1124"/>
      <c r="B197" s="1124"/>
      <c r="C197" s="1124"/>
    </row>
    <row r="198" spans="1:3" ht="12.75">
      <c r="A198" s="1124"/>
      <c r="B198" s="1124"/>
      <c r="C198" s="1124"/>
    </row>
    <row r="199" spans="1:3" ht="12.75">
      <c r="A199" s="1124"/>
      <c r="B199" s="1124"/>
      <c r="C199" s="1124"/>
    </row>
    <row r="200" spans="1:3" ht="12.75">
      <c r="A200" s="1124"/>
      <c r="B200" s="1124"/>
      <c r="C200" s="1124"/>
    </row>
    <row r="201" spans="1:3" ht="12.75">
      <c r="A201" s="1124"/>
      <c r="B201" s="1124"/>
      <c r="C201" s="1124"/>
    </row>
    <row r="202" spans="1:3" ht="12.75">
      <c r="A202" s="1124"/>
      <c r="B202" s="1124"/>
      <c r="C202" s="1124"/>
    </row>
    <row r="203" spans="1:3" ht="12.75">
      <c r="A203" s="1124"/>
      <c r="B203" s="1124"/>
      <c r="C203" s="1124"/>
    </row>
    <row r="204" spans="1:3" ht="12.75">
      <c r="A204" s="1124"/>
      <c r="B204" s="1124"/>
      <c r="C204" s="1124"/>
    </row>
    <row r="205" spans="1:3" ht="12.75">
      <c r="A205" s="1124"/>
      <c r="B205" s="1124"/>
      <c r="C205" s="1124"/>
    </row>
    <row r="206" spans="1:3" ht="12.75">
      <c r="A206" s="1124"/>
      <c r="B206" s="1124"/>
      <c r="C206" s="1124"/>
    </row>
    <row r="207" spans="1:3" ht="12.75">
      <c r="A207" s="1124"/>
      <c r="B207" s="1124"/>
      <c r="C207" s="1124"/>
    </row>
    <row r="208" spans="1:3" ht="12.75">
      <c r="A208" s="1124"/>
      <c r="B208" s="1124"/>
      <c r="C208" s="1124"/>
    </row>
    <row r="209" spans="1:3" ht="12.75">
      <c r="A209" s="1124"/>
      <c r="B209" s="1124"/>
      <c r="C209" s="1124"/>
    </row>
    <row r="210" spans="1:3" ht="12.75">
      <c r="A210" s="1124"/>
      <c r="B210" s="1124"/>
      <c r="C210" s="1124"/>
    </row>
    <row r="211" spans="1:3" ht="12.75">
      <c r="A211" s="1124"/>
      <c r="B211" s="1124"/>
      <c r="C211" s="1124"/>
    </row>
    <row r="212" spans="1:3" ht="12.75">
      <c r="A212" s="1124"/>
      <c r="B212" s="1124"/>
      <c r="C212" s="1124"/>
    </row>
    <row r="213" spans="1:3" ht="12.75">
      <c r="A213" s="1124"/>
      <c r="B213" s="1124"/>
      <c r="C213" s="1124"/>
    </row>
    <row r="214" spans="1:3" ht="12.75">
      <c r="A214" s="1124"/>
      <c r="B214" s="1124"/>
      <c r="C214" s="1124"/>
    </row>
    <row r="215" spans="1:3" ht="12.75">
      <c r="A215" s="1124"/>
      <c r="B215" s="1124"/>
      <c r="C215" s="1124"/>
    </row>
    <row r="216" spans="1:3" ht="12.75">
      <c r="A216" s="1124"/>
      <c r="B216" s="1124"/>
      <c r="C216" s="1124"/>
    </row>
    <row r="217" spans="1:3" ht="12.75">
      <c r="A217" s="1124"/>
      <c r="B217" s="1124"/>
      <c r="C217" s="1124"/>
    </row>
    <row r="218" spans="1:3" ht="12.75">
      <c r="A218" s="1124"/>
      <c r="B218" s="1124"/>
      <c r="C218" s="1124"/>
    </row>
    <row r="219" spans="1:3" ht="12.75">
      <c r="A219" s="1124"/>
      <c r="B219" s="1124"/>
      <c r="C219" s="1124"/>
    </row>
    <row r="220" spans="1:3" ht="12.75">
      <c r="A220" s="1124"/>
      <c r="B220" s="1124"/>
      <c r="C220" s="1124"/>
    </row>
    <row r="221" spans="1:3" ht="12.75">
      <c r="A221" s="1124"/>
      <c r="B221" s="1124"/>
      <c r="C221" s="1124"/>
    </row>
    <row r="222" spans="1:3" ht="12.75">
      <c r="A222" s="1124"/>
      <c r="B222" s="1124"/>
      <c r="C222" s="1124"/>
    </row>
    <row r="223" spans="1:3" ht="12.75">
      <c r="A223" s="1124"/>
      <c r="B223" s="1124"/>
      <c r="C223" s="1124"/>
    </row>
    <row r="224" spans="1:3" ht="12.75">
      <c r="A224" s="1124"/>
      <c r="B224" s="1124"/>
      <c r="C224" s="1124"/>
    </row>
    <row r="225" spans="1:3" ht="12.75">
      <c r="A225" s="1124"/>
      <c r="B225" s="1124"/>
      <c r="C225" s="1124"/>
    </row>
    <row r="226" spans="1:3" ht="12.75">
      <c r="A226" s="1124"/>
      <c r="B226" s="1124"/>
      <c r="C226" s="1124"/>
    </row>
    <row r="227" spans="1:3" ht="12.75">
      <c r="A227" s="1124"/>
      <c r="B227" s="1124"/>
      <c r="C227" s="1124"/>
    </row>
    <row r="228" spans="1:3" ht="12.75">
      <c r="A228" s="1124"/>
      <c r="B228" s="1124"/>
      <c r="C228" s="1124"/>
    </row>
    <row r="229" spans="1:3" ht="12.75">
      <c r="A229" s="1124"/>
      <c r="B229" s="1124"/>
      <c r="C229" s="1124"/>
    </row>
    <row r="230" spans="1:3" ht="12.75">
      <c r="A230" s="1124"/>
      <c r="B230" s="1124"/>
      <c r="C230" s="1124"/>
    </row>
    <row r="231" spans="1:3" ht="12.75">
      <c r="A231" s="1124"/>
      <c r="B231" s="1124"/>
      <c r="C231" s="1124"/>
    </row>
    <row r="232" spans="1:3" ht="12.75">
      <c r="A232" s="1124"/>
      <c r="B232" s="1124"/>
      <c r="C232" s="1124"/>
    </row>
    <row r="233" spans="1:3" ht="12.75">
      <c r="A233" s="1124"/>
      <c r="B233" s="1124"/>
      <c r="C233" s="1124"/>
    </row>
    <row r="234" spans="1:3" ht="12.75">
      <c r="A234" s="1124"/>
      <c r="B234" s="1124"/>
      <c r="C234" s="1124"/>
    </row>
    <row r="235" spans="1:3" ht="12.75">
      <c r="A235" s="1124"/>
      <c r="B235" s="1124"/>
      <c r="C235" s="1124"/>
    </row>
    <row r="236" spans="1:3" ht="12.75">
      <c r="A236" s="1124"/>
      <c r="B236" s="1124"/>
      <c r="C236" s="1124"/>
    </row>
    <row r="237" spans="1:3" ht="12.75">
      <c r="A237" s="1124"/>
      <c r="B237" s="1124"/>
      <c r="C237" s="1124"/>
    </row>
    <row r="238" spans="1:3" ht="12.75">
      <c r="A238" s="1124"/>
      <c r="B238" s="1124"/>
      <c r="C238" s="1124"/>
    </row>
    <row r="239" spans="1:3" ht="12.75">
      <c r="A239" s="1124"/>
      <c r="B239" s="1124"/>
      <c r="C239" s="1124"/>
    </row>
    <row r="240" spans="1:3" ht="12.75">
      <c r="A240" s="1124"/>
      <c r="B240" s="1124"/>
      <c r="C240" s="1124"/>
    </row>
    <row r="241" spans="1:3" ht="12.75">
      <c r="A241" s="1124"/>
      <c r="B241" s="1124"/>
      <c r="C241" s="1124"/>
    </row>
    <row r="242" spans="1:3" ht="12.75">
      <c r="A242" s="1124"/>
      <c r="B242" s="1124"/>
      <c r="C242" s="1124"/>
    </row>
    <row r="243" spans="1:3" ht="12.75">
      <c r="A243" s="1124"/>
      <c r="B243" s="1124"/>
      <c r="C243" s="1124"/>
    </row>
    <row r="244" spans="1:3" ht="12.75">
      <c r="A244" s="1124"/>
      <c r="B244" s="1124"/>
      <c r="C244" s="1124"/>
    </row>
    <row r="245" spans="1:3" ht="12.75">
      <c r="A245" s="1124"/>
      <c r="B245" s="1124"/>
      <c r="C245" s="1124"/>
    </row>
    <row r="246" spans="1:3" ht="12.75">
      <c r="A246" s="1124"/>
      <c r="B246" s="1124"/>
      <c r="C246" s="1124"/>
    </row>
    <row r="247" spans="1:3" ht="12.75">
      <c r="A247" s="1124"/>
      <c r="B247" s="1124"/>
      <c r="C247" s="1124"/>
    </row>
    <row r="248" spans="1:3" ht="12.75">
      <c r="A248" s="1124"/>
      <c r="B248" s="1124"/>
      <c r="C248" s="1124"/>
    </row>
    <row r="249" spans="1:3" ht="12.75">
      <c r="A249" s="1124"/>
      <c r="B249" s="1124"/>
      <c r="C249" s="1124"/>
    </row>
    <row r="250" spans="1:3" ht="12.75">
      <c r="A250" s="1124"/>
      <c r="B250" s="1124"/>
      <c r="C250" s="1124"/>
    </row>
    <row r="251" spans="1:3" ht="12.75">
      <c r="A251" s="1124"/>
      <c r="B251" s="1124"/>
      <c r="C251" s="1124"/>
    </row>
    <row r="252" spans="1:3" ht="12.75">
      <c r="A252" s="1124"/>
      <c r="B252" s="1124"/>
      <c r="C252" s="1124"/>
    </row>
    <row r="253" spans="1:3" ht="12.75">
      <c r="A253" s="1124"/>
      <c r="B253" s="1124"/>
      <c r="C253" s="1124"/>
    </row>
    <row r="254" spans="1:3" ht="12.75">
      <c r="A254" s="1124"/>
      <c r="B254" s="1124"/>
      <c r="C254" s="1124"/>
    </row>
    <row r="255" spans="1:3" ht="12.75">
      <c r="A255" s="1124"/>
      <c r="B255" s="1124"/>
      <c r="C255" s="1124"/>
    </row>
    <row r="256" spans="1:3" ht="12.75">
      <c r="A256" s="1124"/>
      <c r="B256" s="1124"/>
      <c r="C256" s="1124"/>
    </row>
    <row r="257" spans="1:3" ht="12.75">
      <c r="A257" s="1124"/>
      <c r="B257" s="1124"/>
      <c r="C257" s="1124"/>
    </row>
    <row r="258" spans="1:3" ht="12.75">
      <c r="A258" s="1124"/>
      <c r="B258" s="1124"/>
      <c r="C258" s="1124"/>
    </row>
    <row r="259" spans="1:3" ht="12.75">
      <c r="A259" s="1124"/>
      <c r="B259" s="1124"/>
      <c r="C259" s="1124"/>
    </row>
    <row r="260" spans="1:3" ht="12.75">
      <c r="A260" s="1124"/>
      <c r="B260" s="1124"/>
      <c r="C260" s="1124"/>
    </row>
    <row r="261" spans="1:3" ht="12.75">
      <c r="A261" s="1124"/>
      <c r="B261" s="1124"/>
      <c r="C261" s="1124"/>
    </row>
    <row r="262" spans="1:3" ht="12.75">
      <c r="A262" s="1124"/>
      <c r="B262" s="1124"/>
      <c r="C262" s="1124"/>
    </row>
    <row r="263" spans="1:3" ht="12.75">
      <c r="A263" s="1124"/>
      <c r="B263" s="1124"/>
      <c r="C263" s="1124"/>
    </row>
    <row r="264" spans="1:3" ht="12.75">
      <c r="A264" s="1124"/>
      <c r="B264" s="1124"/>
      <c r="C264" s="1124"/>
    </row>
    <row r="265" spans="1:3" ht="12.75">
      <c r="A265" s="1124"/>
      <c r="B265" s="1124"/>
      <c r="C265" s="1124"/>
    </row>
    <row r="266" spans="1:3" ht="12.75">
      <c r="A266" s="1124"/>
      <c r="B266" s="1124"/>
      <c r="C266" s="1124"/>
    </row>
    <row r="267" spans="1:3" ht="12.75">
      <c r="A267" s="1124"/>
      <c r="B267" s="1124"/>
      <c r="C267" s="1124"/>
    </row>
    <row r="268" spans="1:3" ht="12.75">
      <c r="A268" s="1124"/>
      <c r="B268" s="1124"/>
      <c r="C268" s="1124"/>
    </row>
    <row r="269" spans="1:3" ht="12.75">
      <c r="A269" s="1124"/>
      <c r="B269" s="1124"/>
      <c r="C269" s="1124"/>
    </row>
    <row r="270" spans="1:3" ht="12.75">
      <c r="A270" s="1124"/>
      <c r="B270" s="1124"/>
      <c r="C270" s="1124"/>
    </row>
    <row r="271" spans="1:3" ht="12.75">
      <c r="A271" s="1124"/>
      <c r="B271" s="1124"/>
      <c r="C271" s="1124"/>
    </row>
    <row r="272" spans="1:3" ht="12.75">
      <c r="A272" s="1124"/>
      <c r="B272" s="1124"/>
      <c r="C272" s="1124"/>
    </row>
    <row r="273" spans="1:3" ht="12.75">
      <c r="A273" s="1124"/>
      <c r="B273" s="1124"/>
      <c r="C273" s="1124"/>
    </row>
    <row r="274" spans="1:3" ht="12.75">
      <c r="A274" s="1124"/>
      <c r="B274" s="1124"/>
      <c r="C274" s="1124"/>
    </row>
    <row r="275" spans="1:3" ht="12.75">
      <c r="A275" s="1124"/>
      <c r="B275" s="1124"/>
      <c r="C275" s="1124"/>
    </row>
    <row r="276" spans="1:3" ht="12.75">
      <c r="A276" s="1124"/>
      <c r="B276" s="1124"/>
      <c r="C276" s="1124"/>
    </row>
    <row r="277" spans="1:3" ht="12.75">
      <c r="A277" s="1124"/>
      <c r="B277" s="1124"/>
      <c r="C277" s="1124"/>
    </row>
    <row r="278" spans="1:3" ht="12.75">
      <c r="A278" s="1124"/>
      <c r="B278" s="1124"/>
      <c r="C278" s="1124"/>
    </row>
    <row r="279" spans="1:3" ht="12.75">
      <c r="A279" s="1124"/>
      <c r="B279" s="1124"/>
      <c r="C279" s="1124"/>
    </row>
    <row r="280" spans="1:3" ht="12.75">
      <c r="A280" s="1124"/>
      <c r="B280" s="1124"/>
      <c r="C280" s="1124"/>
    </row>
    <row r="281" spans="1:3" ht="12.75">
      <c r="A281" s="1124"/>
      <c r="B281" s="1124"/>
      <c r="C281" s="1124"/>
    </row>
    <row r="282" spans="1:3" ht="12.75">
      <c r="A282" s="1124"/>
      <c r="B282" s="1124"/>
      <c r="C282" s="1124"/>
    </row>
    <row r="283" spans="1:3" ht="12.75">
      <c r="A283" s="1124"/>
      <c r="B283" s="1124"/>
      <c r="C283" s="1124"/>
    </row>
    <row r="284" spans="1:3" ht="12.75">
      <c r="A284" s="1124"/>
      <c r="B284" s="1124"/>
      <c r="C284" s="1124"/>
    </row>
    <row r="285" spans="1:3" ht="12.75">
      <c r="A285" s="1124"/>
      <c r="B285" s="1124"/>
      <c r="C285" s="1124"/>
    </row>
    <row r="286" spans="1:3" ht="12.75">
      <c r="A286" s="1124"/>
      <c r="B286" s="1124"/>
      <c r="C286" s="1124"/>
    </row>
    <row r="287" spans="1:3" ht="12.75">
      <c r="A287" s="1124"/>
      <c r="B287" s="1124"/>
      <c r="C287" s="1124"/>
    </row>
    <row r="288" spans="1:3" ht="12.75">
      <c r="A288" s="1124"/>
      <c r="B288" s="1124"/>
      <c r="C288" s="1124"/>
    </row>
    <row r="289" spans="1:3" ht="12.75">
      <c r="A289" s="1124"/>
      <c r="B289" s="1124"/>
      <c r="C289" s="1124"/>
    </row>
    <row r="290" spans="1:3" ht="12.75">
      <c r="A290" s="1124"/>
      <c r="B290" s="1124"/>
      <c r="C290" s="1124"/>
    </row>
    <row r="291" spans="1:3" ht="12.75">
      <c r="A291" s="1124"/>
      <c r="B291" s="1124"/>
      <c r="C291" s="1124"/>
    </row>
    <row r="292" spans="1:3" ht="12.75">
      <c r="A292" s="1124"/>
      <c r="B292" s="1124"/>
      <c r="C292" s="1124"/>
    </row>
    <row r="293" spans="1:3" ht="12.75">
      <c r="A293" s="1124"/>
      <c r="B293" s="1124"/>
      <c r="C293" s="1124"/>
    </row>
    <row r="294" spans="1:3" ht="12.75">
      <c r="A294" s="1124"/>
      <c r="B294" s="1124"/>
      <c r="C294" s="1124"/>
    </row>
    <row r="295" spans="1:3" ht="12.75">
      <c r="A295" s="1124"/>
      <c r="B295" s="1124"/>
      <c r="C295" s="1124"/>
    </row>
    <row r="296" spans="1:3" ht="12.75">
      <c r="A296" s="1124"/>
      <c r="B296" s="1124"/>
      <c r="C296" s="1124"/>
    </row>
    <row r="297" spans="1:3" ht="12.75">
      <c r="A297" s="1124"/>
      <c r="B297" s="1124"/>
      <c r="C297" s="1124"/>
    </row>
    <row r="298" spans="1:3" ht="12.75">
      <c r="A298" s="1124"/>
      <c r="B298" s="1124"/>
      <c r="C298" s="1124"/>
    </row>
    <row r="299" spans="1:3" ht="12.75">
      <c r="A299" s="1124"/>
      <c r="B299" s="1124"/>
      <c r="C299" s="1124"/>
    </row>
    <row r="300" spans="1:3" ht="12.75">
      <c r="A300" s="1124"/>
      <c r="B300" s="1124"/>
      <c r="C300" s="1124"/>
    </row>
    <row r="301" spans="1:3" ht="12.75">
      <c r="A301" s="1124"/>
      <c r="B301" s="1124"/>
      <c r="C301" s="1124"/>
    </row>
    <row r="302" spans="1:3" ht="12.75">
      <c r="A302" s="1124"/>
      <c r="B302" s="1124"/>
      <c r="C302" s="1124"/>
    </row>
    <row r="303" spans="1:3" ht="12.75">
      <c r="A303" s="1124"/>
      <c r="B303" s="1124"/>
      <c r="C303" s="1124"/>
    </row>
    <row r="304" spans="1:3" ht="12.75">
      <c r="A304" s="1124"/>
      <c r="B304" s="1124"/>
      <c r="C304" s="1124"/>
    </row>
    <row r="305" spans="1:3" ht="12.75">
      <c r="A305" s="1124"/>
      <c r="B305" s="1124"/>
      <c r="C305" s="1124"/>
    </row>
    <row r="306" spans="1:3" ht="12.75">
      <c r="A306" s="1124"/>
      <c r="B306" s="1124"/>
      <c r="C306" s="1124"/>
    </row>
    <row r="307" spans="1:3" ht="12.75">
      <c r="A307" s="1124"/>
      <c r="B307" s="1124"/>
      <c r="C307" s="1124"/>
    </row>
    <row r="308" spans="1:3" ht="12.75">
      <c r="A308" s="1124"/>
      <c r="B308" s="1124"/>
      <c r="C308" s="1124"/>
    </row>
    <row r="309" spans="1:3" ht="12.75">
      <c r="A309" s="1124"/>
      <c r="B309" s="1124"/>
      <c r="C309" s="1124"/>
    </row>
    <row r="310" spans="1:3" ht="12.75">
      <c r="A310" s="1124"/>
      <c r="B310" s="1124"/>
      <c r="C310" s="1124"/>
    </row>
    <row r="311" spans="1:3" ht="12.75">
      <c r="A311" s="1124"/>
      <c r="B311" s="1124"/>
      <c r="C311" s="1124"/>
    </row>
    <row r="312" spans="1:3" ht="12.75">
      <c r="A312" s="1124"/>
      <c r="B312" s="1124"/>
      <c r="C312" s="1124"/>
    </row>
    <row r="313" spans="1:3" ht="12.75">
      <c r="A313" s="1124"/>
      <c r="B313" s="1124"/>
      <c r="C313" s="1124"/>
    </row>
    <row r="314" spans="1:3" ht="12.75">
      <c r="A314" s="1124"/>
      <c r="B314" s="1124"/>
      <c r="C314" s="1124"/>
    </row>
    <row r="315" spans="1:3" ht="12.75">
      <c r="A315" s="1124"/>
      <c r="B315" s="1124"/>
      <c r="C315" s="1124"/>
    </row>
    <row r="316" spans="1:3" ht="12.75">
      <c r="A316" s="1124"/>
      <c r="B316" s="1124"/>
      <c r="C316" s="1124"/>
    </row>
    <row r="317" spans="1:3" ht="12.75">
      <c r="A317" s="1124"/>
      <c r="B317" s="1124"/>
      <c r="C317" s="1124"/>
    </row>
    <row r="318" spans="1:3" ht="12.75">
      <c r="A318" s="1124"/>
      <c r="B318" s="1124"/>
      <c r="C318" s="1124"/>
    </row>
    <row r="319" spans="1:3" ht="12.75">
      <c r="A319" s="1124"/>
      <c r="B319" s="1124"/>
      <c r="C319" s="1124"/>
    </row>
    <row r="320" spans="1:3" ht="12.75">
      <c r="A320" s="1124"/>
      <c r="B320" s="1124"/>
      <c r="C320" s="1124"/>
    </row>
    <row r="321" spans="1:3" ht="12.75">
      <c r="A321" s="1124"/>
      <c r="B321" s="1124"/>
      <c r="C321" s="1124"/>
    </row>
    <row r="322" spans="1:3" ht="12.75">
      <c r="A322" s="1124"/>
      <c r="B322" s="1124"/>
      <c r="C322" s="1124"/>
    </row>
    <row r="323" spans="1:3" ht="12.75">
      <c r="A323" s="1124"/>
      <c r="B323" s="1124"/>
      <c r="C323" s="1124"/>
    </row>
    <row r="324" spans="1:3" ht="12.75">
      <c r="A324" s="1124"/>
      <c r="B324" s="1124"/>
      <c r="C324" s="1124"/>
    </row>
    <row r="325" spans="1:3" ht="12.75">
      <c r="A325" s="1124"/>
      <c r="B325" s="1124"/>
      <c r="C325" s="1124"/>
    </row>
    <row r="326" spans="1:3" ht="12.75">
      <c r="A326" s="1124"/>
      <c r="B326" s="1124"/>
      <c r="C326" s="1124"/>
    </row>
    <row r="327" spans="1:3" ht="12.75">
      <c r="A327" s="1124"/>
      <c r="B327" s="1124"/>
      <c r="C327" s="1124"/>
    </row>
    <row r="328" spans="1:3" ht="12.75">
      <c r="A328" s="1124"/>
      <c r="B328" s="1124"/>
      <c r="C328" s="1124"/>
    </row>
    <row r="329" spans="1:3" ht="12.75">
      <c r="A329" s="1124"/>
      <c r="B329" s="1124"/>
      <c r="C329" s="1124"/>
    </row>
    <row r="330" spans="1:3" ht="12.75">
      <c r="A330" s="1124"/>
      <c r="B330" s="1124"/>
      <c r="C330" s="1124"/>
    </row>
    <row r="331" spans="1:3" ht="12.75">
      <c r="A331" s="1124"/>
      <c r="B331" s="1124"/>
      <c r="C331" s="1124"/>
    </row>
    <row r="332" spans="1:3" ht="12.75">
      <c r="A332" s="1124"/>
      <c r="B332" s="1124"/>
      <c r="C332" s="1124"/>
    </row>
    <row r="333" spans="1:3" ht="12.75">
      <c r="A333" s="1124"/>
      <c r="B333" s="1124"/>
      <c r="C333" s="1124"/>
    </row>
    <row r="334" spans="1:3" ht="12.75">
      <c r="A334" s="1124"/>
      <c r="B334" s="1124"/>
      <c r="C334" s="1124"/>
    </row>
    <row r="335" spans="1:3" ht="12.75">
      <c r="A335" s="1124"/>
      <c r="B335" s="1124"/>
      <c r="C335" s="1124"/>
    </row>
    <row r="336" spans="1:3" ht="12.75">
      <c r="A336" s="1124"/>
      <c r="B336" s="1124"/>
      <c r="C336" s="1124"/>
    </row>
    <row r="337" spans="1:3" ht="12.75">
      <c r="A337" s="1124"/>
      <c r="B337" s="1124"/>
      <c r="C337" s="1124"/>
    </row>
    <row r="338" spans="1:3" ht="12.75">
      <c r="A338" s="1124"/>
      <c r="B338" s="1124"/>
      <c r="C338" s="1124"/>
    </row>
    <row r="339" spans="1:3" ht="12.75">
      <c r="A339" s="1124"/>
      <c r="B339" s="1124"/>
      <c r="C339" s="1124"/>
    </row>
    <row r="340" spans="1:3" ht="12.75">
      <c r="A340" s="1124"/>
      <c r="B340" s="1124"/>
      <c r="C340" s="1124"/>
    </row>
    <row r="341" spans="1:3" ht="12.75">
      <c r="A341" s="1124"/>
      <c r="B341" s="1124"/>
      <c r="C341" s="1124"/>
    </row>
    <row r="342" spans="1:3" ht="12.75">
      <c r="A342" s="1124"/>
      <c r="B342" s="1124"/>
      <c r="C342" s="1124"/>
    </row>
    <row r="343" spans="1:3" ht="12.75">
      <c r="A343" s="1124"/>
      <c r="B343" s="1124"/>
      <c r="C343" s="1124"/>
    </row>
    <row r="344" spans="1:3" ht="12.75">
      <c r="A344" s="1124"/>
      <c r="B344" s="1124"/>
      <c r="C344" s="1124"/>
    </row>
    <row r="345" spans="1:3" ht="12.75">
      <c r="A345" s="1124"/>
      <c r="B345" s="1124"/>
      <c r="C345" s="1124"/>
    </row>
    <row r="346" spans="1:3" ht="12.75">
      <c r="A346" s="1124"/>
      <c r="B346" s="1124"/>
      <c r="C346" s="1124"/>
    </row>
    <row r="347" spans="1:3" ht="12.75">
      <c r="A347" s="1124"/>
      <c r="B347" s="1124"/>
      <c r="C347" s="1124"/>
    </row>
    <row r="348" spans="1:3" ht="12.75">
      <c r="A348" s="1124"/>
      <c r="B348" s="1124"/>
      <c r="C348" s="1124"/>
    </row>
    <row r="349" spans="1:3" ht="12.75">
      <c r="A349" s="1124"/>
      <c r="B349" s="1124"/>
      <c r="C349" s="1124"/>
    </row>
    <row r="350" spans="1:3" ht="12.75">
      <c r="A350" s="1124"/>
      <c r="B350" s="1124"/>
      <c r="C350" s="1124"/>
    </row>
    <row r="351" spans="1:3" ht="12.75">
      <c r="A351" s="1124"/>
      <c r="B351" s="1124"/>
      <c r="C351" s="1124"/>
    </row>
    <row r="352" spans="1:3" ht="12.75">
      <c r="A352" s="1124"/>
      <c r="B352" s="1124"/>
      <c r="C352" s="1124"/>
    </row>
    <row r="353" spans="1:3" ht="12.75">
      <c r="A353" s="1124"/>
      <c r="B353" s="1124"/>
      <c r="C353" s="1124"/>
    </row>
    <row r="354" spans="1:3" ht="12.75">
      <c r="A354" s="1124"/>
      <c r="B354" s="1124"/>
      <c r="C354" s="1124"/>
    </row>
    <row r="355" spans="1:3" ht="12.75">
      <c r="A355" s="1124"/>
      <c r="B355" s="1124"/>
      <c r="C355" s="1124"/>
    </row>
    <row r="356" spans="1:3" ht="12.75">
      <c r="A356" s="1124"/>
      <c r="B356" s="1124"/>
      <c r="C356" s="1124"/>
    </row>
    <row r="357" spans="1:3" ht="12.75">
      <c r="A357" s="1124"/>
      <c r="B357" s="1124"/>
      <c r="C357" s="1124"/>
    </row>
    <row r="358" spans="1:3" ht="12.75">
      <c r="A358" s="1124"/>
      <c r="B358" s="1124"/>
      <c r="C358" s="1124"/>
    </row>
    <row r="359" spans="1:3" ht="12.75">
      <c r="A359" s="1124"/>
      <c r="B359" s="1124"/>
      <c r="C359" s="1124"/>
    </row>
    <row r="360" spans="1:3" ht="12.75">
      <c r="A360" s="1124"/>
      <c r="B360" s="1124"/>
      <c r="C360" s="1124"/>
    </row>
    <row r="361" spans="1:3" ht="12.75">
      <c r="A361" s="1124"/>
      <c r="B361" s="1124"/>
      <c r="C361" s="1124"/>
    </row>
    <row r="362" spans="1:3" ht="12.75">
      <c r="A362" s="1124"/>
      <c r="B362" s="1124"/>
      <c r="C362" s="1124"/>
    </row>
    <row r="363" spans="1:3" ht="12.75">
      <c r="A363" s="1124"/>
      <c r="B363" s="1124"/>
      <c r="C363" s="1124"/>
    </row>
    <row r="364" spans="1:3" ht="12.75">
      <c r="A364" s="1124"/>
      <c r="B364" s="1124"/>
      <c r="C364" s="1124"/>
    </row>
    <row r="365" spans="1:3" ht="12.75">
      <c r="A365" s="1124"/>
      <c r="B365" s="1124"/>
      <c r="C365" s="1124"/>
    </row>
    <row r="366" spans="1:3" ht="12.75">
      <c r="A366" s="1124"/>
      <c r="B366" s="1124"/>
      <c r="C366" s="1124"/>
    </row>
    <row r="367" spans="1:3" ht="12.75">
      <c r="A367" s="1124"/>
      <c r="B367" s="1124"/>
      <c r="C367" s="1124"/>
    </row>
    <row r="368" spans="1:3" ht="12.75">
      <c r="A368" s="1124"/>
      <c r="B368" s="1124"/>
      <c r="C368" s="1124"/>
    </row>
    <row r="369" spans="1:3" ht="12.75">
      <c r="A369" s="1124"/>
      <c r="B369" s="1124"/>
      <c r="C369" s="1124"/>
    </row>
    <row r="370" spans="1:3" ht="12.75">
      <c r="A370" s="1124"/>
      <c r="B370" s="1124"/>
      <c r="C370" s="1124"/>
    </row>
    <row r="371" spans="1:3" ht="12.75">
      <c r="A371" s="1124"/>
      <c r="B371" s="1124"/>
      <c r="C371" s="1124"/>
    </row>
    <row r="372" spans="1:3" ht="12.75">
      <c r="A372" s="1124"/>
      <c r="B372" s="1124"/>
      <c r="C372" s="1124"/>
    </row>
    <row r="373" spans="1:3" ht="12.75">
      <c r="A373" s="1124"/>
      <c r="B373" s="1124"/>
      <c r="C373" s="1124"/>
    </row>
    <row r="374" spans="1:3" ht="12.75">
      <c r="A374" s="1124"/>
      <c r="B374" s="1124"/>
      <c r="C374" s="1124"/>
    </row>
    <row r="375" spans="1:3" ht="12.75">
      <c r="A375" s="1124"/>
      <c r="B375" s="1124"/>
      <c r="C375" s="1124"/>
    </row>
    <row r="376" spans="1:3" ht="12.75">
      <c r="A376" s="1124"/>
      <c r="B376" s="1124"/>
      <c r="C376" s="1124"/>
    </row>
    <row r="377" spans="1:3" ht="12.75">
      <c r="A377" s="1124"/>
      <c r="B377" s="1124"/>
      <c r="C377" s="1124"/>
    </row>
    <row r="378" spans="1:3" ht="12.75">
      <c r="A378" s="1124"/>
      <c r="B378" s="1124"/>
      <c r="C378" s="1124"/>
    </row>
    <row r="379" spans="1:3" ht="12.75">
      <c r="A379" s="1124"/>
      <c r="B379" s="1124"/>
      <c r="C379" s="1124"/>
    </row>
    <row r="380" spans="1:3" ht="12.75">
      <c r="A380" s="1124"/>
      <c r="B380" s="1124"/>
      <c r="C380" s="1124"/>
    </row>
    <row r="381" spans="1:3" ht="12.75">
      <c r="A381" s="1124"/>
      <c r="B381" s="1124"/>
      <c r="C381" s="1124"/>
    </row>
    <row r="382" spans="1:3" ht="12.75">
      <c r="A382" s="1124"/>
      <c r="B382" s="1124"/>
      <c r="C382" s="1124"/>
    </row>
    <row r="383" spans="1:3" ht="12.75">
      <c r="A383" s="1124"/>
      <c r="B383" s="1124"/>
      <c r="C383" s="1124"/>
    </row>
    <row r="384" spans="1:3" ht="12.75">
      <c r="A384" s="1124"/>
      <c r="B384" s="1124"/>
      <c r="C384" s="1124"/>
    </row>
    <row r="385" spans="1:3" ht="12.75">
      <c r="A385" s="1124"/>
      <c r="B385" s="1124"/>
      <c r="C385" s="1124"/>
    </row>
    <row r="386" spans="1:3" ht="12.75">
      <c r="A386" s="1124"/>
      <c r="B386" s="1124"/>
      <c r="C386" s="1124"/>
    </row>
    <row r="387" spans="1:3" ht="12.75">
      <c r="A387" s="1124"/>
      <c r="B387" s="1124"/>
      <c r="C387" s="1124"/>
    </row>
    <row r="388" spans="1:3" ht="12.75">
      <c r="A388" s="1124"/>
      <c r="B388" s="1124"/>
      <c r="C388" s="1124"/>
    </row>
    <row r="389" spans="1:3" ht="12.75">
      <c r="A389" s="1124"/>
      <c r="B389" s="1124"/>
      <c r="C389" s="1124"/>
    </row>
    <row r="390" spans="1:3" ht="12.75">
      <c r="A390" s="1124"/>
      <c r="B390" s="1124"/>
      <c r="C390" s="1124"/>
    </row>
    <row r="391" spans="1:3" ht="12.75">
      <c r="A391" s="1124"/>
      <c r="B391" s="1124"/>
      <c r="C391" s="1124"/>
    </row>
    <row r="392" spans="1:3" ht="12.75">
      <c r="A392" s="1124"/>
      <c r="B392" s="1124"/>
      <c r="C392" s="1124"/>
    </row>
    <row r="393" spans="1:3" ht="12.75">
      <c r="A393" s="1124"/>
      <c r="B393" s="1124"/>
      <c r="C393" s="1124"/>
    </row>
    <row r="394" spans="1:3" ht="12.75">
      <c r="A394" s="1124"/>
      <c r="B394" s="1124"/>
      <c r="C394" s="1124"/>
    </row>
    <row r="395" spans="1:3" ht="12.75">
      <c r="A395" s="1124"/>
      <c r="B395" s="1124"/>
      <c r="C395" s="1124"/>
    </row>
    <row r="396" spans="1:3" ht="12.75">
      <c r="A396" s="1124"/>
      <c r="B396" s="1124"/>
      <c r="C396" s="1124"/>
    </row>
    <row r="397" spans="1:3" ht="12.75">
      <c r="A397" s="1124"/>
      <c r="B397" s="1124"/>
      <c r="C397" s="1124"/>
    </row>
    <row r="398" spans="1:3" ht="12.75">
      <c r="A398" s="1124"/>
      <c r="B398" s="1124"/>
      <c r="C398" s="1124"/>
    </row>
    <row r="399" spans="1:3" ht="12.75">
      <c r="A399" s="1124"/>
      <c r="B399" s="1124"/>
      <c r="C399" s="1124"/>
    </row>
    <row r="400" spans="1:3" ht="12.75">
      <c r="A400" s="1124"/>
      <c r="B400" s="1124"/>
      <c r="C400" s="1124"/>
    </row>
    <row r="401" spans="1:3" ht="12.75">
      <c r="A401" s="1124"/>
      <c r="B401" s="1124"/>
      <c r="C401" s="1124"/>
    </row>
    <row r="402" spans="1:3" ht="12.75">
      <c r="A402" s="1124"/>
      <c r="B402" s="1124"/>
      <c r="C402" s="1124"/>
    </row>
    <row r="403" spans="1:3" ht="12.75">
      <c r="A403" s="1124"/>
      <c r="B403" s="1124"/>
      <c r="C403" s="1124"/>
    </row>
    <row r="404" spans="1:3" ht="12.75">
      <c r="A404" s="1124"/>
      <c r="B404" s="1124"/>
      <c r="C404" s="1124"/>
    </row>
    <row r="405" spans="1:3" ht="12.75">
      <c r="A405" s="1124"/>
      <c r="B405" s="1124"/>
      <c r="C405" s="1124"/>
    </row>
    <row r="406" spans="1:3" ht="12.75">
      <c r="A406" s="1124"/>
      <c r="B406" s="1124"/>
      <c r="C406" s="1124"/>
    </row>
    <row r="407" spans="1:3" ht="12.75">
      <c r="A407" s="1124"/>
      <c r="B407" s="1124"/>
      <c r="C407" s="1124"/>
    </row>
    <row r="408" spans="1:3" ht="12.75">
      <c r="A408" s="1124"/>
      <c r="B408" s="1124"/>
      <c r="C408" s="1124"/>
    </row>
    <row r="409" spans="1:3" ht="12.75">
      <c r="A409" s="1124"/>
      <c r="B409" s="1124"/>
      <c r="C409" s="1124"/>
    </row>
    <row r="410" spans="1:3" ht="12.75">
      <c r="A410" s="1124"/>
      <c r="B410" s="1124"/>
      <c r="C410" s="1124"/>
    </row>
    <row r="411" spans="1:3" ht="12.75">
      <c r="A411" s="1124"/>
      <c r="B411" s="1124"/>
      <c r="C411" s="1124"/>
    </row>
    <row r="412" spans="1:3" ht="12.75">
      <c r="A412" s="1124"/>
      <c r="B412" s="1124"/>
      <c r="C412" s="1124"/>
    </row>
    <row r="413" spans="1:3" ht="12.75">
      <c r="A413" s="1124"/>
      <c r="B413" s="1124"/>
      <c r="C413" s="1124"/>
    </row>
    <row r="414" spans="1:3" ht="12.75">
      <c r="A414" s="1124"/>
      <c r="B414" s="1124"/>
      <c r="C414" s="1124"/>
    </row>
    <row r="415" spans="1:3" ht="12.75">
      <c r="A415" s="1124"/>
      <c r="B415" s="1124"/>
      <c r="C415" s="1124"/>
    </row>
    <row r="416" spans="1:3" ht="12.75">
      <c r="A416" s="1124"/>
      <c r="B416" s="1124"/>
      <c r="C416" s="1124"/>
    </row>
    <row r="417" spans="1:3" ht="12.75">
      <c r="A417" s="1124"/>
      <c r="B417" s="1124"/>
      <c r="C417" s="1124"/>
    </row>
    <row r="418" spans="1:3" ht="12.75">
      <c r="A418" s="1124"/>
      <c r="B418" s="1124"/>
      <c r="C418" s="1124"/>
    </row>
    <row r="419" spans="1:3" ht="12.75">
      <c r="A419" s="1124"/>
      <c r="B419" s="1124"/>
      <c r="C419" s="1124"/>
    </row>
    <row r="420" spans="1:3" ht="12.75">
      <c r="A420" s="1124"/>
      <c r="B420" s="1124"/>
      <c r="C420" s="1124"/>
    </row>
    <row r="421" spans="1:3" ht="12.75">
      <c r="A421" s="1124"/>
      <c r="B421" s="1124"/>
      <c r="C421" s="1124"/>
    </row>
    <row r="422" spans="1:3" ht="12.75">
      <c r="A422" s="1124"/>
      <c r="B422" s="1124"/>
      <c r="C422" s="1124"/>
    </row>
    <row r="423" spans="1:3" ht="12.75">
      <c r="A423" s="1124"/>
      <c r="B423" s="1124"/>
      <c r="C423" s="1124"/>
    </row>
    <row r="424" spans="1:3" ht="12.75">
      <c r="A424" s="1124"/>
      <c r="B424" s="1124"/>
      <c r="C424" s="1124"/>
    </row>
    <row r="425" spans="1:3" ht="12.75">
      <c r="A425" s="1124"/>
      <c r="B425" s="1124"/>
      <c r="C425" s="1124"/>
    </row>
    <row r="426" spans="1:3" ht="12.75">
      <c r="A426" s="1124"/>
      <c r="B426" s="1124"/>
      <c r="C426" s="1124"/>
    </row>
    <row r="427" spans="1:3" ht="12.75">
      <c r="A427" s="1124"/>
      <c r="B427" s="1124"/>
      <c r="C427" s="1124"/>
    </row>
    <row r="428" spans="1:3" ht="12.75">
      <c r="A428" s="1124"/>
      <c r="B428" s="1124"/>
      <c r="C428" s="1124"/>
    </row>
    <row r="429" spans="1:3" ht="12.75">
      <c r="A429" s="1124"/>
      <c r="B429" s="1124"/>
      <c r="C429" s="1124"/>
    </row>
    <row r="430" spans="1:3" ht="12.75">
      <c r="A430" s="1124"/>
      <c r="B430" s="1124"/>
      <c r="C430" s="1124"/>
    </row>
    <row r="431" spans="1:3" ht="12.75">
      <c r="A431" s="1124"/>
      <c r="B431" s="1124"/>
      <c r="C431" s="1124"/>
    </row>
    <row r="432" spans="1:3" ht="12.75">
      <c r="A432" s="1124"/>
      <c r="B432" s="1124"/>
      <c r="C432" s="1124"/>
    </row>
    <row r="433" spans="1:3" ht="12.75">
      <c r="A433" s="1124"/>
      <c r="B433" s="1124"/>
      <c r="C433" s="1124"/>
    </row>
    <row r="434" spans="1:3" ht="12.75">
      <c r="A434" s="1124"/>
      <c r="B434" s="1124"/>
      <c r="C434" s="1124"/>
    </row>
    <row r="435" spans="1:3" ht="12.75">
      <c r="A435" s="1124"/>
      <c r="B435" s="1124"/>
      <c r="C435" s="1124"/>
    </row>
    <row r="436" spans="1:3" ht="12.75">
      <c r="A436" s="1124"/>
      <c r="B436" s="1124"/>
      <c r="C436" s="1124"/>
    </row>
    <row r="437" spans="1:3" ht="12.75">
      <c r="A437" s="1124"/>
      <c r="B437" s="1124"/>
      <c r="C437" s="1124"/>
    </row>
    <row r="438" spans="1:3" ht="12.75">
      <c r="A438" s="1124"/>
      <c r="B438" s="1124"/>
      <c r="C438" s="1124"/>
    </row>
    <row r="439" spans="1:3" ht="12.75">
      <c r="A439" s="1124"/>
      <c r="B439" s="1124"/>
      <c r="C439" s="1124"/>
    </row>
    <row r="440" spans="1:3" ht="12.75">
      <c r="A440" s="1124"/>
      <c r="B440" s="1124"/>
      <c r="C440" s="1124"/>
    </row>
    <row r="441" spans="1:3" ht="12.75">
      <c r="A441" s="1124"/>
      <c r="B441" s="1124"/>
      <c r="C441" s="1124"/>
    </row>
    <row r="442" spans="1:3" ht="12.75">
      <c r="A442" s="1124"/>
      <c r="B442" s="1124"/>
      <c r="C442" s="1124"/>
    </row>
    <row r="443" spans="1:3" ht="12.75">
      <c r="A443" s="1124"/>
      <c r="B443" s="1124"/>
      <c r="C443" s="1124"/>
    </row>
    <row r="444" spans="1:3" ht="12.75">
      <c r="A444" s="1124"/>
      <c r="B444" s="1124"/>
      <c r="C444" s="1124"/>
    </row>
    <row r="445" spans="1:3" ht="12.75">
      <c r="A445" s="1124"/>
      <c r="B445" s="1124"/>
      <c r="C445" s="1124"/>
    </row>
    <row r="446" spans="1:3" ht="12.75">
      <c r="A446" s="1124"/>
      <c r="B446" s="1124"/>
      <c r="C446" s="1124"/>
    </row>
    <row r="447" spans="1:3" ht="12.75">
      <c r="A447" s="1124"/>
      <c r="B447" s="1124"/>
      <c r="C447" s="1124"/>
    </row>
    <row r="448" spans="1:3" ht="12.75">
      <c r="A448" s="1124"/>
      <c r="B448" s="1124"/>
      <c r="C448" s="1124"/>
    </row>
    <row r="449" spans="1:3" ht="12.75">
      <c r="A449" s="1124"/>
      <c r="B449" s="1124"/>
      <c r="C449" s="1124"/>
    </row>
    <row r="450" spans="1:3" ht="12.75">
      <c r="A450" s="1124"/>
      <c r="B450" s="1124"/>
      <c r="C450" s="1124"/>
    </row>
    <row r="451" spans="1:3" ht="12.75">
      <c r="A451" s="1124"/>
      <c r="B451" s="1124"/>
      <c r="C451" s="1124"/>
    </row>
    <row r="452" spans="1:3" ht="12.75">
      <c r="A452" s="1124"/>
      <c r="B452" s="1124"/>
      <c r="C452" s="1124"/>
    </row>
    <row r="453" spans="1:3" ht="12.75">
      <c r="A453" s="1124"/>
      <c r="B453" s="1124"/>
      <c r="C453" s="1124"/>
    </row>
    <row r="454" spans="1:3" ht="12.75">
      <c r="A454" s="1124"/>
      <c r="B454" s="1124"/>
      <c r="C454" s="1124"/>
    </row>
    <row r="455" spans="1:3" ht="12.75">
      <c r="A455" s="1124"/>
      <c r="B455" s="1124"/>
      <c r="C455" s="1124"/>
    </row>
    <row r="456" spans="1:3" ht="12.75">
      <c r="A456" s="1124"/>
      <c r="B456" s="1124"/>
      <c r="C456" s="1124"/>
    </row>
    <row r="457" spans="1:3" ht="12.75">
      <c r="A457" s="1124"/>
      <c r="B457" s="1124"/>
      <c r="C457" s="1124"/>
    </row>
    <row r="458" spans="1:3" ht="12.75">
      <c r="A458" s="1124"/>
      <c r="B458" s="1124"/>
      <c r="C458" s="1124"/>
    </row>
    <row r="459" spans="1:3" ht="12.75">
      <c r="A459" s="1124"/>
      <c r="B459" s="1124"/>
      <c r="C459" s="1124"/>
    </row>
    <row r="460" spans="1:3" ht="12.75">
      <c r="A460" s="1124"/>
      <c r="B460" s="1124"/>
      <c r="C460" s="1124"/>
    </row>
    <row r="461" spans="1:3" ht="12.75">
      <c r="A461" s="1124"/>
      <c r="B461" s="1124"/>
      <c r="C461" s="1124"/>
    </row>
    <row r="462" spans="1:3" ht="12.75">
      <c r="A462" s="1124"/>
      <c r="B462" s="1124"/>
      <c r="C462" s="1124"/>
    </row>
    <row r="463" spans="1:3" ht="12.75">
      <c r="A463" s="1124"/>
      <c r="B463" s="1124"/>
      <c r="C463" s="1124"/>
    </row>
    <row r="464" spans="1:3" ht="12.75">
      <c r="A464" s="1124"/>
      <c r="B464" s="1124"/>
      <c r="C464" s="1124"/>
    </row>
    <row r="465" spans="1:3" ht="12.75">
      <c r="A465" s="1124"/>
      <c r="B465" s="1124"/>
      <c r="C465" s="1124"/>
    </row>
    <row r="466" spans="1:3" ht="12.75">
      <c r="A466" s="1124"/>
      <c r="B466" s="1124"/>
      <c r="C466" s="1124"/>
    </row>
    <row r="467" spans="1:3" ht="12.75">
      <c r="A467" s="1124"/>
      <c r="B467" s="1124"/>
      <c r="C467" s="1124"/>
    </row>
    <row r="468" spans="1:3" ht="12.75">
      <c r="A468" s="1124"/>
      <c r="B468" s="1124"/>
      <c r="C468" s="1124"/>
    </row>
    <row r="469" spans="1:3" ht="12.75">
      <c r="A469" s="1124"/>
      <c r="B469" s="1124"/>
      <c r="C469" s="1124"/>
    </row>
    <row r="470" spans="1:3" ht="12.75">
      <c r="A470" s="1124"/>
      <c r="B470" s="1124"/>
      <c r="C470" s="1124"/>
    </row>
    <row r="471" spans="1:3" ht="12.75">
      <c r="A471" s="1124"/>
      <c r="B471" s="1124"/>
      <c r="C471" s="1124"/>
    </row>
    <row r="472" spans="1:3" ht="12.75">
      <c r="A472" s="1124"/>
      <c r="B472" s="1124"/>
      <c r="C472" s="1124"/>
    </row>
    <row r="473" spans="1:3" ht="12.75">
      <c r="A473" s="1124"/>
      <c r="B473" s="1124"/>
      <c r="C473" s="1124"/>
    </row>
    <row r="474" spans="1:3" ht="12.75">
      <c r="A474" s="1124"/>
      <c r="B474" s="1124"/>
      <c r="C474" s="1124"/>
    </row>
    <row r="475" spans="1:3" ht="12.75">
      <c r="A475" s="1124"/>
      <c r="B475" s="1124"/>
      <c r="C475" s="1124"/>
    </row>
    <row r="476" spans="1:3" ht="12.75">
      <c r="A476" s="1124"/>
      <c r="B476" s="1124"/>
      <c r="C476" s="1124"/>
    </row>
    <row r="477" spans="1:3" ht="12.75">
      <c r="A477" s="1124"/>
      <c r="B477" s="1124"/>
      <c r="C477" s="1124"/>
    </row>
    <row r="478" spans="1:3" ht="12.75">
      <c r="A478" s="1124"/>
      <c r="B478" s="1124"/>
      <c r="C478" s="1124"/>
    </row>
    <row r="479" spans="1:3" ht="12.75">
      <c r="A479" s="1124"/>
      <c r="B479" s="1124"/>
      <c r="C479" s="1124"/>
    </row>
    <row r="480" spans="1:3" ht="12.75">
      <c r="A480" s="1124"/>
      <c r="B480" s="1124"/>
      <c r="C480" s="1124"/>
    </row>
    <row r="481" spans="1:3" ht="12.75">
      <c r="A481" s="1124"/>
      <c r="B481" s="1124"/>
      <c r="C481" s="1124"/>
    </row>
    <row r="482" spans="1:3" ht="12.75">
      <c r="A482" s="1124"/>
      <c r="B482" s="1124"/>
      <c r="C482" s="1124"/>
    </row>
    <row r="483" spans="1:3" ht="12.75">
      <c r="A483" s="1124"/>
      <c r="B483" s="1124"/>
      <c r="C483" s="1124"/>
    </row>
    <row r="484" spans="1:3" ht="12.75">
      <c r="A484" s="1124"/>
      <c r="B484" s="1124"/>
      <c r="C484" s="1124"/>
    </row>
    <row r="485" spans="1:3" ht="12.75">
      <c r="A485" s="1124"/>
      <c r="B485" s="1124"/>
      <c r="C485" s="1124"/>
    </row>
    <row r="486" spans="1:3" ht="12.75">
      <c r="A486" s="1124"/>
      <c r="B486" s="1124"/>
      <c r="C486" s="1124"/>
    </row>
    <row r="487" spans="1:3" ht="12.75">
      <c r="A487" s="1124"/>
      <c r="B487" s="1124"/>
      <c r="C487" s="1124"/>
    </row>
    <row r="488" spans="1:3" ht="12.75">
      <c r="A488" s="1124"/>
      <c r="B488" s="1124"/>
      <c r="C488" s="1124"/>
    </row>
    <row r="489" spans="1:3" ht="12.75">
      <c r="A489" s="1124"/>
      <c r="B489" s="1124"/>
      <c r="C489" s="1124"/>
    </row>
    <row r="490" spans="1:3" ht="12.75">
      <c r="A490" s="1124"/>
      <c r="B490" s="1124"/>
      <c r="C490" s="1124"/>
    </row>
    <row r="491" spans="1:3" ht="12.75">
      <c r="A491" s="1124"/>
      <c r="B491" s="1124"/>
      <c r="C491" s="1124"/>
    </row>
    <row r="492" spans="1:3" ht="12.75">
      <c r="A492" s="1124"/>
      <c r="B492" s="1124"/>
      <c r="C492" s="1124"/>
    </row>
    <row r="493" spans="1:3" ht="12.75">
      <c r="A493" s="1124"/>
      <c r="B493" s="1124"/>
      <c r="C493" s="1124"/>
    </row>
    <row r="494" spans="1:3" ht="12.75">
      <c r="A494" s="1124"/>
      <c r="B494" s="1124"/>
      <c r="C494" s="1124"/>
    </row>
    <row r="495" spans="1:3" ht="12.75">
      <c r="A495" s="1124"/>
      <c r="B495" s="1124"/>
      <c r="C495" s="1124"/>
    </row>
    <row r="496" spans="1:3" ht="12.75">
      <c r="A496" s="1124"/>
      <c r="B496" s="1124"/>
      <c r="C496" s="1124"/>
    </row>
    <row r="497" spans="1:3" ht="12.75">
      <c r="A497" s="1124"/>
      <c r="B497" s="1124"/>
      <c r="C497" s="1124"/>
    </row>
    <row r="498" spans="1:3" ht="12.75">
      <c r="A498" s="1124"/>
      <c r="B498" s="1124"/>
      <c r="C498" s="1124"/>
    </row>
    <row r="499" spans="1:3" ht="12.75">
      <c r="A499" s="1124"/>
      <c r="B499" s="1124"/>
      <c r="C499" s="1124"/>
    </row>
    <row r="500" spans="1:3" ht="12.75">
      <c r="A500" s="1124"/>
      <c r="B500" s="1124"/>
      <c r="C500" s="1124"/>
    </row>
    <row r="501" spans="1:3" ht="12.75">
      <c r="A501" s="1124"/>
      <c r="B501" s="1124"/>
      <c r="C501" s="1124"/>
    </row>
    <row r="502" spans="1:3" ht="12.75">
      <c r="A502" s="1124"/>
      <c r="B502" s="1124"/>
      <c r="C502" s="1124"/>
    </row>
    <row r="503" spans="1:3" ht="12.75">
      <c r="A503" s="1124"/>
      <c r="B503" s="1124"/>
      <c r="C503" s="1124"/>
    </row>
    <row r="504" spans="1:3" ht="12.75">
      <c r="A504" s="1124"/>
      <c r="B504" s="1124"/>
      <c r="C504" s="1124"/>
    </row>
    <row r="505" spans="1:3" ht="12.75">
      <c r="A505" s="1124"/>
      <c r="B505" s="1124"/>
      <c r="C505" s="1124"/>
    </row>
    <row r="506" spans="1:3" ht="12.75">
      <c r="A506" s="1124"/>
      <c r="B506" s="1124"/>
      <c r="C506" s="1124"/>
    </row>
    <row r="507" spans="1:3" ht="12.75">
      <c r="A507" s="1124"/>
      <c r="B507" s="1124"/>
      <c r="C507" s="1124"/>
    </row>
    <row r="508" spans="1:3" ht="12.75">
      <c r="A508" s="1124"/>
      <c r="B508" s="1124"/>
      <c r="C508" s="1124"/>
    </row>
    <row r="509" spans="1:3" ht="12.75">
      <c r="A509" s="1124"/>
      <c r="B509" s="1124"/>
      <c r="C509" s="1124"/>
    </row>
    <row r="510" spans="1:3" ht="12.75">
      <c r="A510" s="1124"/>
      <c r="B510" s="1124"/>
      <c r="C510" s="1124"/>
    </row>
    <row r="511" spans="1:3" ht="12.75">
      <c r="A511" s="1124"/>
      <c r="B511" s="1124"/>
      <c r="C511" s="1124"/>
    </row>
    <row r="512" spans="1:3" ht="12.75">
      <c r="A512" s="1124"/>
      <c r="B512" s="1124"/>
      <c r="C512" s="1124"/>
    </row>
    <row r="513" spans="1:3" ht="12.75">
      <c r="A513" s="1124"/>
      <c r="B513" s="1124"/>
      <c r="C513" s="1124"/>
    </row>
    <row r="514" spans="1:3" ht="12.75">
      <c r="A514" s="1124"/>
      <c r="B514" s="1124"/>
      <c r="C514" s="1124"/>
    </row>
    <row r="515" spans="1:3" ht="12.75">
      <c r="A515" s="1124"/>
      <c r="B515" s="1124"/>
      <c r="C515" s="1124"/>
    </row>
    <row r="516" spans="1:3" ht="12.75">
      <c r="A516" s="1124"/>
      <c r="B516" s="1124"/>
      <c r="C516" s="1124"/>
    </row>
    <row r="517" spans="1:3" ht="12.75">
      <c r="A517" s="1124"/>
      <c r="B517" s="1124"/>
      <c r="C517" s="1124"/>
    </row>
    <row r="518" spans="1:3" ht="12.75">
      <c r="A518" s="1124"/>
      <c r="B518" s="1124"/>
      <c r="C518" s="1124"/>
    </row>
    <row r="519" spans="1:3" ht="12.75">
      <c r="A519" s="1124"/>
      <c r="B519" s="1124"/>
      <c r="C519" s="1124"/>
    </row>
    <row r="520" spans="1:3" ht="12.75">
      <c r="A520" s="1124"/>
      <c r="B520" s="1124"/>
      <c r="C520" s="1124"/>
    </row>
    <row r="521" spans="1:3" ht="12.75">
      <c r="A521" s="1124"/>
      <c r="B521" s="1124"/>
      <c r="C521" s="1124"/>
    </row>
    <row r="522" spans="1:3" ht="12.75">
      <c r="A522" s="1124"/>
      <c r="B522" s="1124"/>
      <c r="C522" s="1124"/>
    </row>
    <row r="523" spans="1:3" ht="12.75">
      <c r="A523" s="1124"/>
      <c r="B523" s="1124"/>
      <c r="C523" s="1124"/>
    </row>
    <row r="524" spans="1:3" ht="12.75">
      <c r="A524" s="1124"/>
      <c r="B524" s="1124"/>
      <c r="C524" s="1124"/>
    </row>
    <row r="525" spans="1:3" ht="12.75">
      <c r="A525" s="1124"/>
      <c r="B525" s="1124"/>
      <c r="C525" s="1124"/>
    </row>
    <row r="526" spans="1:3" ht="12.75">
      <c r="A526" s="1124"/>
      <c r="B526" s="1124"/>
      <c r="C526" s="1124"/>
    </row>
    <row r="527" spans="1:3" ht="12.75">
      <c r="A527" s="1124"/>
      <c r="B527" s="1124"/>
      <c r="C527" s="1124"/>
    </row>
    <row r="528" spans="1:3" ht="12.75">
      <c r="A528" s="1124"/>
      <c r="B528" s="1124"/>
      <c r="C528" s="1124"/>
    </row>
    <row r="529" spans="1:3" ht="12.75">
      <c r="A529" s="1124"/>
      <c r="B529" s="1124"/>
      <c r="C529" s="1124"/>
    </row>
    <row r="530" spans="1:3" ht="12.75">
      <c r="A530" s="1124"/>
      <c r="B530" s="1124"/>
      <c r="C530" s="1124"/>
    </row>
    <row r="531" spans="1:3" ht="12.75">
      <c r="A531" s="1124"/>
      <c r="B531" s="1124"/>
      <c r="C531" s="1124"/>
    </row>
    <row r="532" spans="1:3" ht="12.75">
      <c r="A532" s="1124"/>
      <c r="B532" s="1124"/>
      <c r="C532" s="1124"/>
    </row>
    <row r="533" spans="1:3" ht="12.75">
      <c r="A533" s="1124"/>
      <c r="B533" s="1124"/>
      <c r="C533" s="1124"/>
    </row>
    <row r="534" spans="1:3" ht="12.75">
      <c r="A534" s="1124"/>
      <c r="B534" s="1124"/>
      <c r="C534" s="1124"/>
    </row>
    <row r="535" spans="1:3" ht="12.75">
      <c r="A535" s="1124"/>
      <c r="B535" s="1124"/>
      <c r="C535" s="1124"/>
    </row>
    <row r="536" spans="1:3" ht="12.75">
      <c r="A536" s="1124"/>
      <c r="B536" s="1124"/>
      <c r="C536" s="1124"/>
    </row>
    <row r="537" spans="1:3" ht="12.75">
      <c r="A537" s="1124"/>
      <c r="B537" s="1124"/>
      <c r="C537" s="1124"/>
    </row>
    <row r="538" spans="1:3" ht="12.75">
      <c r="A538" s="1124"/>
      <c r="B538" s="1124"/>
      <c r="C538" s="1124"/>
    </row>
    <row r="539" spans="1:3" ht="12.75">
      <c r="A539" s="1124"/>
      <c r="B539" s="1124"/>
      <c r="C539" s="1124"/>
    </row>
    <row r="540" spans="1:3" ht="12.75">
      <c r="A540" s="1124"/>
      <c r="B540" s="1124"/>
      <c r="C540" s="1124"/>
    </row>
    <row r="541" spans="1:3" ht="12.75">
      <c r="A541" s="1124"/>
      <c r="B541" s="1124"/>
      <c r="C541" s="1124"/>
    </row>
    <row r="542" spans="1:3" ht="12.75">
      <c r="A542" s="1124"/>
      <c r="B542" s="1124"/>
      <c r="C542" s="1124"/>
    </row>
    <row r="543" spans="1:3" ht="12.75">
      <c r="A543" s="1124"/>
      <c r="B543" s="1124"/>
      <c r="C543" s="1124"/>
    </row>
    <row r="544" spans="1:3" ht="12.75">
      <c r="A544" s="1124"/>
      <c r="B544" s="1124"/>
      <c r="C544" s="1124"/>
    </row>
    <row r="545" spans="1:3" ht="12.75">
      <c r="A545" s="1124"/>
      <c r="B545" s="1124"/>
      <c r="C545" s="1124"/>
    </row>
    <row r="546" spans="1:3" ht="12.75">
      <c r="A546" s="1124"/>
      <c r="B546" s="1124"/>
      <c r="C546" s="1124"/>
    </row>
    <row r="547" spans="1:3" ht="12.75">
      <c r="A547" s="1124"/>
      <c r="B547" s="1124"/>
      <c r="C547" s="1124"/>
    </row>
    <row r="548" spans="1:3" ht="12.75">
      <c r="A548" s="1124"/>
      <c r="B548" s="1124"/>
      <c r="C548" s="1124"/>
    </row>
    <row r="549" spans="1:3" ht="12.75">
      <c r="A549" s="1124"/>
      <c r="B549" s="1124"/>
      <c r="C549" s="1124"/>
    </row>
    <row r="550" spans="1:3" ht="12.75">
      <c r="A550" s="1124"/>
      <c r="B550" s="1124"/>
      <c r="C550" s="1124"/>
    </row>
    <row r="551" spans="1:3" ht="12.75">
      <c r="A551" s="1124"/>
      <c r="B551" s="1124"/>
      <c r="C551" s="1124"/>
    </row>
    <row r="552" spans="1:3" ht="12.75">
      <c r="A552" s="1124"/>
      <c r="B552" s="1124"/>
      <c r="C552" s="1124"/>
    </row>
    <row r="553" spans="1:3" ht="12.75">
      <c r="A553" s="1124"/>
      <c r="B553" s="1124"/>
      <c r="C553" s="1124"/>
    </row>
    <row r="554" spans="1:3" ht="12.75">
      <c r="A554" s="1124"/>
      <c r="B554" s="1124"/>
      <c r="C554" s="1124"/>
    </row>
    <row r="555" spans="1:3" ht="12.75">
      <c r="A555" s="1124"/>
      <c r="B555" s="1124"/>
      <c r="C555" s="1124"/>
    </row>
    <row r="556" spans="1:3" ht="12.75">
      <c r="A556" s="1124"/>
      <c r="B556" s="1124"/>
      <c r="C556" s="1124"/>
    </row>
    <row r="557" spans="1:3" ht="12.75">
      <c r="A557" s="1124"/>
      <c r="B557" s="1124"/>
      <c r="C557" s="1124"/>
    </row>
    <row r="558" spans="1:3" ht="12.75">
      <c r="A558" s="1124"/>
      <c r="B558" s="1124"/>
      <c r="C558" s="1124"/>
    </row>
    <row r="559" spans="1:3" ht="12.75">
      <c r="A559" s="1124"/>
      <c r="B559" s="1124"/>
      <c r="C559" s="1124"/>
    </row>
    <row r="560" spans="1:3" ht="12.75">
      <c r="A560" s="1124"/>
      <c r="B560" s="1124"/>
      <c r="C560" s="1124"/>
    </row>
    <row r="561" spans="1:3" ht="12.75">
      <c r="A561" s="1124"/>
      <c r="B561" s="1124"/>
      <c r="C561" s="1124"/>
    </row>
    <row r="562" spans="1:3" ht="12.75">
      <c r="A562" s="1124"/>
      <c r="B562" s="1124"/>
      <c r="C562" s="1124"/>
    </row>
    <row r="563" spans="1:3" ht="12.75">
      <c r="A563" s="1124"/>
      <c r="B563" s="1124"/>
      <c r="C563" s="1124"/>
    </row>
    <row r="564" spans="1:3" ht="12.75">
      <c r="A564" s="1124"/>
      <c r="B564" s="1124"/>
      <c r="C564" s="1124"/>
    </row>
    <row r="565" spans="1:3" ht="12.75">
      <c r="A565" s="1124"/>
      <c r="B565" s="1124"/>
      <c r="C565" s="1124"/>
    </row>
    <row r="566" spans="1:3" ht="12.75">
      <c r="A566" s="1124"/>
      <c r="B566" s="1124"/>
      <c r="C566" s="1124"/>
    </row>
    <row r="567" spans="1:3" ht="12.75">
      <c r="A567" s="1124"/>
      <c r="B567" s="1124"/>
      <c r="C567" s="1124"/>
    </row>
    <row r="568" spans="1:3" ht="12.75">
      <c r="A568" s="1124"/>
      <c r="B568" s="1124"/>
      <c r="C568" s="1124"/>
    </row>
    <row r="569" spans="1:3" ht="12.75">
      <c r="A569" s="1124"/>
      <c r="B569" s="1124"/>
      <c r="C569" s="1124"/>
    </row>
    <row r="570" spans="1:3" ht="12.75">
      <c r="A570" s="1124"/>
      <c r="B570" s="1124"/>
      <c r="C570" s="1124"/>
    </row>
    <row r="571" spans="1:3" ht="12.75">
      <c r="A571" s="1124"/>
      <c r="B571" s="1124"/>
      <c r="C571" s="1124"/>
    </row>
    <row r="572" spans="1:3" ht="12.75">
      <c r="A572" s="1124"/>
      <c r="B572" s="1124"/>
      <c r="C572" s="1124"/>
    </row>
    <row r="573" spans="1:3" ht="12.75">
      <c r="A573" s="1124"/>
      <c r="B573" s="1124"/>
      <c r="C573" s="1124"/>
    </row>
    <row r="574" spans="1:3" ht="12.75">
      <c r="A574" s="1124"/>
      <c r="B574" s="1124"/>
      <c r="C574" s="1124"/>
    </row>
    <row r="575" spans="1:3" ht="12.75">
      <c r="A575" s="1124"/>
      <c r="B575" s="1124"/>
      <c r="C575" s="1124"/>
    </row>
    <row r="576" spans="1:3" ht="12.75">
      <c r="A576" s="1124"/>
      <c r="B576" s="1124"/>
      <c r="C576" s="1124"/>
    </row>
    <row r="577" spans="1:3" ht="12.75">
      <c r="A577" s="1124"/>
      <c r="B577" s="1124"/>
      <c r="C577" s="1124"/>
    </row>
    <row r="578" spans="1:3" ht="12.75">
      <c r="A578" s="1124"/>
      <c r="B578" s="1124"/>
      <c r="C578" s="1124"/>
    </row>
    <row r="579" spans="1:3" ht="12.75">
      <c r="A579" s="1124"/>
      <c r="B579" s="1124"/>
      <c r="C579" s="1124"/>
    </row>
    <row r="580" spans="1:3" ht="12.75">
      <c r="A580" s="1124"/>
      <c r="B580" s="1124"/>
      <c r="C580" s="1124"/>
    </row>
    <row r="581" spans="1:3" ht="12.75">
      <c r="A581" s="1124"/>
      <c r="B581" s="1124"/>
      <c r="C581" s="1124"/>
    </row>
    <row r="582" spans="1:3" ht="12.75">
      <c r="A582" s="1124"/>
      <c r="B582" s="1124"/>
      <c r="C582" s="1124"/>
    </row>
    <row r="583" spans="1:3" ht="12.75">
      <c r="A583" s="1124"/>
      <c r="B583" s="1124"/>
      <c r="C583" s="1124"/>
    </row>
    <row r="584" spans="1:3" ht="12.75">
      <c r="A584" s="1124"/>
      <c r="B584" s="1124"/>
      <c r="C584" s="1124"/>
    </row>
    <row r="585" spans="1:3" ht="12.75">
      <c r="A585" s="1124"/>
      <c r="B585" s="1124"/>
      <c r="C585" s="1124"/>
    </row>
    <row r="586" spans="1:3" ht="12.75">
      <c r="A586" s="1124"/>
      <c r="B586" s="1124"/>
      <c r="C586" s="1124"/>
    </row>
    <row r="587" spans="1:3" ht="12.75">
      <c r="A587" s="1124"/>
      <c r="B587" s="1124"/>
      <c r="C587" s="1124"/>
    </row>
    <row r="588" spans="1:3" ht="12.75">
      <c r="A588" s="1124"/>
      <c r="B588" s="1124"/>
      <c r="C588" s="1124"/>
    </row>
    <row r="589" spans="1:3" ht="12.75">
      <c r="A589" s="1124"/>
      <c r="B589" s="1124"/>
      <c r="C589" s="1124"/>
    </row>
    <row r="590" spans="1:3" ht="12.75">
      <c r="A590" s="1124"/>
      <c r="B590" s="1124"/>
      <c r="C590" s="1124"/>
    </row>
    <row r="591" spans="1:3" ht="12.75">
      <c r="A591" s="1124"/>
      <c r="B591" s="1124"/>
      <c r="C591" s="1124"/>
    </row>
    <row r="592" spans="1:3" ht="12.75">
      <c r="A592" s="1124"/>
      <c r="B592" s="1124"/>
      <c r="C592" s="1124"/>
    </row>
    <row r="593" spans="1:3" ht="12.75">
      <c r="A593" s="1124"/>
      <c r="B593" s="1124"/>
      <c r="C593" s="1124"/>
    </row>
    <row r="594" spans="1:3" ht="12.75">
      <c r="A594" s="1124"/>
      <c r="B594" s="1124"/>
      <c r="C594" s="1124"/>
    </row>
    <row r="595" spans="1:3" ht="12.75">
      <c r="A595" s="1124"/>
      <c r="B595" s="1124"/>
      <c r="C595" s="1124"/>
    </row>
    <row r="596" spans="1:3" ht="12.75">
      <c r="A596" s="1124"/>
      <c r="B596" s="1124"/>
      <c r="C596" s="1124"/>
    </row>
    <row r="597" spans="1:3" ht="12.75">
      <c r="A597" s="1124"/>
      <c r="B597" s="1124"/>
      <c r="C597" s="1124"/>
    </row>
    <row r="598" spans="1:3" ht="12.75">
      <c r="A598" s="1124"/>
      <c r="B598" s="1124"/>
      <c r="C598" s="1124"/>
    </row>
    <row r="599" spans="1:3" ht="12.75">
      <c r="A599" s="1124"/>
      <c r="B599" s="1124"/>
      <c r="C599" s="1124"/>
    </row>
    <row r="600" spans="1:3" ht="12.75">
      <c r="A600" s="1124"/>
      <c r="B600" s="1124"/>
      <c r="C600" s="1124"/>
    </row>
    <row r="601" spans="1:3" ht="12.75">
      <c r="A601" s="1124"/>
      <c r="B601" s="1124"/>
      <c r="C601" s="1124"/>
    </row>
    <row r="602" spans="1:3" ht="12.75">
      <c r="A602" s="1124"/>
      <c r="B602" s="1124"/>
      <c r="C602" s="1124"/>
    </row>
    <row r="603" spans="1:3" ht="12.75">
      <c r="A603" s="1124"/>
      <c r="B603" s="1124"/>
      <c r="C603" s="1124"/>
    </row>
    <row r="604" spans="1:3" ht="12.75">
      <c r="A604" s="1124"/>
      <c r="B604" s="1124"/>
      <c r="C604" s="1124"/>
    </row>
    <row r="605" spans="1:3" ht="12.75">
      <c r="A605" s="1124"/>
      <c r="B605" s="1124"/>
      <c r="C605" s="1124"/>
    </row>
    <row r="606" spans="1:3" ht="12.75">
      <c r="A606" s="1124"/>
      <c r="B606" s="1124"/>
      <c r="C606" s="1124"/>
    </row>
    <row r="607" spans="1:3" ht="12.75">
      <c r="A607" s="1124"/>
      <c r="B607" s="1124"/>
      <c r="C607" s="1124"/>
    </row>
    <row r="608" spans="1:3" ht="12.75">
      <c r="A608" s="1124"/>
      <c r="B608" s="1124"/>
      <c r="C608" s="1124"/>
    </row>
    <row r="609" spans="1:3" ht="12.75">
      <c r="A609" s="1124"/>
      <c r="B609" s="1124"/>
      <c r="C609" s="1124"/>
    </row>
    <row r="610" spans="1:3" ht="12.75">
      <c r="A610" s="1124"/>
      <c r="B610" s="1124"/>
      <c r="C610" s="1124"/>
    </row>
    <row r="611" spans="1:3" ht="12.75">
      <c r="A611" s="1124"/>
      <c r="B611" s="1124"/>
      <c r="C611" s="1124"/>
    </row>
    <row r="612" spans="1:3" ht="12.75">
      <c r="A612" s="1124"/>
      <c r="B612" s="1124"/>
      <c r="C612" s="1124"/>
    </row>
    <row r="613" spans="1:3" ht="12.75">
      <c r="A613" s="1124"/>
      <c r="B613" s="1124"/>
      <c r="C613" s="1124"/>
    </row>
    <row r="614" spans="1:3" ht="12.75">
      <c r="A614" s="1124"/>
      <c r="B614" s="1124"/>
      <c r="C614" s="1124"/>
    </row>
    <row r="615" spans="1:3" ht="12.75">
      <c r="A615" s="1124"/>
      <c r="B615" s="1124"/>
      <c r="C615" s="1124"/>
    </row>
    <row r="616" spans="1:3" ht="12.75">
      <c r="A616" s="1124"/>
      <c r="B616" s="1124"/>
      <c r="C616" s="1124"/>
    </row>
    <row r="617" spans="1:3" ht="12.75">
      <c r="A617" s="1124"/>
      <c r="B617" s="1124"/>
      <c r="C617" s="1124"/>
    </row>
    <row r="618" spans="1:3" ht="12.75">
      <c r="A618" s="1124"/>
      <c r="B618" s="1124"/>
      <c r="C618" s="1124"/>
    </row>
    <row r="619" spans="1:3" ht="12.75">
      <c r="A619" s="1124"/>
      <c r="B619" s="1124"/>
      <c r="C619" s="1124"/>
    </row>
    <row r="620" spans="1:3" ht="12.75">
      <c r="A620" s="1124"/>
      <c r="B620" s="1124"/>
      <c r="C620" s="1124"/>
    </row>
    <row r="621" spans="1:3" ht="12.75">
      <c r="A621" s="1124"/>
      <c r="B621" s="1124"/>
      <c r="C621" s="1124"/>
    </row>
    <row r="622" spans="1:3" ht="12.75">
      <c r="A622" s="1124"/>
      <c r="B622" s="1124"/>
      <c r="C622" s="1124"/>
    </row>
    <row r="623" spans="1:3" ht="12.75">
      <c r="A623" s="1124"/>
      <c r="B623" s="1124"/>
      <c r="C623" s="1124"/>
    </row>
    <row r="624" spans="1:3" ht="12.75">
      <c r="A624" s="1124"/>
      <c r="B624" s="1124"/>
      <c r="C624" s="1124"/>
    </row>
    <row r="625" spans="1:3" ht="12.75">
      <c r="A625" s="1124"/>
      <c r="B625" s="1124"/>
      <c r="C625" s="1124"/>
    </row>
    <row r="626" spans="1:3" ht="12.75">
      <c r="A626" s="1124"/>
      <c r="B626" s="1124"/>
      <c r="C626" s="1124"/>
    </row>
    <row r="627" spans="1:3" ht="12.75">
      <c r="A627" s="1124"/>
      <c r="B627" s="1124"/>
      <c r="C627" s="1124"/>
    </row>
    <row r="628" spans="1:3" ht="12.75">
      <c r="A628" s="1124"/>
      <c r="B628" s="1124"/>
      <c r="C628" s="1124"/>
    </row>
    <row r="629" spans="1:3" ht="12.75">
      <c r="A629" s="1124"/>
      <c r="B629" s="1124"/>
      <c r="C629" s="1124"/>
    </row>
    <row r="630" spans="1:3" ht="12.75">
      <c r="A630" s="1124"/>
      <c r="B630" s="1124"/>
      <c r="C630" s="1124"/>
    </row>
    <row r="631" spans="1:3" ht="12.75">
      <c r="A631" s="1124"/>
      <c r="B631" s="1124"/>
      <c r="C631" s="1124"/>
    </row>
    <row r="632" spans="1:3" ht="12.75">
      <c r="A632" s="1124"/>
      <c r="B632" s="1124"/>
      <c r="C632" s="1124"/>
    </row>
    <row r="633" spans="1:3" ht="12.75">
      <c r="A633" s="1124"/>
      <c r="B633" s="1124"/>
      <c r="C633" s="1124"/>
    </row>
    <row r="634" spans="1:3" ht="12.75">
      <c r="A634" s="1124"/>
      <c r="B634" s="1124"/>
      <c r="C634" s="1124"/>
    </row>
    <row r="635" spans="1:3" ht="12.75">
      <c r="A635" s="1124"/>
      <c r="B635" s="1124"/>
      <c r="C635" s="1124"/>
    </row>
    <row r="636" spans="1:3" ht="12.75">
      <c r="A636" s="1124"/>
      <c r="B636" s="1124"/>
      <c r="C636" s="1124"/>
    </row>
    <row r="637" spans="1:3" ht="12.75">
      <c r="A637" s="1124"/>
      <c r="B637" s="1124"/>
      <c r="C637" s="1124"/>
    </row>
    <row r="638" spans="1:3" ht="12.75">
      <c r="A638" s="1124"/>
      <c r="B638" s="1124"/>
      <c r="C638" s="1124"/>
    </row>
    <row r="639" spans="1:3" ht="12.75">
      <c r="A639" s="1124"/>
      <c r="B639" s="1124"/>
      <c r="C639" s="1124"/>
    </row>
    <row r="640" spans="1:3" ht="12.75">
      <c r="A640" s="1124"/>
      <c r="B640" s="1124"/>
      <c r="C640" s="1124"/>
    </row>
    <row r="641" spans="1:3" ht="12.75">
      <c r="A641" s="1124"/>
      <c r="B641" s="1124"/>
      <c r="C641" s="1124"/>
    </row>
    <row r="642" spans="1:3" ht="12.75">
      <c r="A642" s="1124"/>
      <c r="B642" s="1124"/>
      <c r="C642" s="1124"/>
    </row>
    <row r="643" spans="1:3" ht="12.75">
      <c r="A643" s="1124"/>
      <c r="B643" s="1124"/>
      <c r="C643" s="1124"/>
    </row>
    <row r="644" spans="1:3" ht="12.75">
      <c r="A644" s="1124"/>
      <c r="B644" s="1124"/>
      <c r="C644" s="1124"/>
    </row>
    <row r="645" spans="1:3" ht="12.75">
      <c r="A645" s="1124"/>
      <c r="B645" s="1124"/>
      <c r="C645" s="1124"/>
    </row>
    <row r="646" spans="1:3" ht="12.75">
      <c r="A646" s="1124"/>
      <c r="B646" s="1124"/>
      <c r="C646" s="1124"/>
    </row>
    <row r="647" spans="1:3" ht="12.75">
      <c r="A647" s="1124"/>
      <c r="B647" s="1124"/>
      <c r="C647" s="1124"/>
    </row>
    <row r="648" spans="1:3" ht="12.75">
      <c r="A648" s="1124"/>
      <c r="B648" s="1124"/>
      <c r="C648" s="1124"/>
    </row>
    <row r="649" spans="1:3" ht="12.75">
      <c r="A649" s="1124"/>
      <c r="B649" s="1124"/>
      <c r="C649" s="1124"/>
    </row>
    <row r="650" spans="1:3" ht="12.75">
      <c r="A650" s="1124"/>
      <c r="B650" s="1124"/>
      <c r="C650" s="1124"/>
    </row>
    <row r="651" spans="1:3" ht="12.75">
      <c r="A651" s="1124"/>
      <c r="B651" s="1124"/>
      <c r="C651" s="1124"/>
    </row>
    <row r="652" spans="1:3" ht="12.75">
      <c r="A652" s="1124"/>
      <c r="B652" s="1124"/>
      <c r="C652" s="1124"/>
    </row>
    <row r="653" spans="1:3" ht="12.75">
      <c r="A653" s="1124"/>
      <c r="B653" s="1124"/>
      <c r="C653" s="1124"/>
    </row>
    <row r="654" spans="1:3" ht="12.75">
      <c r="A654" s="1124"/>
      <c r="B654" s="1124"/>
      <c r="C654" s="1124"/>
    </row>
    <row r="655" spans="1:3" ht="12.75">
      <c r="A655" s="1124"/>
      <c r="B655" s="1124"/>
      <c r="C655" s="1124"/>
    </row>
    <row r="656" spans="1:3" ht="12.75">
      <c r="A656" s="1124"/>
      <c r="B656" s="1124"/>
      <c r="C656" s="1124"/>
    </row>
    <row r="657" spans="1:3" ht="12.75">
      <c r="A657" s="1124"/>
      <c r="B657" s="1124"/>
      <c r="C657" s="1124"/>
    </row>
    <row r="658" spans="1:3" ht="12.75">
      <c r="A658" s="1124"/>
      <c r="B658" s="1124"/>
      <c r="C658" s="1124"/>
    </row>
    <row r="659" spans="1:3" ht="12.75">
      <c r="A659" s="1124"/>
      <c r="B659" s="1124"/>
      <c r="C659" s="1124"/>
    </row>
    <row r="660" spans="1:3" ht="12.75">
      <c r="A660" s="1124"/>
      <c r="B660" s="1124"/>
      <c r="C660" s="1124"/>
    </row>
    <row r="661" spans="1:3" ht="12.75">
      <c r="A661" s="1124"/>
      <c r="B661" s="1124"/>
      <c r="C661" s="1124"/>
    </row>
    <row r="662" spans="1:3" ht="12.75">
      <c r="A662" s="1124"/>
      <c r="B662" s="1124"/>
      <c r="C662" s="1124"/>
    </row>
    <row r="663" spans="1:3" ht="12.75">
      <c r="A663" s="1124"/>
      <c r="B663" s="1124"/>
      <c r="C663" s="1124"/>
    </row>
    <row r="664" spans="1:3" ht="12.75">
      <c r="A664" s="1124"/>
      <c r="B664" s="1124"/>
      <c r="C664" s="1124"/>
    </row>
    <row r="665" spans="1:3" ht="12.75">
      <c r="A665" s="1124"/>
      <c r="B665" s="1124"/>
      <c r="C665" s="1124"/>
    </row>
    <row r="666" spans="1:3" ht="12.75">
      <c r="A666" s="1124"/>
      <c r="B666" s="1124"/>
      <c r="C666" s="1124"/>
    </row>
    <row r="667" spans="1:3" ht="12.75">
      <c r="A667" s="1124"/>
      <c r="B667" s="1124"/>
      <c r="C667" s="1124"/>
    </row>
    <row r="668" spans="1:3" ht="12.75">
      <c r="A668" s="1124"/>
      <c r="B668" s="1124"/>
      <c r="C668" s="1124"/>
    </row>
    <row r="669" spans="1:3" ht="12.75">
      <c r="A669" s="1124"/>
      <c r="B669" s="1124"/>
      <c r="C669" s="1124"/>
    </row>
    <row r="670" spans="1:3" ht="12.75">
      <c r="A670" s="1124"/>
      <c r="B670" s="1124"/>
      <c r="C670" s="1124"/>
    </row>
    <row r="671" spans="1:3" ht="12.75">
      <c r="A671" s="1124"/>
      <c r="B671" s="1124"/>
      <c r="C671" s="1124"/>
    </row>
    <row r="672" spans="1:3" ht="12.75">
      <c r="A672" s="1124"/>
      <c r="B672" s="1124"/>
      <c r="C672" s="1124"/>
    </row>
    <row r="673" spans="1:3" ht="12.75">
      <c r="A673" s="1124"/>
      <c r="B673" s="1124"/>
      <c r="C673" s="1124"/>
    </row>
    <row r="674" spans="1:3" ht="12.75">
      <c r="A674" s="1124"/>
      <c r="B674" s="1124"/>
      <c r="C674" s="1124"/>
    </row>
    <row r="675" spans="1:3" ht="12.75">
      <c r="A675" s="1124"/>
      <c r="B675" s="1124"/>
      <c r="C675" s="1124"/>
    </row>
    <row r="676" spans="1:3" ht="12.75">
      <c r="A676" s="1124"/>
      <c r="B676" s="1124"/>
      <c r="C676" s="1124"/>
    </row>
    <row r="677" spans="1:3" ht="12.75">
      <c r="A677" s="1124"/>
      <c r="B677" s="1124"/>
      <c r="C677" s="1124"/>
    </row>
    <row r="678" spans="1:3" ht="12.75">
      <c r="A678" s="1124"/>
      <c r="B678" s="1124"/>
      <c r="C678" s="1124"/>
    </row>
    <row r="679" spans="1:3" ht="12.75">
      <c r="A679" s="1124"/>
      <c r="B679" s="1124"/>
      <c r="C679" s="1124"/>
    </row>
    <row r="680" spans="1:3" ht="12.75">
      <c r="A680" s="1124"/>
      <c r="B680" s="1124"/>
      <c r="C680" s="1124"/>
    </row>
    <row r="681" spans="1:3" ht="12.75">
      <c r="A681" s="1124"/>
      <c r="B681" s="1124"/>
      <c r="C681" s="1124"/>
    </row>
    <row r="682" spans="1:3" ht="12.75">
      <c r="A682" s="1124"/>
      <c r="B682" s="1124"/>
      <c r="C682" s="1124"/>
    </row>
    <row r="683" spans="1:3" ht="12.75">
      <c r="A683" s="1124"/>
      <c r="B683" s="1124"/>
      <c r="C683" s="1124"/>
    </row>
    <row r="684" spans="1:3" ht="12.75">
      <c r="A684" s="1124"/>
      <c r="B684" s="1124"/>
      <c r="C684" s="1124"/>
    </row>
    <row r="685" spans="1:3" ht="12.75">
      <c r="A685" s="1124"/>
      <c r="B685" s="1124"/>
      <c r="C685" s="1124"/>
    </row>
    <row r="686" spans="1:3" ht="12.75">
      <c r="A686" s="1124"/>
      <c r="B686" s="1124"/>
      <c r="C686" s="1124"/>
    </row>
    <row r="687" spans="1:3" ht="12.75">
      <c r="A687" s="1124"/>
      <c r="B687" s="1124"/>
      <c r="C687" s="1124"/>
    </row>
    <row r="688" spans="1:3" ht="12.75">
      <c r="A688" s="1124"/>
      <c r="B688" s="1124"/>
      <c r="C688" s="1124"/>
    </row>
    <row r="689" spans="1:3" ht="12.75">
      <c r="A689" s="1124"/>
      <c r="B689" s="1124"/>
      <c r="C689" s="1124"/>
    </row>
    <row r="690" spans="1:3" ht="12.75">
      <c r="A690" s="1124"/>
      <c r="B690" s="1124"/>
      <c r="C690" s="1124"/>
    </row>
    <row r="691" spans="1:3" ht="12.75">
      <c r="A691" s="1124"/>
      <c r="B691" s="1124"/>
      <c r="C691" s="1124"/>
    </row>
    <row r="692" spans="1:3" ht="12.75">
      <c r="A692" s="1124"/>
      <c r="B692" s="1124"/>
      <c r="C692" s="1124"/>
    </row>
    <row r="693" spans="1:3" ht="12.75">
      <c r="A693" s="1124"/>
      <c r="B693" s="1124"/>
      <c r="C693" s="1124"/>
    </row>
    <row r="694" spans="1:3" ht="12.75">
      <c r="A694" s="1124"/>
      <c r="B694" s="1124"/>
      <c r="C694" s="1124"/>
    </row>
    <row r="695" spans="1:3" ht="12.75">
      <c r="A695" s="1124"/>
      <c r="B695" s="1124"/>
      <c r="C695" s="1124"/>
    </row>
    <row r="696" spans="1:3" ht="12.75">
      <c r="A696" s="1124"/>
      <c r="B696" s="1124"/>
      <c r="C696" s="1124"/>
    </row>
    <row r="697" spans="1:3" ht="12.75">
      <c r="A697" s="1124"/>
      <c r="B697" s="1124"/>
      <c r="C697" s="1124"/>
    </row>
    <row r="698" spans="1:3" ht="12.75">
      <c r="A698" s="1124"/>
      <c r="B698" s="1124"/>
      <c r="C698" s="1124"/>
    </row>
    <row r="699" spans="1:3" ht="12.75">
      <c r="A699" s="1124"/>
      <c r="B699" s="1124"/>
      <c r="C699" s="1124"/>
    </row>
    <row r="700" spans="1:3" ht="12.75">
      <c r="A700" s="1124"/>
      <c r="B700" s="1124"/>
      <c r="C700" s="1124"/>
    </row>
    <row r="701" spans="1:3" ht="12.75">
      <c r="A701" s="1124"/>
      <c r="B701" s="1124"/>
      <c r="C701" s="1124"/>
    </row>
    <row r="702" spans="1:3" ht="12.75">
      <c r="A702" s="1124"/>
      <c r="B702" s="1124"/>
      <c r="C702" s="1124"/>
    </row>
    <row r="703" spans="1:3" ht="12.75">
      <c r="A703" s="1124"/>
      <c r="B703" s="1124"/>
      <c r="C703" s="1124"/>
    </row>
    <row r="704" spans="1:3" ht="12.75">
      <c r="A704" s="1124"/>
      <c r="B704" s="1124"/>
      <c r="C704" s="1124"/>
    </row>
    <row r="705" spans="1:3" ht="12.75">
      <c r="A705" s="1124"/>
      <c r="B705" s="1124"/>
      <c r="C705" s="1124"/>
    </row>
    <row r="706" spans="1:3" ht="12.75">
      <c r="A706" s="1124"/>
      <c r="B706" s="1124"/>
      <c r="C706" s="1124"/>
    </row>
    <row r="707" spans="1:3" ht="12.75">
      <c r="A707" s="1124"/>
      <c r="B707" s="1124"/>
      <c r="C707" s="1124"/>
    </row>
    <row r="708" spans="1:3" ht="12.75">
      <c r="A708" s="1124"/>
      <c r="B708" s="1124"/>
      <c r="C708" s="1124"/>
    </row>
    <row r="709" spans="1:3" ht="12.75">
      <c r="A709" s="1124"/>
      <c r="B709" s="1124"/>
      <c r="C709" s="1124"/>
    </row>
    <row r="710" spans="1:3" ht="12.75">
      <c r="A710" s="1124"/>
      <c r="B710" s="1124"/>
      <c r="C710" s="1124"/>
    </row>
    <row r="711" spans="1:3" ht="12.75">
      <c r="A711" s="1124"/>
      <c r="B711" s="1124"/>
      <c r="C711" s="1124"/>
    </row>
    <row r="712" spans="1:3" ht="12.75">
      <c r="A712" s="1124"/>
      <c r="B712" s="1124"/>
      <c r="C712" s="1124"/>
    </row>
    <row r="713" spans="1:3" ht="12.75">
      <c r="A713" s="1124"/>
      <c r="B713" s="1124"/>
      <c r="C713" s="1124"/>
    </row>
    <row r="714" spans="1:3" ht="12.75">
      <c r="A714" s="1124"/>
      <c r="B714" s="1124"/>
      <c r="C714" s="1124"/>
    </row>
    <row r="715" spans="1:3" ht="12.75">
      <c r="A715" s="1124"/>
      <c r="B715" s="1124"/>
      <c r="C715" s="1124"/>
    </row>
    <row r="716" spans="1:3" ht="12.75">
      <c r="A716" s="1124"/>
      <c r="B716" s="1124"/>
      <c r="C716" s="1124"/>
    </row>
    <row r="717" spans="1:3" ht="12.75">
      <c r="A717" s="1124"/>
      <c r="B717" s="1124"/>
      <c r="C717" s="1124"/>
    </row>
    <row r="718" spans="1:3" ht="12.75">
      <c r="A718" s="1124"/>
      <c r="B718" s="1124"/>
      <c r="C718" s="1124"/>
    </row>
    <row r="719" spans="1:3" ht="12.75">
      <c r="A719" s="1124"/>
      <c r="B719" s="1124"/>
      <c r="C719" s="1124"/>
    </row>
    <row r="720" spans="1:3" ht="12.75">
      <c r="A720" s="1124"/>
      <c r="B720" s="1124"/>
      <c r="C720" s="1124"/>
    </row>
    <row r="721" spans="1:3" ht="12.75">
      <c r="A721" s="1124"/>
      <c r="B721" s="1124"/>
      <c r="C721" s="1124"/>
    </row>
    <row r="722" spans="1:3" ht="12.75">
      <c r="A722" s="1124"/>
      <c r="B722" s="1124"/>
      <c r="C722" s="1124"/>
    </row>
    <row r="723" spans="1:3" ht="12.75">
      <c r="A723" s="1124"/>
      <c r="B723" s="1124"/>
      <c r="C723" s="1124"/>
    </row>
    <row r="724" spans="1:3" ht="12.75">
      <c r="A724" s="1124"/>
      <c r="B724" s="1124"/>
      <c r="C724" s="1124"/>
    </row>
    <row r="725" spans="1:3" ht="12.75">
      <c r="A725" s="1124"/>
      <c r="B725" s="1124"/>
      <c r="C725" s="1124"/>
    </row>
    <row r="726" spans="1:3" ht="12.75">
      <c r="A726" s="1124"/>
      <c r="B726" s="1124"/>
      <c r="C726" s="1124"/>
    </row>
    <row r="727" spans="1:3" ht="12.75">
      <c r="A727" s="1124"/>
      <c r="B727" s="1124"/>
      <c r="C727" s="1124"/>
    </row>
    <row r="728" spans="1:3" ht="12.75">
      <c r="A728" s="1124"/>
      <c r="B728" s="1124"/>
      <c r="C728" s="1124"/>
    </row>
    <row r="729" spans="1:3" ht="12.75">
      <c r="A729" s="1124"/>
      <c r="B729" s="1124"/>
      <c r="C729" s="1124"/>
    </row>
    <row r="730" spans="1:3" ht="12.75">
      <c r="A730" s="1124"/>
      <c r="B730" s="1124"/>
      <c r="C730" s="1124"/>
    </row>
    <row r="731" spans="1:3" ht="12.75">
      <c r="A731" s="1124"/>
      <c r="B731" s="1124"/>
      <c r="C731" s="1124"/>
    </row>
    <row r="732" spans="1:3" ht="12.75">
      <c r="A732" s="1124"/>
      <c r="B732" s="1124"/>
      <c r="C732" s="1124"/>
    </row>
    <row r="733" spans="1:3" ht="12.75">
      <c r="A733" s="1124"/>
      <c r="B733" s="1124"/>
      <c r="C733" s="1124"/>
    </row>
    <row r="734" spans="1:3" ht="12.75">
      <c r="A734" s="1124"/>
      <c r="B734" s="1124"/>
      <c r="C734" s="1124"/>
    </row>
    <row r="735" spans="1:3" ht="12.75">
      <c r="A735" s="1124"/>
      <c r="B735" s="1124"/>
      <c r="C735" s="1124"/>
    </row>
    <row r="736" spans="1:3" ht="12.75">
      <c r="A736" s="1124"/>
      <c r="B736" s="1124"/>
      <c r="C736" s="1124"/>
    </row>
    <row r="737" spans="1:3" ht="12.75">
      <c r="A737" s="1124"/>
      <c r="B737" s="1124"/>
      <c r="C737" s="1124"/>
    </row>
    <row r="738" spans="1:3" ht="12.75">
      <c r="A738" s="1124"/>
      <c r="B738" s="1124"/>
      <c r="C738" s="1124"/>
    </row>
    <row r="739" spans="1:3" ht="12.75">
      <c r="A739" s="1124"/>
      <c r="B739" s="1124"/>
      <c r="C739" s="1124"/>
    </row>
    <row r="740" spans="1:3" ht="12.75">
      <c r="A740" s="1124"/>
      <c r="B740" s="1124"/>
      <c r="C740" s="1124"/>
    </row>
    <row r="741" spans="1:3" ht="12.75">
      <c r="A741" s="1124"/>
      <c r="B741" s="1124"/>
      <c r="C741" s="1124"/>
    </row>
    <row r="742" spans="1:3" ht="12.75">
      <c r="A742" s="1124"/>
      <c r="B742" s="1124"/>
      <c r="C742" s="1124"/>
    </row>
    <row r="743" spans="1:3" ht="12.75">
      <c r="A743" s="1124"/>
      <c r="B743" s="1124"/>
      <c r="C743" s="1124"/>
    </row>
    <row r="744" spans="1:3" ht="12.75">
      <c r="A744" s="1124"/>
      <c r="B744" s="1124"/>
      <c r="C744" s="1124"/>
    </row>
    <row r="745" spans="1:3" ht="12.75">
      <c r="A745" s="1124"/>
      <c r="B745" s="1124"/>
      <c r="C745" s="1124"/>
    </row>
    <row r="746" spans="1:3" ht="12.75">
      <c r="A746" s="1124"/>
      <c r="B746" s="1124"/>
      <c r="C746" s="1124"/>
    </row>
    <row r="747" spans="1:3" ht="12.75">
      <c r="A747" s="1124"/>
      <c r="B747" s="1124"/>
      <c r="C747" s="1124"/>
    </row>
    <row r="748" spans="1:3" ht="12.75">
      <c r="A748" s="1124"/>
      <c r="B748" s="1124"/>
      <c r="C748" s="1124"/>
    </row>
    <row r="749" spans="1:3" ht="12.75">
      <c r="A749" s="1124"/>
      <c r="B749" s="1124"/>
      <c r="C749" s="1124"/>
    </row>
    <row r="750" spans="1:3" ht="12.75">
      <c r="A750" s="1124"/>
      <c r="B750" s="1124"/>
      <c r="C750" s="1124"/>
    </row>
    <row r="751" spans="1:3" ht="12.75">
      <c r="A751" s="1124"/>
      <c r="B751" s="1124"/>
      <c r="C751" s="1124"/>
    </row>
    <row r="752" spans="1:3" ht="12.75">
      <c r="A752" s="1124"/>
      <c r="B752" s="1124"/>
      <c r="C752" s="1124"/>
    </row>
    <row r="753" spans="1:3" ht="12.75">
      <c r="A753" s="1124"/>
      <c r="B753" s="1124"/>
      <c r="C753" s="1124"/>
    </row>
    <row r="754" spans="1:3" ht="12.75">
      <c r="A754" s="1124"/>
      <c r="B754" s="1124"/>
      <c r="C754" s="1124"/>
    </row>
    <row r="755" spans="1:3" ht="12.75">
      <c r="A755" s="1124"/>
      <c r="B755" s="1124"/>
      <c r="C755" s="1124"/>
    </row>
    <row r="756" spans="1:3" ht="12.75">
      <c r="A756" s="1124"/>
      <c r="B756" s="1124"/>
      <c r="C756" s="1124"/>
    </row>
    <row r="757" spans="1:3" ht="12.75">
      <c r="A757" s="1124"/>
      <c r="B757" s="1124"/>
      <c r="C757" s="1124"/>
    </row>
    <row r="758" spans="1:3" ht="12.75">
      <c r="A758" s="1124"/>
      <c r="B758" s="1124"/>
      <c r="C758" s="1124"/>
    </row>
    <row r="759" spans="1:3" ht="12.75">
      <c r="A759" s="1124"/>
      <c r="B759" s="1124"/>
      <c r="C759" s="1124"/>
    </row>
    <row r="760" spans="1:3" ht="12.75">
      <c r="A760" s="1124"/>
      <c r="B760" s="1124"/>
      <c r="C760" s="1124"/>
    </row>
    <row r="761" spans="1:3" ht="12.75">
      <c r="A761" s="1124"/>
      <c r="B761" s="1124"/>
      <c r="C761" s="1124"/>
    </row>
    <row r="762" spans="1:3" ht="12.75">
      <c r="A762" s="1124"/>
      <c r="B762" s="1124"/>
      <c r="C762" s="1124"/>
    </row>
    <row r="763" spans="1:3" ht="12.75">
      <c r="A763" s="1124"/>
      <c r="B763" s="1124"/>
      <c r="C763" s="1124"/>
    </row>
    <row r="764" spans="1:3" ht="12.75">
      <c r="A764" s="1124"/>
      <c r="B764" s="1124"/>
      <c r="C764" s="1124"/>
    </row>
    <row r="765" spans="1:3" ht="12.75">
      <c r="A765" s="1124"/>
      <c r="B765" s="1124"/>
      <c r="C765" s="1124"/>
    </row>
    <row r="766" spans="1:3" ht="12.75">
      <c r="A766" s="1124"/>
      <c r="B766" s="1124"/>
      <c r="C766" s="1124"/>
    </row>
    <row r="767" spans="1:3" ht="12.75">
      <c r="A767" s="1124"/>
      <c r="B767" s="1124"/>
      <c r="C767" s="1124"/>
    </row>
    <row r="768" spans="1:3" ht="12.75">
      <c r="A768" s="1124"/>
      <c r="B768" s="1124"/>
      <c r="C768" s="1124"/>
    </row>
    <row r="769" spans="1:3" ht="12.75">
      <c r="A769" s="1124"/>
      <c r="B769" s="1124"/>
      <c r="C769" s="1124"/>
    </row>
    <row r="770" spans="1:3" ht="12.75">
      <c r="A770" s="1124"/>
      <c r="B770" s="1124"/>
      <c r="C770" s="1124"/>
    </row>
    <row r="771" spans="1:3" ht="12.75">
      <c r="A771" s="1124"/>
      <c r="B771" s="1124"/>
      <c r="C771" s="1124"/>
    </row>
    <row r="772" spans="1:3" ht="12.75">
      <c r="A772" s="1124"/>
      <c r="B772" s="1124"/>
      <c r="C772" s="1124"/>
    </row>
    <row r="773" spans="1:3" ht="12.75">
      <c r="A773" s="1124"/>
      <c r="B773" s="1124"/>
      <c r="C773" s="1124"/>
    </row>
    <row r="774" spans="1:3" ht="12.75">
      <c r="A774" s="1124"/>
      <c r="B774" s="1124"/>
      <c r="C774" s="1124"/>
    </row>
    <row r="775" spans="1:3" ht="12.75">
      <c r="A775" s="1124"/>
      <c r="B775" s="1124"/>
      <c r="C775" s="1124"/>
    </row>
    <row r="776" spans="1:3" ht="12.75">
      <c r="A776" s="1124"/>
      <c r="B776" s="1124"/>
      <c r="C776" s="1124"/>
    </row>
    <row r="777" spans="1:3" ht="12.75">
      <c r="A777" s="1124"/>
      <c r="B777" s="1124"/>
      <c r="C777" s="1124"/>
    </row>
    <row r="778" spans="1:3" ht="12.75">
      <c r="A778" s="1124"/>
      <c r="B778" s="1124"/>
      <c r="C778" s="1124"/>
    </row>
    <row r="779" spans="1:3" ht="12.75">
      <c r="A779" s="1124"/>
      <c r="B779" s="1124"/>
      <c r="C779" s="1124"/>
    </row>
    <row r="780" spans="1:3" ht="12.75">
      <c r="A780" s="1124"/>
      <c r="B780" s="1124"/>
      <c r="C780" s="1124"/>
    </row>
    <row r="781" spans="1:3" ht="12.75">
      <c r="A781" s="1124"/>
      <c r="B781" s="1124"/>
      <c r="C781" s="1124"/>
    </row>
    <row r="782" spans="1:3" ht="12.75">
      <c r="A782" s="1124"/>
      <c r="B782" s="1124"/>
      <c r="C782" s="1124"/>
    </row>
    <row r="783" spans="1:3" ht="12.75">
      <c r="A783" s="1124"/>
      <c r="B783" s="1124"/>
      <c r="C783" s="1124"/>
    </row>
    <row r="784" spans="1:3" ht="12.75">
      <c r="A784" s="1124"/>
      <c r="B784" s="1124"/>
      <c r="C784" s="1124"/>
    </row>
    <row r="785" spans="1:3" ht="12.75">
      <c r="A785" s="1124"/>
      <c r="B785" s="1124"/>
      <c r="C785" s="1124"/>
    </row>
    <row r="786" spans="1:3" ht="12.75">
      <c r="A786" s="1124"/>
      <c r="B786" s="1124"/>
      <c r="C786" s="1124"/>
    </row>
    <row r="787" spans="1:3" ht="12.75">
      <c r="A787" s="1124"/>
      <c r="B787" s="1124"/>
      <c r="C787" s="1124"/>
    </row>
    <row r="788" spans="1:3" ht="12.75">
      <c r="A788" s="1124"/>
      <c r="B788" s="1124"/>
      <c r="C788" s="1124"/>
    </row>
    <row r="789" spans="1:3" ht="12.75">
      <c r="A789" s="1124"/>
      <c r="B789" s="1124"/>
      <c r="C789" s="1124"/>
    </row>
    <row r="790" spans="1:3" ht="12.75">
      <c r="A790" s="1124"/>
      <c r="B790" s="1124"/>
      <c r="C790" s="1124"/>
    </row>
    <row r="791" spans="1:3" ht="12.75">
      <c r="A791" s="1124"/>
      <c r="B791" s="1124"/>
      <c r="C791" s="1124"/>
    </row>
    <row r="792" spans="1:3" ht="12.75">
      <c r="A792" s="1124"/>
      <c r="B792" s="1124"/>
      <c r="C792" s="1124"/>
    </row>
    <row r="793" spans="1:3" ht="12.75">
      <c r="A793" s="1124"/>
      <c r="B793" s="1124"/>
      <c r="C793" s="1124"/>
    </row>
    <row r="794" spans="1:3" ht="12.75">
      <c r="A794" s="1124"/>
      <c r="B794" s="1124"/>
      <c r="C794" s="1124"/>
    </row>
    <row r="795" spans="1:3" ht="12.75">
      <c r="A795" s="1124"/>
      <c r="B795" s="1124"/>
      <c r="C795" s="1124"/>
    </row>
    <row r="796" spans="1:3" ht="12.75">
      <c r="A796" s="1124"/>
      <c r="B796" s="1124"/>
      <c r="C796" s="1124"/>
    </row>
    <row r="797" spans="1:3" ht="12.75">
      <c r="A797" s="1124"/>
      <c r="B797" s="1124"/>
      <c r="C797" s="1124"/>
    </row>
    <row r="798" spans="1:3" ht="12.75">
      <c r="A798" s="1124"/>
      <c r="B798" s="1124"/>
      <c r="C798" s="1124"/>
    </row>
    <row r="799" spans="1:3" ht="12.75">
      <c r="A799" s="1124"/>
      <c r="B799" s="1124"/>
      <c r="C799" s="1124"/>
    </row>
    <row r="800" spans="1:3" ht="12.75">
      <c r="A800" s="1124"/>
      <c r="B800" s="1124"/>
      <c r="C800" s="1124"/>
    </row>
    <row r="801" spans="1:3" ht="12.75">
      <c r="A801" s="1124"/>
      <c r="B801" s="1124"/>
      <c r="C801" s="1124"/>
    </row>
    <row r="802" spans="1:3" ht="12.75">
      <c r="A802" s="1124"/>
      <c r="B802" s="1124"/>
      <c r="C802" s="1124"/>
    </row>
    <row r="803" spans="1:3" ht="12.75">
      <c r="A803" s="1124"/>
      <c r="B803" s="1124"/>
      <c r="C803" s="1124"/>
    </row>
    <row r="804" spans="1:3" ht="12.75">
      <c r="A804" s="1124"/>
      <c r="B804" s="1124"/>
      <c r="C804" s="1124"/>
    </row>
    <row r="805" spans="1:3" ht="12.75">
      <c r="A805" s="1124"/>
      <c r="B805" s="1124"/>
      <c r="C805" s="1124"/>
    </row>
    <row r="806" spans="1:3" ht="12.75">
      <c r="A806" s="1124"/>
      <c r="B806" s="1124"/>
      <c r="C806" s="1124"/>
    </row>
    <row r="807" spans="1:3" ht="12.75">
      <c r="A807" s="1124"/>
      <c r="B807" s="1124"/>
      <c r="C807" s="1124"/>
    </row>
    <row r="808" spans="1:3" ht="12.75">
      <c r="A808" s="1124"/>
      <c r="B808" s="1124"/>
      <c r="C808" s="1124"/>
    </row>
    <row r="809" spans="1:3" ht="12.75">
      <c r="A809" s="1124"/>
      <c r="B809" s="1124"/>
      <c r="C809" s="1124"/>
    </row>
    <row r="810" spans="1:3" ht="12.75">
      <c r="A810" s="1124"/>
      <c r="B810" s="1124"/>
      <c r="C810" s="1124"/>
    </row>
    <row r="811" spans="1:3" ht="12.75">
      <c r="A811" s="1124"/>
      <c r="B811" s="1124"/>
      <c r="C811" s="1124"/>
    </row>
    <row r="812" spans="1:3" ht="12.75">
      <c r="A812" s="1124"/>
      <c r="B812" s="1124"/>
      <c r="C812" s="1124"/>
    </row>
    <row r="813" spans="1:3" ht="12.75">
      <c r="A813" s="1124"/>
      <c r="B813" s="1124"/>
      <c r="C813" s="1124"/>
    </row>
    <row r="814" spans="1:3" ht="12.75">
      <c r="A814" s="1124"/>
      <c r="B814" s="1124"/>
      <c r="C814" s="1124"/>
    </row>
    <row r="815" spans="1:3" ht="12.75">
      <c r="A815" s="1124"/>
      <c r="B815" s="1124"/>
      <c r="C815" s="1124"/>
    </row>
    <row r="816" spans="1:3" ht="12.75">
      <c r="A816" s="1124"/>
      <c r="B816" s="1124"/>
      <c r="C816" s="1124"/>
    </row>
    <row r="817" spans="1:3" ht="12.75">
      <c r="A817" s="1124"/>
      <c r="B817" s="1124"/>
      <c r="C817" s="1124"/>
    </row>
    <row r="818" spans="1:3" ht="12.75">
      <c r="A818" s="1124"/>
      <c r="B818" s="1124"/>
      <c r="C818" s="1124"/>
    </row>
    <row r="819" spans="1:3" ht="12.75">
      <c r="A819" s="1124"/>
      <c r="B819" s="1124"/>
      <c r="C819" s="1124"/>
    </row>
    <row r="820" spans="1:3" ht="12.75">
      <c r="A820" s="1124"/>
      <c r="B820" s="1124"/>
      <c r="C820" s="1124"/>
    </row>
    <row r="821" spans="1:3" ht="12.75">
      <c r="A821" s="1124"/>
      <c r="B821" s="1124"/>
      <c r="C821" s="1124"/>
    </row>
    <row r="822" spans="1:3" ht="12.75">
      <c r="A822" s="1124"/>
      <c r="B822" s="1124"/>
      <c r="C822" s="1124"/>
    </row>
    <row r="823" spans="1:3" ht="12.75">
      <c r="A823" s="1124"/>
      <c r="B823" s="1124"/>
      <c r="C823" s="1124"/>
    </row>
    <row r="824" spans="1:3" ht="12.75">
      <c r="A824" s="1124"/>
      <c r="B824" s="1124"/>
      <c r="C824" s="1124"/>
    </row>
    <row r="825" spans="1:3" ht="12.75">
      <c r="A825" s="1124"/>
      <c r="B825" s="1124"/>
      <c r="C825" s="1124"/>
    </row>
    <row r="826" spans="1:3" ht="12.75">
      <c r="A826" s="1124"/>
      <c r="B826" s="1124"/>
      <c r="C826" s="1124"/>
    </row>
    <row r="827" spans="1:3" ht="12.75">
      <c r="A827" s="1124"/>
      <c r="B827" s="1124"/>
      <c r="C827" s="1124"/>
    </row>
    <row r="828" spans="1:3" ht="12.75">
      <c r="A828" s="1124"/>
      <c r="B828" s="1124"/>
      <c r="C828" s="1124"/>
    </row>
    <row r="829" spans="1:3" ht="12.75">
      <c r="A829" s="1124"/>
      <c r="B829" s="1124"/>
      <c r="C829" s="1124"/>
    </row>
    <row r="830" spans="1:3" ht="12.75">
      <c r="A830" s="1124"/>
      <c r="B830" s="1124"/>
      <c r="C830" s="1124"/>
    </row>
    <row r="831" spans="1:3" ht="12.75">
      <c r="A831" s="1124"/>
      <c r="B831" s="1124"/>
      <c r="C831" s="1124"/>
    </row>
    <row r="832" spans="1:3" ht="12.75">
      <c r="A832" s="1124"/>
      <c r="B832" s="1124"/>
      <c r="C832" s="1124"/>
    </row>
    <row r="833" spans="1:3" ht="12.75">
      <c r="A833" s="1124"/>
      <c r="B833" s="1124"/>
      <c r="C833" s="1124"/>
    </row>
    <row r="834" spans="1:3" ht="12.75">
      <c r="A834" s="1124"/>
      <c r="B834" s="1124"/>
      <c r="C834" s="1124"/>
    </row>
    <row r="835" spans="1:3" ht="12.75">
      <c r="A835" s="1124"/>
      <c r="B835" s="1124"/>
      <c r="C835" s="1124"/>
    </row>
    <row r="836" spans="1:3" ht="12.75">
      <c r="A836" s="1124"/>
      <c r="B836" s="1124"/>
      <c r="C836" s="1124"/>
    </row>
    <row r="837" spans="1:3" ht="12.75">
      <c r="A837" s="1124"/>
      <c r="B837" s="1124"/>
      <c r="C837" s="1124"/>
    </row>
    <row r="838" spans="1:3" ht="12.75">
      <c r="A838" s="1124"/>
      <c r="B838" s="1124"/>
      <c r="C838" s="1124"/>
    </row>
    <row r="839" spans="1:3" ht="12.75">
      <c r="A839" s="1124"/>
      <c r="B839" s="1124"/>
      <c r="C839" s="1124"/>
    </row>
    <row r="840" spans="1:3" ht="12.75">
      <c r="A840" s="1124"/>
      <c r="B840" s="1124"/>
      <c r="C840" s="1124"/>
    </row>
    <row r="841" spans="1:3" ht="12.75">
      <c r="A841" s="1124"/>
      <c r="B841" s="1124"/>
      <c r="C841" s="1124"/>
    </row>
    <row r="842" spans="1:3" ht="12.75">
      <c r="A842" s="1124"/>
      <c r="B842" s="1124"/>
      <c r="C842" s="1124"/>
    </row>
    <row r="843" spans="1:3" ht="12.75">
      <c r="A843" s="1124"/>
      <c r="B843" s="1124"/>
      <c r="C843" s="1124"/>
    </row>
    <row r="844" spans="1:3" ht="12.75">
      <c r="A844" s="1124"/>
      <c r="B844" s="1124"/>
      <c r="C844" s="1124"/>
    </row>
    <row r="845" spans="1:3" ht="12.75">
      <c r="A845" s="1124"/>
      <c r="B845" s="1124"/>
      <c r="C845" s="1124"/>
    </row>
    <row r="846" spans="1:3" ht="12.75">
      <c r="A846" s="1124"/>
      <c r="B846" s="1124"/>
      <c r="C846" s="1124"/>
    </row>
    <row r="847" spans="1:3" ht="12.75">
      <c r="A847" s="1124"/>
      <c r="B847" s="1124"/>
      <c r="C847" s="1124"/>
    </row>
    <row r="848" spans="1:3" ht="12.75">
      <c r="A848" s="1124"/>
      <c r="B848" s="1124"/>
      <c r="C848" s="1124"/>
    </row>
    <row r="849" spans="1:3" ht="12.75">
      <c r="A849" s="1124"/>
      <c r="B849" s="1124"/>
      <c r="C849" s="1124"/>
    </row>
    <row r="850" spans="1:3" ht="12.75">
      <c r="A850" s="1124"/>
      <c r="B850" s="1124"/>
      <c r="C850" s="1124"/>
    </row>
    <row r="851" spans="1:3" ht="12.75">
      <c r="A851" s="1124"/>
      <c r="B851" s="1124"/>
      <c r="C851" s="1124"/>
    </row>
    <row r="852" spans="1:3" ht="12.75">
      <c r="A852" s="1124"/>
      <c r="B852" s="1124"/>
      <c r="C852" s="1124"/>
    </row>
    <row r="853" spans="1:3" ht="12.75">
      <c r="A853" s="1124"/>
      <c r="B853" s="1124"/>
      <c r="C853" s="1124"/>
    </row>
    <row r="854" spans="1:3" ht="12.75">
      <c r="A854" s="1124"/>
      <c r="B854" s="1124"/>
      <c r="C854" s="1124"/>
    </row>
    <row r="855" spans="1:3" ht="12.75">
      <c r="A855" s="1124"/>
      <c r="B855" s="1124"/>
      <c r="C855" s="1124"/>
    </row>
    <row r="856" spans="1:3" ht="12.75">
      <c r="A856" s="1124"/>
      <c r="B856" s="1124"/>
      <c r="C856" s="1124"/>
    </row>
    <row r="857" spans="1:3" ht="12.75">
      <c r="A857" s="1124"/>
      <c r="B857" s="1124"/>
      <c r="C857" s="1124"/>
    </row>
    <row r="858" spans="1:3" ht="12.75">
      <c r="A858" s="1124"/>
      <c r="B858" s="1124"/>
      <c r="C858" s="1124"/>
    </row>
    <row r="859" spans="1:3" ht="12.75">
      <c r="A859" s="1124"/>
      <c r="B859" s="1124"/>
      <c r="C859" s="1124"/>
    </row>
    <row r="860" spans="1:3" ht="12.75">
      <c r="A860" s="1124"/>
      <c r="B860" s="1124"/>
      <c r="C860" s="1124"/>
    </row>
    <row r="861" spans="1:3" ht="12.75">
      <c r="A861" s="1124"/>
      <c r="B861" s="1124"/>
      <c r="C861" s="1124"/>
    </row>
    <row r="862" spans="1:3" ht="12.75">
      <c r="A862" s="1124"/>
      <c r="B862" s="1124"/>
      <c r="C862" s="1124"/>
    </row>
    <row r="863" spans="1:3" ht="12.75">
      <c r="A863" s="1124"/>
      <c r="B863" s="1124"/>
      <c r="C863" s="1124"/>
    </row>
    <row r="864" spans="1:3" ht="12.75">
      <c r="A864" s="1124"/>
      <c r="B864" s="1124"/>
      <c r="C864" s="1124"/>
    </row>
    <row r="865" spans="1:3" ht="12.75">
      <c r="A865" s="1124"/>
      <c r="B865" s="1124"/>
      <c r="C865" s="1124"/>
    </row>
    <row r="866" spans="1:3" ht="12.75">
      <c r="A866" s="1124"/>
      <c r="B866" s="1124"/>
      <c r="C866" s="1124"/>
    </row>
    <row r="867" spans="1:3" ht="12.75">
      <c r="A867" s="1124"/>
      <c r="B867" s="1124"/>
      <c r="C867" s="1124"/>
    </row>
    <row r="868" spans="1:3" ht="12.75">
      <c r="A868" s="1124"/>
      <c r="B868" s="1124"/>
      <c r="C868" s="1124"/>
    </row>
    <row r="869" spans="1:3" ht="12.75">
      <c r="A869" s="1124"/>
      <c r="B869" s="1124"/>
      <c r="C869" s="1124"/>
    </row>
    <row r="870" spans="1:3" ht="12.75">
      <c r="A870" s="1124"/>
      <c r="B870" s="1124"/>
      <c r="C870" s="1124"/>
    </row>
    <row r="871" spans="1:3" ht="12.75">
      <c r="A871" s="1124"/>
      <c r="B871" s="1124"/>
      <c r="C871" s="1124"/>
    </row>
    <row r="872" spans="1:3" ht="12.75">
      <c r="A872" s="1124"/>
      <c r="B872" s="1124"/>
      <c r="C872" s="1124"/>
    </row>
    <row r="873" spans="1:3" ht="12.75">
      <c r="A873" s="1124"/>
      <c r="B873" s="1124"/>
      <c r="C873" s="1124"/>
    </row>
    <row r="874" spans="1:3" ht="12.75">
      <c r="A874" s="1124"/>
      <c r="B874" s="1124"/>
      <c r="C874" s="1124"/>
    </row>
    <row r="875" spans="1:3" ht="12.75">
      <c r="A875" s="1124"/>
      <c r="B875" s="1124"/>
      <c r="C875" s="1124"/>
    </row>
    <row r="876" spans="1:3" ht="12.75">
      <c r="A876" s="1124"/>
      <c r="B876" s="1124"/>
      <c r="C876" s="1124"/>
    </row>
    <row r="877" spans="1:3" ht="12.75">
      <c r="A877" s="1124"/>
      <c r="B877" s="1124"/>
      <c r="C877" s="1124"/>
    </row>
    <row r="878" spans="1:3" ht="12.75">
      <c r="A878" s="1124"/>
      <c r="B878" s="1124"/>
      <c r="C878" s="1124"/>
    </row>
    <row r="879" spans="1:3" ht="12.75">
      <c r="A879" s="1124"/>
      <c r="B879" s="1124"/>
      <c r="C879" s="1124"/>
    </row>
    <row r="880" spans="1:3" ht="12.75">
      <c r="A880" s="1124"/>
      <c r="B880" s="1124"/>
      <c r="C880" s="1124"/>
    </row>
    <row r="881" spans="1:3" ht="12.75">
      <c r="A881" s="1124"/>
      <c r="B881" s="1124"/>
      <c r="C881" s="1124"/>
    </row>
    <row r="882" spans="1:3" ht="12.75">
      <c r="A882" s="1124"/>
      <c r="B882" s="1124"/>
      <c r="C882" s="1124"/>
    </row>
    <row r="883" spans="1:3" ht="12.75">
      <c r="A883" s="1124"/>
      <c r="B883" s="1124"/>
      <c r="C883" s="1124"/>
    </row>
    <row r="884" spans="1:3" ht="12.75">
      <c r="A884" s="1124"/>
      <c r="B884" s="1124"/>
      <c r="C884" s="1124"/>
    </row>
    <row r="885" spans="1:3" ht="12.75">
      <c r="A885" s="1124"/>
      <c r="B885" s="1124"/>
      <c r="C885" s="1124"/>
    </row>
    <row r="886" spans="1:3" ht="12.75">
      <c r="A886" s="1124"/>
      <c r="B886" s="1124"/>
      <c r="C886" s="1124"/>
    </row>
    <row r="887" spans="1:3" ht="12.75">
      <c r="A887" s="1124"/>
      <c r="B887" s="1124"/>
      <c r="C887" s="1124"/>
    </row>
    <row r="888" spans="1:3" ht="12.75">
      <c r="A888" s="1124"/>
      <c r="B888" s="1124"/>
      <c r="C888" s="1124"/>
    </row>
    <row r="889" spans="1:3" ht="12.75">
      <c r="A889" s="1124"/>
      <c r="B889" s="1124"/>
      <c r="C889" s="1124"/>
    </row>
    <row r="890" spans="1:3" ht="12.75">
      <c r="A890" s="1124"/>
      <c r="B890" s="1124"/>
      <c r="C890" s="1124"/>
    </row>
    <row r="891" spans="1:3" ht="12.75">
      <c r="A891" s="1124"/>
      <c r="B891" s="1124"/>
      <c r="C891" s="1124"/>
    </row>
    <row r="892" spans="1:3" ht="12.75">
      <c r="A892" s="1124"/>
      <c r="B892" s="1124"/>
      <c r="C892" s="1124"/>
    </row>
    <row r="893" spans="1:3" ht="12.75">
      <c r="A893" s="1124"/>
      <c r="B893" s="1124"/>
      <c r="C893" s="1124"/>
    </row>
    <row r="894" spans="1:3" ht="12.75">
      <c r="A894" s="1124"/>
      <c r="B894" s="1124"/>
      <c r="C894" s="1124"/>
    </row>
    <row r="895" spans="1:3" ht="12.75">
      <c r="A895" s="1124"/>
      <c r="B895" s="1124"/>
      <c r="C895" s="1124"/>
    </row>
    <row r="896" spans="1:3" ht="12.75">
      <c r="A896" s="1124"/>
      <c r="B896" s="1124"/>
      <c r="C896" s="1124"/>
    </row>
    <row r="897" spans="1:3" ht="12.75">
      <c r="A897" s="1124"/>
      <c r="B897" s="1124"/>
      <c r="C897" s="1124"/>
    </row>
    <row r="898" spans="1:3" ht="12.75">
      <c r="A898" s="1124"/>
      <c r="B898" s="1124"/>
      <c r="C898" s="1124"/>
    </row>
    <row r="899" spans="1:3" ht="12.75">
      <c r="A899" s="1124"/>
      <c r="B899" s="1124"/>
      <c r="C899" s="1124"/>
    </row>
    <row r="900" spans="1:3" ht="12.75">
      <c r="A900" s="1124"/>
      <c r="B900" s="1124"/>
      <c r="C900" s="1124"/>
    </row>
    <row r="901" spans="1:3" ht="12.75">
      <c r="A901" s="1124"/>
      <c r="B901" s="1124"/>
      <c r="C901" s="1124"/>
    </row>
    <row r="902" spans="1:3" ht="12.75">
      <c r="A902" s="1124"/>
      <c r="B902" s="1124"/>
      <c r="C902" s="1124"/>
    </row>
    <row r="903" spans="1:3" ht="12.75">
      <c r="A903" s="1124"/>
      <c r="B903" s="1124"/>
      <c r="C903" s="1124"/>
    </row>
    <row r="904" spans="1:3" ht="12.75">
      <c r="A904" s="1124"/>
      <c r="B904" s="1124"/>
      <c r="C904" s="1124"/>
    </row>
    <row r="905" spans="1:3" ht="12.75">
      <c r="A905" s="1124"/>
      <c r="B905" s="1124"/>
      <c r="C905" s="1124"/>
    </row>
    <row r="906" spans="1:3" ht="12.75">
      <c r="A906" s="1124"/>
      <c r="B906" s="1124"/>
      <c r="C906" s="1124"/>
    </row>
    <row r="907" spans="1:3" ht="12.75">
      <c r="A907" s="1124"/>
      <c r="B907" s="1124"/>
      <c r="C907" s="1124"/>
    </row>
    <row r="908" spans="1:3" ht="12.75">
      <c r="A908" s="1124"/>
      <c r="B908" s="1124"/>
      <c r="C908" s="1124"/>
    </row>
    <row r="909" spans="1:3" ht="12.75">
      <c r="A909" s="1124"/>
      <c r="B909" s="1124"/>
      <c r="C909" s="1124"/>
    </row>
    <row r="910" spans="1:3" ht="12.75">
      <c r="A910" s="1124"/>
      <c r="B910" s="1124"/>
      <c r="C910" s="1124"/>
    </row>
    <row r="911" spans="1:3" ht="12.75">
      <c r="A911" s="1124"/>
      <c r="B911" s="1124"/>
      <c r="C911" s="1124"/>
    </row>
    <row r="912" spans="1:3" ht="12.75">
      <c r="A912" s="1124"/>
      <c r="B912" s="1124"/>
      <c r="C912" s="1124"/>
    </row>
    <row r="913" spans="1:3" ht="12.75">
      <c r="A913" s="1124"/>
      <c r="B913" s="1124"/>
      <c r="C913" s="1124"/>
    </row>
    <row r="914" spans="1:3" ht="12.75">
      <c r="A914" s="1124"/>
      <c r="B914" s="1124"/>
      <c r="C914" s="1124"/>
    </row>
    <row r="915" spans="1:3" ht="12.75">
      <c r="A915" s="1124"/>
      <c r="B915" s="1124"/>
      <c r="C915" s="1124"/>
    </row>
    <row r="916" spans="1:3" ht="12.75">
      <c r="A916" s="1124"/>
      <c r="B916" s="1124"/>
      <c r="C916" s="1124"/>
    </row>
    <row r="917" spans="1:3" ht="12.75">
      <c r="A917" s="1124"/>
      <c r="B917" s="1124"/>
      <c r="C917" s="1124"/>
    </row>
    <row r="918" spans="1:3" ht="12.75">
      <c r="A918" s="1124"/>
      <c r="B918" s="1124"/>
      <c r="C918" s="1124"/>
    </row>
    <row r="919" spans="1:3" ht="12.75">
      <c r="A919" s="1124"/>
      <c r="B919" s="1124"/>
      <c r="C919" s="1124"/>
    </row>
    <row r="920" spans="1:3" ht="12.75">
      <c r="A920" s="1124"/>
      <c r="B920" s="1124"/>
      <c r="C920" s="1124"/>
    </row>
    <row r="921" spans="1:3" ht="12.75">
      <c r="A921" s="1124"/>
      <c r="B921" s="1124"/>
      <c r="C921" s="1124"/>
    </row>
    <row r="922" spans="1:3" ht="12.75">
      <c r="A922" s="1124"/>
      <c r="B922" s="1124"/>
      <c r="C922" s="1124"/>
    </row>
    <row r="923" spans="1:3" ht="12.75">
      <c r="A923" s="1124"/>
      <c r="B923" s="1124"/>
      <c r="C923" s="1124"/>
    </row>
    <row r="924" spans="1:3" ht="12.75">
      <c r="A924" s="1124"/>
      <c r="B924" s="1124"/>
      <c r="C924" s="1124"/>
    </row>
    <row r="925" spans="1:3" ht="12.75">
      <c r="A925" s="1124"/>
      <c r="B925" s="1124"/>
      <c r="C925" s="1124"/>
    </row>
    <row r="926" spans="1:3" ht="12.75">
      <c r="A926" s="1124"/>
      <c r="B926" s="1124"/>
      <c r="C926" s="1124"/>
    </row>
    <row r="927" spans="1:3" ht="12.75">
      <c r="A927" s="1124"/>
      <c r="B927" s="1124"/>
      <c r="C927" s="1124"/>
    </row>
    <row r="928" spans="1:3" ht="12.75">
      <c r="A928" s="1124"/>
      <c r="B928" s="1124"/>
      <c r="C928" s="1124"/>
    </row>
    <row r="929" spans="1:3" ht="12.75">
      <c r="A929" s="1124"/>
      <c r="B929" s="1124"/>
      <c r="C929" s="1124"/>
    </row>
    <row r="930" spans="1:3" ht="12.75">
      <c r="A930" s="1124"/>
      <c r="B930" s="1124"/>
      <c r="C930" s="1124"/>
    </row>
    <row r="931" spans="1:3" ht="12.75">
      <c r="A931" s="1124"/>
      <c r="B931" s="1124"/>
      <c r="C931" s="1124"/>
    </row>
    <row r="932" spans="1:3" ht="12.75">
      <c r="A932" s="1124"/>
      <c r="B932" s="1124"/>
      <c r="C932" s="1124"/>
    </row>
  </sheetData>
  <sheetProtection password="CFAD" sheet="1" objects="1" scenarios="1"/>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codeName="Blad2">
    <pageSetUpPr fitToPage="1"/>
  </sheetPr>
  <dimension ref="A1:Q50"/>
  <sheetViews>
    <sheetView showGridLines="0" tabSelected="1" zoomScale="86" zoomScaleNormal="86" workbookViewId="0" topLeftCell="A1">
      <pane ySplit="3" topLeftCell="BM4" activePane="bottomLeft" state="frozen"/>
      <selection pane="topLeft" activeCell="A4" sqref="A4"/>
      <selection pane="bottomLeft" activeCell="A1" sqref="A1"/>
    </sheetView>
  </sheetViews>
  <sheetFormatPr defaultColWidth="9.140625" defaultRowHeight="12.75"/>
  <cols>
    <col min="1" max="1" width="6.7109375" style="439" customWidth="1"/>
    <col min="2" max="2" width="6.7109375" style="435" customWidth="1"/>
    <col min="3" max="3" width="8.140625" style="439" customWidth="1"/>
    <col min="4" max="4" width="27.28125" style="439" customWidth="1"/>
    <col min="5" max="6" width="6.7109375" style="439" customWidth="1"/>
    <col min="7" max="7" width="2.7109375" style="439" customWidth="1"/>
    <col min="8" max="8" width="6.7109375" style="439" customWidth="1"/>
    <col min="9" max="10" width="6.7109375" style="435" customWidth="1"/>
    <col min="11" max="11" width="14.28125" style="435" customWidth="1"/>
    <col min="12" max="12" width="13.7109375" style="435" customWidth="1"/>
    <col min="13" max="14" width="6.7109375" style="439" customWidth="1"/>
    <col min="15" max="16384" width="9.140625" style="439" customWidth="1"/>
  </cols>
  <sheetData>
    <row r="1" spans="1:14" s="514" customFormat="1" ht="15" customHeight="1">
      <c r="A1" s="689" t="s">
        <v>179</v>
      </c>
      <c r="B1" s="690"/>
      <c r="C1" s="690"/>
      <c r="D1" s="690"/>
      <c r="E1" s="691"/>
      <c r="F1" s="691"/>
      <c r="G1" s="692"/>
      <c r="H1" s="692"/>
      <c r="I1" s="693"/>
      <c r="J1" s="693"/>
      <c r="K1" s="693"/>
      <c r="L1" s="693"/>
      <c r="M1" s="692"/>
      <c r="N1" s="692"/>
    </row>
    <row r="2" spans="1:14" s="515" customFormat="1" ht="12.75" customHeight="1">
      <c r="A2" s="694"/>
      <c r="B2" s="694"/>
      <c r="C2" s="694"/>
      <c r="D2" s="694"/>
      <c r="E2" s="694"/>
      <c r="F2" s="694"/>
      <c r="G2" s="694"/>
      <c r="H2" s="694"/>
      <c r="I2" s="695"/>
      <c r="J2" s="695"/>
      <c r="K2" s="695"/>
      <c r="L2" s="695"/>
      <c r="M2" s="694"/>
      <c r="N2" s="694"/>
    </row>
    <row r="3" spans="1:14" ht="25.5">
      <c r="A3" s="696" t="s">
        <v>309</v>
      </c>
      <c r="B3" s="696"/>
      <c r="C3" s="696"/>
      <c r="D3" s="697">
        <v>2004</v>
      </c>
      <c r="E3" s="698" t="str">
        <f>CONCATENATE("INZENDEN VOOR 31 DECEMBER ",D3+1)</f>
        <v>INZENDEN VOOR 31 DECEMBER 2005</v>
      </c>
      <c r="F3" s="699"/>
      <c r="G3" s="700"/>
      <c r="H3" s="700"/>
      <c r="I3" s="701"/>
      <c r="J3" s="701"/>
      <c r="K3" s="701"/>
      <c r="L3" s="702">
        <f>IF(OR(Voorblad!D3=1996,Voorblad!D3=2000,Voorblad!D3=2004),366,365)</f>
        <v>366</v>
      </c>
      <c r="M3" s="701"/>
      <c r="N3" s="703"/>
    </row>
    <row r="4" spans="1:14" ht="12.75">
      <c r="A4" s="640"/>
      <c r="B4" s="2"/>
      <c r="C4" s="640"/>
      <c r="D4" s="640"/>
      <c r="E4" s="640"/>
      <c r="F4" s="640"/>
      <c r="G4" s="704"/>
      <c r="H4" s="640"/>
      <c r="I4" s="2"/>
      <c r="J4" s="2"/>
      <c r="K4" s="2"/>
      <c r="L4" s="2"/>
      <c r="M4" s="640"/>
      <c r="N4" s="640"/>
    </row>
    <row r="5" spans="1:14" ht="12.75">
      <c r="A5" s="640"/>
      <c r="B5" s="2"/>
      <c r="C5" s="640"/>
      <c r="D5" s="640"/>
      <c r="E5" s="640"/>
      <c r="F5" s="640"/>
      <c r="G5" s="704"/>
      <c r="H5" s="640"/>
      <c r="I5" s="2"/>
      <c r="J5" s="2"/>
      <c r="K5" s="2"/>
      <c r="L5" s="2"/>
      <c r="M5" s="640"/>
      <c r="N5" s="640"/>
    </row>
    <row r="6" spans="1:14" s="435" customFormat="1" ht="12.75" customHeight="1">
      <c r="A6" s="2"/>
      <c r="B6" s="2"/>
      <c r="C6" s="2"/>
      <c r="D6" s="2"/>
      <c r="E6" s="2"/>
      <c r="F6" s="840"/>
      <c r="G6" s="5"/>
      <c r="H6" s="2"/>
      <c r="I6" s="2"/>
      <c r="J6" s="2"/>
      <c r="K6" s="2"/>
      <c r="L6" s="1247" t="s">
        <v>319</v>
      </c>
      <c r="M6" s="1245"/>
      <c r="N6" s="1246"/>
    </row>
    <row r="7" spans="1:14" s="435" customFormat="1" ht="12.75">
      <c r="A7" s="2"/>
      <c r="B7" s="2"/>
      <c r="C7" s="2"/>
      <c r="D7" s="2"/>
      <c r="E7" s="2"/>
      <c r="F7" s="2"/>
      <c r="G7" s="5"/>
      <c r="H7" s="2"/>
      <c r="I7" s="2"/>
      <c r="J7" s="2"/>
      <c r="K7" s="705" t="s">
        <v>320</v>
      </c>
      <c r="L7" s="1253" t="str">
        <f>CONCATENATE(RIGHT(D3,4),"-5/1")</f>
        <v>2004-5/1</v>
      </c>
      <c r="M7" s="1254"/>
      <c r="N7" s="1255"/>
    </row>
    <row r="8" spans="1:14" s="435" customFormat="1" ht="12.75">
      <c r="A8" s="2"/>
      <c r="B8" s="2"/>
      <c r="C8" s="2"/>
      <c r="D8" s="2"/>
      <c r="E8" s="2"/>
      <c r="F8" s="2"/>
      <c r="G8" s="5"/>
      <c r="H8" s="2"/>
      <c r="I8" s="2"/>
      <c r="J8" s="2"/>
      <c r="K8" s="706" t="s">
        <v>80</v>
      </c>
      <c r="L8" s="1256"/>
      <c r="M8" s="1257"/>
      <c r="N8" s="1258"/>
    </row>
    <row r="9" spans="1:14" s="435" customFormat="1" ht="12.75">
      <c r="A9" s="2"/>
      <c r="B9" s="2"/>
      <c r="C9" s="2"/>
      <c r="D9" s="2"/>
      <c r="E9" s="2"/>
      <c r="F9" s="2"/>
      <c r="G9" s="5"/>
      <c r="H9" s="2"/>
      <c r="I9" s="2"/>
      <c r="J9" s="2"/>
      <c r="K9" s="707" t="s">
        <v>318</v>
      </c>
      <c r="L9" s="1248"/>
      <c r="M9" s="1249"/>
      <c r="N9" s="1250"/>
    </row>
    <row r="10" spans="1:14" s="464" customFormat="1" ht="12.75">
      <c r="A10" s="45"/>
      <c r="B10" s="90"/>
      <c r="C10" s="90"/>
      <c r="D10" s="90"/>
      <c r="E10" s="708"/>
      <c r="F10" s="90"/>
      <c r="G10" s="704"/>
      <c r="H10" s="704"/>
      <c r="I10" s="5"/>
      <c r="J10" s="5"/>
      <c r="K10" s="856" t="s">
        <v>536</v>
      </c>
      <c r="L10" s="1244"/>
      <c r="M10" s="1245"/>
      <c r="N10" s="1246"/>
    </row>
    <row r="11" spans="1:14" s="464" customFormat="1" ht="12.75">
      <c r="A11" s="45"/>
      <c r="B11" s="90"/>
      <c r="C11" s="90"/>
      <c r="D11" s="90"/>
      <c r="E11" s="708"/>
      <c r="F11" s="90"/>
      <c r="G11" s="704"/>
      <c r="H11" s="704"/>
      <c r="I11" s="5"/>
      <c r="J11" s="5"/>
      <c r="K11" s="90"/>
      <c r="L11" s="901"/>
      <c r="M11" s="902"/>
      <c r="N11" s="902"/>
    </row>
    <row r="12" spans="1:14" s="464" customFormat="1" ht="15.75">
      <c r="A12" s="903" t="s">
        <v>159</v>
      </c>
      <c r="B12" s="90"/>
      <c r="C12" s="90"/>
      <c r="D12" s="90"/>
      <c r="E12" s="708"/>
      <c r="F12" s="90"/>
      <c r="G12" s="704"/>
      <c r="H12" s="704"/>
      <c r="I12" s="5"/>
      <c r="J12" s="5"/>
      <c r="K12" s="90"/>
      <c r="L12" s="901"/>
      <c r="M12" s="902"/>
      <c r="N12" s="902"/>
    </row>
    <row r="13" spans="1:14" s="464" customFormat="1" ht="15.75">
      <c r="A13" s="904"/>
      <c r="B13" s="2"/>
      <c r="C13" s="640"/>
      <c r="D13" s="640"/>
      <c r="E13" s="640"/>
      <c r="F13" s="640"/>
      <c r="G13" s="704"/>
      <c r="H13" s="704"/>
      <c r="I13" s="5"/>
      <c r="J13" s="5"/>
      <c r="K13" s="5"/>
      <c r="L13" s="90"/>
      <c r="M13" s="709"/>
      <c r="N13" s="709"/>
    </row>
    <row r="14" spans="1:14" s="455" customFormat="1" ht="12.75" customHeight="1">
      <c r="A14" s="1251"/>
      <c r="B14" s="1252"/>
      <c r="C14" s="1252"/>
      <c r="D14" s="1252"/>
      <c r="E14" s="1252"/>
      <c r="F14" s="1252"/>
      <c r="G14" s="1252"/>
      <c r="H14" s="1252"/>
      <c r="I14" s="1252"/>
      <c r="J14" s="1252"/>
      <c r="K14" s="1252"/>
      <c r="L14" s="1252"/>
      <c r="M14" s="1252"/>
      <c r="N14" s="1252"/>
    </row>
    <row r="15" spans="1:14" s="455" customFormat="1" ht="12.75" customHeight="1">
      <c r="A15" s="1252"/>
      <c r="B15" s="1252"/>
      <c r="C15" s="1252"/>
      <c r="D15" s="1252"/>
      <c r="E15" s="1252"/>
      <c r="F15" s="1252"/>
      <c r="G15" s="1252"/>
      <c r="H15" s="1252"/>
      <c r="I15" s="1252"/>
      <c r="J15" s="1252"/>
      <c r="K15" s="1252"/>
      <c r="L15" s="1252"/>
      <c r="M15" s="1252"/>
      <c r="N15" s="1252"/>
    </row>
    <row r="16" spans="1:14" s="455" customFormat="1" ht="12.75" customHeight="1">
      <c r="A16" s="1252"/>
      <c r="B16" s="1252"/>
      <c r="C16" s="1252"/>
      <c r="D16" s="1252"/>
      <c r="E16" s="1252"/>
      <c r="F16" s="1252"/>
      <c r="G16" s="1252"/>
      <c r="H16" s="1252"/>
      <c r="I16" s="1252"/>
      <c r="J16" s="1252"/>
      <c r="K16" s="1252"/>
      <c r="L16" s="1252"/>
      <c r="M16" s="1252"/>
      <c r="N16" s="1252"/>
    </row>
    <row r="17" spans="1:14" s="455" customFormat="1" ht="12.75" customHeight="1" thickBot="1">
      <c r="A17" s="516"/>
      <c r="B17" s="516"/>
      <c r="C17" s="516"/>
      <c r="D17" s="516"/>
      <c r="E17" s="516"/>
      <c r="F17" s="516"/>
      <c r="G17" s="516"/>
      <c r="H17" s="516"/>
      <c r="I17" s="516"/>
      <c r="J17" s="516"/>
      <c r="K17" s="516"/>
      <c r="L17" s="516"/>
      <c r="M17" s="516"/>
      <c r="N17" s="516"/>
    </row>
    <row r="18" spans="2:13" ht="12.75">
      <c r="B18" s="517"/>
      <c r="C18" s="518" t="s">
        <v>86</v>
      </c>
      <c r="D18" s="519"/>
      <c r="E18" s="519"/>
      <c r="F18" s="519"/>
      <c r="G18" s="519"/>
      <c r="H18" s="519"/>
      <c r="I18" s="520"/>
      <c r="J18" s="520"/>
      <c r="K18" s="520"/>
      <c r="L18" s="520"/>
      <c r="M18" s="521"/>
    </row>
    <row r="19" spans="2:13" ht="12.75">
      <c r="B19" s="522"/>
      <c r="C19"/>
      <c r="D19" s="464"/>
      <c r="E19" s="464"/>
      <c r="F19" s="464"/>
      <c r="G19" s="464"/>
      <c r="H19" s="464"/>
      <c r="I19" s="438"/>
      <c r="J19" s="438"/>
      <c r="K19" s="438"/>
      <c r="L19" s="438"/>
      <c r="M19" s="523"/>
    </row>
    <row r="20" spans="2:13" ht="12.75">
      <c r="B20" s="522"/>
      <c r="C20" s="464"/>
      <c r="D20" s="1242" t="s">
        <v>540</v>
      </c>
      <c r="E20" s="1243"/>
      <c r="F20" s="1243"/>
      <c r="G20" s="1243"/>
      <c r="H20" s="1243"/>
      <c r="I20" s="1243"/>
      <c r="J20" s="1243"/>
      <c r="K20" s="1243"/>
      <c r="L20" s="1243"/>
      <c r="M20" s="523"/>
    </row>
    <row r="21" spans="2:13" ht="12.75" customHeight="1">
      <c r="B21" s="522"/>
      <c r="C21"/>
      <c r="D21" s="1243"/>
      <c r="E21" s="1243"/>
      <c r="F21" s="1243"/>
      <c r="G21" s="1243"/>
      <c r="H21" s="1243"/>
      <c r="I21" s="1243"/>
      <c r="J21" s="1243"/>
      <c r="K21" s="1243"/>
      <c r="L21" s="1243"/>
      <c r="M21" s="523"/>
    </row>
    <row r="22" spans="2:13" ht="12.75">
      <c r="B22" s="522"/>
      <c r="C22" s="464"/>
      <c r="D22" s="1233" t="s">
        <v>347</v>
      </c>
      <c r="E22" s="1233"/>
      <c r="F22" s="1233"/>
      <c r="G22" s="1233"/>
      <c r="H22" s="1233"/>
      <c r="I22" s="1233"/>
      <c r="J22" s="1233"/>
      <c r="K22" s="1233"/>
      <c r="L22" s="1233"/>
      <c r="M22" s="523"/>
    </row>
    <row r="23" spans="2:13" ht="12.75">
      <c r="B23" s="522"/>
      <c r="C23" s="464"/>
      <c r="D23" s="1233"/>
      <c r="E23" s="1233"/>
      <c r="F23" s="1233"/>
      <c r="G23" s="1233"/>
      <c r="H23" s="1233"/>
      <c r="I23" s="1233"/>
      <c r="J23" s="1233"/>
      <c r="K23" s="1233"/>
      <c r="L23" s="1233"/>
      <c r="M23" s="523"/>
    </row>
    <row r="24" spans="2:13" ht="12.75">
      <c r="B24" s="522"/>
      <c r="C24" s="464"/>
      <c r="D24" s="1233"/>
      <c r="E24" s="1233"/>
      <c r="F24" s="1233"/>
      <c r="G24" s="1233"/>
      <c r="H24" s="1233"/>
      <c r="I24" s="1233"/>
      <c r="J24" s="1233"/>
      <c r="K24" s="1233"/>
      <c r="L24" s="1233"/>
      <c r="M24" s="523"/>
    </row>
    <row r="25" spans="2:13" ht="12.75">
      <c r="B25" s="522"/>
      <c r="C25" s="464"/>
      <c r="D25" s="1232" t="s">
        <v>585</v>
      </c>
      <c r="E25" s="1232"/>
      <c r="F25" s="1232"/>
      <c r="G25" s="1232"/>
      <c r="H25" s="1232"/>
      <c r="I25" s="1232"/>
      <c r="J25" s="1232"/>
      <c r="K25" s="1232"/>
      <c r="L25" s="1232"/>
      <c r="M25" s="523"/>
    </row>
    <row r="26" spans="2:13" ht="12.75">
      <c r="B26" s="522"/>
      <c r="C26" s="464"/>
      <c r="D26" s="1232"/>
      <c r="E26" s="1232"/>
      <c r="F26" s="1232"/>
      <c r="G26" s="1232"/>
      <c r="H26" s="1232"/>
      <c r="I26" s="1232"/>
      <c r="J26" s="1232"/>
      <c r="K26" s="1232"/>
      <c r="L26" s="1232"/>
      <c r="M26" s="523"/>
    </row>
    <row r="27" spans="2:13" ht="12.75">
      <c r="B27" s="522"/>
      <c r="C27" s="464"/>
      <c r="D27" s="1232"/>
      <c r="E27" s="1232"/>
      <c r="F27" s="1232"/>
      <c r="G27" s="1232"/>
      <c r="H27" s="1232"/>
      <c r="I27" s="1232"/>
      <c r="J27" s="1232"/>
      <c r="K27" s="1232"/>
      <c r="L27" s="1232"/>
      <c r="M27" s="523"/>
    </row>
    <row r="28" spans="2:13" ht="12.75">
      <c r="B28" s="522"/>
      <c r="C28" s="464"/>
      <c r="D28" s="438"/>
      <c r="E28" s="438"/>
      <c r="F28" s="438"/>
      <c r="G28" s="438"/>
      <c r="H28" s="438"/>
      <c r="I28" s="438"/>
      <c r="J28" s="438"/>
      <c r="K28" s="438"/>
      <c r="L28" s="438"/>
      <c r="M28" s="523"/>
    </row>
    <row r="29" spans="2:13" ht="12.75">
      <c r="B29" s="522"/>
      <c r="C29" s="464"/>
      <c r="D29" s="524" t="str">
        <f>IF(D30=TRUE,"      Invulvelden gearceerd","      Invulvelden niet gearceerd")</f>
        <v>      Invulvelden gearceerd</v>
      </c>
      <c r="E29" s="525"/>
      <c r="F29" s="526"/>
      <c r="G29" s="464"/>
      <c r="H29" s="464"/>
      <c r="I29"/>
      <c r="J29"/>
      <c r="K29"/>
      <c r="L29"/>
      <c r="M29" s="527"/>
    </row>
    <row r="30" spans="2:13" s="465" customFormat="1" ht="13.5" thickBot="1">
      <c r="B30" s="528"/>
      <c r="C30" s="529"/>
      <c r="D30" s="738" t="b">
        <v>1</v>
      </c>
      <c r="E30" s="530"/>
      <c r="F30" s="530"/>
      <c r="G30" s="529"/>
      <c r="H30" s="529"/>
      <c r="I30" s="738"/>
      <c r="J30" s="530"/>
      <c r="K30" s="530"/>
      <c r="L30" s="531"/>
      <c r="M30" s="532"/>
    </row>
    <row r="31" spans="1:17" s="455" customFormat="1" ht="12.75" customHeight="1">
      <c r="A31" s="488"/>
      <c r="B31" s="459"/>
      <c r="C31" s="457"/>
      <c r="D31" s="457"/>
      <c r="E31" s="457"/>
      <c r="F31" s="457"/>
      <c r="I31" s="468"/>
      <c r="J31" s="468"/>
      <c r="K31" s="905"/>
      <c r="L31" s="468"/>
      <c r="M31" s="533"/>
      <c r="N31" s="533"/>
      <c r="Q31" s="476"/>
    </row>
    <row r="32" spans="1:14" s="536" customFormat="1" ht="16.5" customHeight="1">
      <c r="A32" s="710" t="s">
        <v>62</v>
      </c>
      <c r="B32" s="601"/>
      <c r="C32" s="601"/>
      <c r="D32" s="601"/>
      <c r="E32" s="711" t="s">
        <v>358</v>
      </c>
      <c r="F32" s="712" t="s">
        <v>357</v>
      </c>
      <c r="H32" s="455"/>
      <c r="I32" s="468"/>
      <c r="J32" s="468"/>
      <c r="K32" s="906"/>
      <c r="L32" s="906"/>
      <c r="M32" s="533"/>
      <c r="N32" s="533"/>
    </row>
    <row r="33" spans="1:14" s="536" customFormat="1" ht="16.5" customHeight="1">
      <c r="A33" s="539"/>
      <c r="B33" s="504"/>
      <c r="C33" s="504"/>
      <c r="D33" s="504"/>
      <c r="E33" s="561"/>
      <c r="F33" s="1192"/>
      <c r="K33" s="449"/>
      <c r="L33" s="907"/>
      <c r="M33" s="537"/>
      <c r="N33" s="537"/>
    </row>
    <row r="34" spans="1:3" s="504" customFormat="1" ht="16.5" customHeight="1">
      <c r="A34" s="538"/>
      <c r="B34" s="538"/>
      <c r="C34" s="538"/>
    </row>
    <row r="35" spans="1:14" s="503" customFormat="1" ht="16.5" customHeight="1">
      <c r="A35" s="713" t="s">
        <v>63</v>
      </c>
      <c r="B35" s="714"/>
      <c r="C35" s="715"/>
      <c r="D35" s="1222"/>
      <c r="E35" s="1223"/>
      <c r="F35" s="1224"/>
      <c r="H35" s="1234" t="s">
        <v>429</v>
      </c>
      <c r="I35" s="1235"/>
      <c r="J35" s="1235"/>
      <c r="K35" s="1236"/>
      <c r="L35" s="1236"/>
      <c r="M35" s="1236"/>
      <c r="N35" s="1237"/>
    </row>
    <row r="36" spans="1:14" s="503" customFormat="1" ht="16.5" customHeight="1">
      <c r="A36" s="716" t="s">
        <v>64</v>
      </c>
      <c r="B36" s="717"/>
      <c r="C36" s="717"/>
      <c r="D36" s="1219"/>
      <c r="E36" s="1206"/>
      <c r="F36" s="1207"/>
      <c r="H36" s="1228" t="s">
        <v>310</v>
      </c>
      <c r="I36" s="1229"/>
      <c r="J36" s="1230"/>
      <c r="K36" s="1216"/>
      <c r="L36" s="1217"/>
      <c r="M36" s="1217"/>
      <c r="N36" s="1218"/>
    </row>
    <row r="37" spans="1:14" s="503" customFormat="1" ht="16.5" customHeight="1">
      <c r="A37" s="713" t="s">
        <v>310</v>
      </c>
      <c r="B37" s="715"/>
      <c r="C37" s="715"/>
      <c r="D37" s="1222"/>
      <c r="E37" s="1223"/>
      <c r="F37" s="1224"/>
      <c r="H37" s="1240" t="s">
        <v>80</v>
      </c>
      <c r="I37" s="1241"/>
      <c r="J37" s="1241"/>
      <c r="K37" s="1238"/>
      <c r="L37" s="1238"/>
      <c r="M37" s="1238"/>
      <c r="N37" s="1239"/>
    </row>
    <row r="38" spans="1:14" s="503" customFormat="1" ht="16.5" customHeight="1">
      <c r="A38" s="718" t="s">
        <v>311</v>
      </c>
      <c r="B38" s="719"/>
      <c r="C38" s="719"/>
      <c r="D38" s="1216"/>
      <c r="E38" s="1217"/>
      <c r="F38" s="1218"/>
      <c r="H38" s="1213" t="s">
        <v>54</v>
      </c>
      <c r="I38" s="1214"/>
      <c r="J38" s="1214"/>
      <c r="K38" s="1208"/>
      <c r="L38" s="1208"/>
      <c r="M38" s="1208"/>
      <c r="N38" s="1209"/>
    </row>
    <row r="39" spans="1:14" s="503" customFormat="1" ht="16.5" customHeight="1">
      <c r="A39" s="718" t="s">
        <v>312</v>
      </c>
      <c r="B39" s="719"/>
      <c r="C39" s="719"/>
      <c r="D39" s="1216"/>
      <c r="E39" s="1217"/>
      <c r="F39" s="1218"/>
      <c r="H39" s="1215" t="s">
        <v>430</v>
      </c>
      <c r="I39" s="1200"/>
      <c r="J39" s="1201"/>
      <c r="K39" s="1210"/>
      <c r="L39" s="1211"/>
      <c r="M39" s="1211"/>
      <c r="N39" s="1212"/>
    </row>
    <row r="40" spans="1:14" s="503" customFormat="1" ht="16.5" customHeight="1">
      <c r="A40" s="716" t="s">
        <v>313</v>
      </c>
      <c r="B40" s="717"/>
      <c r="C40" s="717"/>
      <c r="D40" s="1219"/>
      <c r="E40" s="1206"/>
      <c r="F40" s="1207"/>
      <c r="H40" s="1228" t="s">
        <v>310</v>
      </c>
      <c r="I40" s="1229"/>
      <c r="J40" s="1230"/>
      <c r="K40" s="1210"/>
      <c r="L40" s="1211"/>
      <c r="M40" s="1211"/>
      <c r="N40" s="1212"/>
    </row>
    <row r="41" spans="1:14" s="503" customFormat="1" ht="16.5" customHeight="1">
      <c r="A41" s="720" t="s">
        <v>317</v>
      </c>
      <c r="B41" s="721"/>
      <c r="C41" s="721"/>
      <c r="D41" s="721"/>
      <c r="E41" s="721"/>
      <c r="F41" s="722"/>
      <c r="H41" s="1228" t="s">
        <v>80</v>
      </c>
      <c r="I41" s="1229"/>
      <c r="J41" s="1230"/>
      <c r="K41" s="1216"/>
      <c r="L41" s="1217"/>
      <c r="M41" s="1217"/>
      <c r="N41" s="1218"/>
    </row>
    <row r="42" spans="1:14" s="503" customFormat="1" ht="16.5" customHeight="1">
      <c r="A42" s="723"/>
      <c r="B42" s="724"/>
      <c r="C42" s="724"/>
      <c r="D42" s="724"/>
      <c r="E42" s="724"/>
      <c r="F42" s="725"/>
      <c r="H42" s="1231" t="s">
        <v>54</v>
      </c>
      <c r="I42" s="1220"/>
      <c r="J42" s="1221"/>
      <c r="K42" s="1219"/>
      <c r="L42" s="1206"/>
      <c r="M42" s="1206"/>
      <c r="N42" s="1207"/>
    </row>
    <row r="43" spans="1:14" s="503" customFormat="1" ht="16.5" customHeight="1">
      <c r="A43" s="723"/>
      <c r="B43" s="724"/>
      <c r="C43" s="724"/>
      <c r="D43" s="724"/>
      <c r="E43" s="724"/>
      <c r="F43" s="725"/>
      <c r="H43" s="1225" t="s">
        <v>431</v>
      </c>
      <c r="I43" s="1226"/>
      <c r="J43" s="1227"/>
      <c r="K43" s="1222"/>
      <c r="L43" s="1223"/>
      <c r="M43" s="1223"/>
      <c r="N43" s="1224"/>
    </row>
    <row r="44" spans="1:14" s="503" customFormat="1" ht="16.5" customHeight="1">
      <c r="A44" s="723"/>
      <c r="B44" s="724"/>
      <c r="C44" s="724"/>
      <c r="D44" s="724"/>
      <c r="E44" s="724"/>
      <c r="F44" s="726" t="s">
        <v>316</v>
      </c>
      <c r="H44" s="1228" t="s">
        <v>80</v>
      </c>
      <c r="I44" s="1229"/>
      <c r="J44" s="1230"/>
      <c r="K44" s="1216"/>
      <c r="L44" s="1217"/>
      <c r="M44" s="1217"/>
      <c r="N44" s="1218"/>
    </row>
    <row r="45" spans="1:14" s="503" customFormat="1" ht="16.5" customHeight="1">
      <c r="A45" s="1204"/>
      <c r="B45" s="1205"/>
      <c r="C45" s="727" t="s">
        <v>314</v>
      </c>
      <c r="D45" s="1202"/>
      <c r="E45" s="1203"/>
      <c r="F45" s="728" t="s">
        <v>315</v>
      </c>
      <c r="H45" s="1231" t="s">
        <v>54</v>
      </c>
      <c r="I45" s="1220"/>
      <c r="J45" s="1221"/>
      <c r="K45" s="1219"/>
      <c r="L45" s="1206"/>
      <c r="M45" s="1206"/>
      <c r="N45" s="1207"/>
    </row>
    <row r="46" s="448" customFormat="1" ht="16.5" customHeight="1" thickBot="1"/>
    <row r="47" spans="1:14" s="459" customFormat="1" ht="16.5" customHeight="1" thickBot="1">
      <c r="A47" s="644" t="str">
        <f>CONCATENATE("Bovengenoemde partijen verzoeken de definitieve aanvaardbare kosten ",D3," goed te keuren/vast te stellen op:")</f>
        <v>Bovengenoemde partijen verzoeken de definitieve aanvaardbare kosten 2004 goed te keuren/vast te stellen op:</v>
      </c>
      <c r="B47" s="729"/>
      <c r="C47" s="729"/>
      <c r="D47" s="729"/>
      <c r="E47" s="729"/>
      <c r="F47" s="729"/>
      <c r="G47" s="729"/>
      <c r="H47" s="504"/>
      <c r="I47" s="504"/>
      <c r="J47" s="504"/>
      <c r="K47" s="504"/>
      <c r="L47" s="841">
        <f>Mutaties!E27</f>
        <v>0</v>
      </c>
      <c r="M47" s="842"/>
      <c r="N47" s="843" t="str">
        <f>CONCATENATE("(regel ",Mutaties!A27,")")</f>
        <v>(regel 1519)</v>
      </c>
    </row>
    <row r="48" spans="1:14" ht="13.5" thickBot="1">
      <c r="A48" s="503"/>
      <c r="B48" s="539"/>
      <c r="C48" s="503"/>
      <c r="D48" s="504"/>
      <c r="E48" s="540"/>
      <c r="F48" s="503"/>
      <c r="G48" s="503"/>
      <c r="H48" s="503"/>
      <c r="I48" s="503"/>
      <c r="J48" s="503"/>
      <c r="K48" s="503"/>
      <c r="L48" s="503"/>
      <c r="M48" s="503"/>
      <c r="N48" s="503"/>
    </row>
    <row r="49" spans="1:11" ht="13.5" thickBot="1">
      <c r="A49" s="461" t="s">
        <v>466</v>
      </c>
      <c r="B49" s="468"/>
      <c r="C49" s="468"/>
      <c r="D49" s="468"/>
      <c r="E49" s="468"/>
      <c r="F49" s="854"/>
      <c r="G49" s="459"/>
      <c r="H49" s="729"/>
      <c r="I49" s="729"/>
      <c r="J49" s="729"/>
      <c r="K49" s="729"/>
    </row>
    <row r="50" ht="12.75">
      <c r="I50" s="439"/>
    </row>
  </sheetData>
  <sheetProtection/>
  <mergeCells count="39">
    <mergeCell ref="D39:F39"/>
    <mergeCell ref="D40:F40"/>
    <mergeCell ref="D35:F35"/>
    <mergeCell ref="D36:F36"/>
    <mergeCell ref="D37:F37"/>
    <mergeCell ref="D38:F38"/>
    <mergeCell ref="D20:L21"/>
    <mergeCell ref="L10:N10"/>
    <mergeCell ref="L6:N6"/>
    <mergeCell ref="L9:N9"/>
    <mergeCell ref="A14:N16"/>
    <mergeCell ref="L7:N7"/>
    <mergeCell ref="L8:N8"/>
    <mergeCell ref="D45:E45"/>
    <mergeCell ref="A45:B45"/>
    <mergeCell ref="D25:L27"/>
    <mergeCell ref="D22:L24"/>
    <mergeCell ref="H35:J35"/>
    <mergeCell ref="K35:N35"/>
    <mergeCell ref="K37:N37"/>
    <mergeCell ref="H37:J37"/>
    <mergeCell ref="H36:J36"/>
    <mergeCell ref="K36:N36"/>
    <mergeCell ref="H38:J38"/>
    <mergeCell ref="H39:J39"/>
    <mergeCell ref="H41:J41"/>
    <mergeCell ref="H42:J42"/>
    <mergeCell ref="H40:J40"/>
    <mergeCell ref="K38:N38"/>
    <mergeCell ref="K39:N39"/>
    <mergeCell ref="K41:N41"/>
    <mergeCell ref="K42:N42"/>
    <mergeCell ref="K40:N40"/>
    <mergeCell ref="H43:J43"/>
    <mergeCell ref="H44:J44"/>
    <mergeCell ref="H45:J45"/>
    <mergeCell ref="K43:N43"/>
    <mergeCell ref="K44:N44"/>
    <mergeCell ref="K45:N45"/>
  </mergeCells>
  <conditionalFormatting sqref="A50:F53 E44:F44 H52:N55 F47:F48 D47:E49 K47:N50">
    <cfRule type="expression" priority="1" dxfId="0" stopIfTrue="1">
      <formula>$D$41=TRUE</formula>
    </cfRule>
  </conditionalFormatting>
  <conditionalFormatting sqref="D29:E29 E33:F33 D45:E45 A45 F49 K35:K45 D35:D40">
    <cfRule type="expression" priority="2" dxfId="0" stopIfTrue="1">
      <formula>$D$30=TRUE</formula>
    </cfRule>
  </conditionalFormatting>
  <printOptions/>
  <pageMargins left="0.3937007874015748" right="0.3937007874015748" top="0.3937007874015748" bottom="0.3937007874015748" header="0.5118110236220472" footer="0.5118110236220472"/>
  <pageSetup fitToHeight="1" fitToWidth="1" horizontalDpi="300" verticalDpi="3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Blad3">
    <pageSetUpPr fitToPage="1"/>
  </sheetPr>
  <dimension ref="A1:M109"/>
  <sheetViews>
    <sheetView zoomScale="86" zoomScaleNormal="86" workbookViewId="0" topLeftCell="A1">
      <selection activeCell="H33" sqref="H33"/>
    </sheetView>
  </sheetViews>
  <sheetFormatPr defaultColWidth="9.140625" defaultRowHeight="12.75"/>
  <cols>
    <col min="1" max="1" width="2.7109375" style="542" customWidth="1"/>
    <col min="2" max="2" width="4.28125" style="552" customWidth="1"/>
    <col min="3" max="3" width="50.7109375" style="543" customWidth="1"/>
    <col min="4" max="4" width="4.8515625" style="543" customWidth="1"/>
    <col min="5" max="6" width="2.7109375" style="543" customWidth="1"/>
    <col min="7" max="7" width="4.28125" style="543" customWidth="1"/>
    <col min="8" max="8" width="52.421875" style="543" customWidth="1"/>
    <col min="9" max="9" width="4.7109375" style="543" customWidth="1"/>
    <col min="10" max="16384" width="9.140625" style="543" customWidth="1"/>
  </cols>
  <sheetData>
    <row r="1" spans="1:10" s="440" customFormat="1" ht="15.75" customHeight="1">
      <c r="A1" s="434"/>
      <c r="B1" s="541"/>
      <c r="C1" s="487"/>
      <c r="D1" s="437"/>
      <c r="E1" s="437"/>
      <c r="F1" s="434"/>
      <c r="G1" s="487"/>
      <c r="H1" s="487"/>
      <c r="J1" s="441"/>
    </row>
    <row r="2" spans="1:10" s="447" customFormat="1" ht="15.75" customHeight="1">
      <c r="A2" s="442" t="str">
        <f>CONCATENATE("Nacalculatieformulier ",Voorblad!D3)</f>
        <v>Nacalculatieformulier 2004</v>
      </c>
      <c r="B2" s="444"/>
      <c r="C2" s="445"/>
      <c r="D2" s="445"/>
      <c r="E2" s="445"/>
      <c r="F2" s="445"/>
      <c r="G2" s="443"/>
      <c r="H2" s="443"/>
      <c r="I2" s="446">
        <v>2</v>
      </c>
      <c r="J2" s="497"/>
    </row>
    <row r="3" spans="2:6" ht="12.75">
      <c r="B3" s="543"/>
      <c r="D3" s="544"/>
      <c r="E3" s="544"/>
      <c r="F3" s="542"/>
    </row>
    <row r="4" spans="1:9" s="459" customFormat="1" ht="12">
      <c r="A4" s="458" t="s">
        <v>321</v>
      </c>
      <c r="B4" s="545"/>
      <c r="D4" s="730" t="s">
        <v>422</v>
      </c>
      <c r="I4" s="730" t="s">
        <v>422</v>
      </c>
    </row>
    <row r="5" spans="1:9" s="459" customFormat="1" ht="12">
      <c r="A5" s="458"/>
      <c r="B5" s="458"/>
      <c r="C5" s="458"/>
      <c r="D5" s="731"/>
      <c r="E5" s="458"/>
      <c r="F5" s="458"/>
      <c r="G5" s="458"/>
      <c r="H5" s="458"/>
      <c r="I5" s="731"/>
    </row>
    <row r="6" spans="1:9" s="463" customFormat="1" ht="12">
      <c r="A6" s="14" t="str">
        <f>'Prod.1.1en1.2'!A4</f>
        <v>RUBRIEK 1: NACALCULATIE PRODUCTIE</v>
      </c>
      <c r="B6" s="882"/>
      <c r="C6" s="94"/>
      <c r="D6" s="614">
        <f>'Prod.1.1en1.2'!K2</f>
        <v>6</v>
      </c>
      <c r="G6" s="14" t="str">
        <f>'Rentecalc.'!A6</f>
        <v>CALCULATIEMODEL RENTEKOSTEN</v>
      </c>
      <c r="H6" s="47"/>
      <c r="I6" s="614">
        <f>'Rentecalc.'!G2</f>
        <v>16</v>
      </c>
    </row>
    <row r="7" spans="1:9" s="463" customFormat="1" ht="12">
      <c r="A7" s="14"/>
      <c r="B7" s="889" t="str">
        <f>'Prod.1.1en1.2'!A6</f>
        <v>1.1 </v>
      </c>
      <c r="C7" s="889" t="str">
        <f>'Prod.1.1en1.2'!B6</f>
        <v>Productieaantallen en realisatie 2004</v>
      </c>
      <c r="D7" s="614">
        <f>'Prod.1.1en1.2'!K2</f>
        <v>6</v>
      </c>
      <c r="F7" s="450"/>
      <c r="G7" s="47"/>
      <c r="H7" s="47"/>
      <c r="I7" s="47"/>
    </row>
    <row r="8" spans="1:9" s="459" customFormat="1" ht="12">
      <c r="A8" s="14"/>
      <c r="B8" s="889" t="str">
        <f>+'Prod.1.1en1.2'!A41</f>
        <v>1.2 </v>
      </c>
      <c r="C8" s="889" t="str">
        <f>+'Prod.1.1en1.2'!B41</f>
        <v>Lokale prod.gebonden toeslag</v>
      </c>
      <c r="D8" s="614">
        <f>+'Prod.1.1en1.2'!K2</f>
        <v>6</v>
      </c>
      <c r="G8" s="615" t="str">
        <f>'A-G'!A8</f>
        <v>A. </v>
      </c>
      <c r="H8" s="615" t="str">
        <f>'A-G'!B8</f>
        <v>Boekwaarde investeringen waarvoor vergunning is verleend</v>
      </c>
      <c r="I8" s="883">
        <f>'A-G'!G2</f>
        <v>17</v>
      </c>
    </row>
    <row r="9" spans="1:8" s="459" customFormat="1" ht="12" customHeight="1">
      <c r="A9" s="14"/>
      <c r="B9" s="889" t="str">
        <f>+'Prod.1.3.'!A4</f>
        <v>1.3</v>
      </c>
      <c r="C9" s="889" t="str">
        <f>+'Prod.1.3.'!B4</f>
        <v>Dure geneesmiddelen </v>
      </c>
      <c r="D9" s="614">
        <f>+'Prod.1.3.'!G2</f>
        <v>7</v>
      </c>
      <c r="G9" s="615" t="str">
        <f>'A-G'!A31</f>
        <v>B.</v>
      </c>
      <c r="H9" s="1260" t="str">
        <f>'A-G'!B31</f>
        <v>Onderhanden bouwprojecten  met WZV vergunning (geen investeringen meldingsregeling)</v>
      </c>
    </row>
    <row r="10" spans="1:9" s="459" customFormat="1" ht="12" customHeight="1">
      <c r="A10" s="14"/>
      <c r="B10" s="459" t="str">
        <f>+'Prod.1.4en1.5'!A4</f>
        <v>1.4</v>
      </c>
      <c r="C10" s="889" t="str">
        <f>+'Prod.1.4en1.5'!B4</f>
        <v>Aanpassing loonkosten medisch specialisten</v>
      </c>
      <c r="D10" s="459">
        <f>+'Prod.1.4en1.5'!G2</f>
        <v>8</v>
      </c>
      <c r="G10" s="615"/>
      <c r="H10" s="1260"/>
      <c r="I10" s="883">
        <f>'A-G'!G2</f>
        <v>17</v>
      </c>
    </row>
    <row r="11" spans="1:9" s="459" customFormat="1" ht="12" customHeight="1">
      <c r="A11" s="14"/>
      <c r="B11" s="459" t="str">
        <f>+'Prod.1.4en1.5'!A24</f>
        <v>1.5.1</v>
      </c>
      <c r="C11" s="459" t="str">
        <f>+'Prod.1.4en1.5'!B24</f>
        <v>Aanpassing vergoeding loonkosten agio´s</v>
      </c>
      <c r="D11" s="459">
        <f>+'Prod.1.4en1.5'!G2</f>
        <v>8</v>
      </c>
      <c r="G11" s="615" t="str">
        <f>'A-G'!A53</f>
        <v>C. </v>
      </c>
      <c r="H11" s="1259" t="str">
        <f>'A-G'!B53</f>
        <v>Werkelijke boekwaarde instandhoudingsinvesteringen (inclusief onderhanden werk)</v>
      </c>
      <c r="I11" s="42"/>
    </row>
    <row r="12" spans="1:9" s="459" customFormat="1" ht="12" customHeight="1">
      <c r="A12" s="14"/>
      <c r="B12" s="459" t="str">
        <f>+'Prod.1.4en1.5'!A45</f>
        <v>1.5.2</v>
      </c>
      <c r="C12" s="459" t="str">
        <f>+'Prod.1.4en1.5'!B45</f>
        <v>Gerealiseerde extra opleidingsplaatsen 2004</v>
      </c>
      <c r="D12" s="459">
        <f>+'Prod.1.4en1.5'!G2</f>
        <v>8</v>
      </c>
      <c r="G12" s="42"/>
      <c r="H12" s="1259"/>
      <c r="I12" s="614">
        <f>'A-G'!G48</f>
        <v>18</v>
      </c>
    </row>
    <row r="13" spans="1:9" s="459" customFormat="1" ht="12" customHeight="1">
      <c r="A13" s="14"/>
      <c r="C13" s="889"/>
      <c r="G13" s="615" t="str">
        <f>'A-G'!A79</f>
        <v>D  </v>
      </c>
      <c r="H13" s="615" t="str">
        <f>'A-G'!B79</f>
        <v>Normatieve boekwaarde medische en overige inventarissen</v>
      </c>
      <c r="I13" s="614">
        <f>'A-G'!G48</f>
        <v>18</v>
      </c>
    </row>
    <row r="14" spans="1:9" s="459" customFormat="1" ht="12">
      <c r="A14" s="14"/>
      <c r="B14" s="882"/>
      <c r="C14" s="94"/>
      <c r="G14" s="615" t="str">
        <f>'A-G'!A100</f>
        <v>E. </v>
      </c>
      <c r="H14" s="615" t="str">
        <f>'A-G'!B100</f>
        <v>Normatieve boekwaarde medische en overige inventarissen artikel 2 WBMV apparatuur</v>
      </c>
      <c r="I14" s="883">
        <f>'A-G'!G94</f>
        <v>19</v>
      </c>
    </row>
    <row r="15" spans="1:9" s="459" customFormat="1" ht="12">
      <c r="A15" s="47" t="str">
        <f>+Opbrengsten!A4</f>
        <v>RUBRIEK 2: WERKELIJKE OPBRENGSTEN</v>
      </c>
      <c r="B15" s="882"/>
      <c r="C15" s="94"/>
      <c r="D15" s="614">
        <f>Opbrengsten!J2</f>
        <v>9</v>
      </c>
      <c r="G15" s="615" t="str">
        <f>'A-G'!A114</f>
        <v>F.</v>
      </c>
      <c r="H15" s="615" t="str">
        <f>'A-G'!B114</f>
        <v>Normatief werkkapitaal</v>
      </c>
      <c r="I15" s="883">
        <f>'A-G'!G94</f>
        <v>19</v>
      </c>
    </row>
    <row r="16" spans="1:13" s="513" customFormat="1" ht="12">
      <c r="A16" s="42"/>
      <c r="B16" s="615" t="str">
        <f>Opbrengsten!A8</f>
        <v>2.1</v>
      </c>
      <c r="C16" s="95" t="str">
        <f>Opbrengsten!B8</f>
        <v>Verpleeggelden (excl. vaste tarieven)</v>
      </c>
      <c r="D16" s="614">
        <f>Opbrengsten!$J$2</f>
        <v>9</v>
      </c>
      <c r="F16" s="459"/>
      <c r="G16" s="615" t="str">
        <f>'A-G'!A123</f>
        <v>G. </v>
      </c>
      <c r="H16" s="615" t="str">
        <f>'A-G'!B123</f>
        <v>Nog in tarieven te verrekenen kosten/opbrengsten</v>
      </c>
      <c r="I16" s="883">
        <f>+'A-G'!G121</f>
        <v>20</v>
      </c>
      <c r="J16" s="459"/>
      <c r="K16" s="549"/>
      <c r="L16" s="549"/>
      <c r="M16" s="549"/>
    </row>
    <row r="17" spans="1:10" s="463" customFormat="1" ht="12">
      <c r="A17" s="42"/>
      <c r="B17" s="615" t="str">
        <f>+Opbrengsten!A29</f>
        <v>2.2</v>
      </c>
      <c r="C17" s="615" t="str">
        <f>+Opbrengsten!B29</f>
        <v>Opbrengst vaste tarieven</v>
      </c>
      <c r="D17" s="614">
        <f>Opbrengsten!$J$2</f>
        <v>9</v>
      </c>
      <c r="F17" s="459"/>
      <c r="G17" s="615" t="str">
        <f>H!A7</f>
        <v>H. </v>
      </c>
      <c r="H17" s="615" t="str">
        <f>H!B7</f>
        <v>Langlopende leningen (incl. langlopende leasecontracten)</v>
      </c>
      <c r="I17" s="614" t="str">
        <f>CONCATENATE(H!T2,"-",H!S41)</f>
        <v>21-22</v>
      </c>
      <c r="J17" s="459"/>
    </row>
    <row r="18" spans="2:10" s="459" customFormat="1" ht="12">
      <c r="B18" s="615" t="str">
        <f>+Opbrengsten!G8</f>
        <v>2.3</v>
      </c>
      <c r="C18" s="615" t="str">
        <f>+Opbrengsten!H8</f>
        <v>Opbrengst nevenverrichtingen</v>
      </c>
      <c r="D18" s="614">
        <f>Opbrengsten!$J$2</f>
        <v>9</v>
      </c>
      <c r="F18" s="547"/>
      <c r="G18" s="615" t="str">
        <f>'I-J'!A6</f>
        <v>I. </v>
      </c>
      <c r="H18" s="615" t="str">
        <f>'I-J'!B6</f>
        <v>Eigen vermogen</v>
      </c>
      <c r="I18" s="614">
        <f>'I-J'!E2</f>
        <v>23</v>
      </c>
      <c r="J18" s="549"/>
    </row>
    <row r="19" spans="1:10" s="513" customFormat="1" ht="12">
      <c r="A19" s="463"/>
      <c r="B19" s="95" t="str">
        <f>+Opbrengsten!G16</f>
        <v>2.4</v>
      </c>
      <c r="C19" s="95" t="str">
        <f>+Opbrengsten!H16</f>
        <v>Overige vergoedingen ter dekking van het budget</v>
      </c>
      <c r="D19" s="614">
        <f>Opbrengsten!J2</f>
        <v>9</v>
      </c>
      <c r="G19" s="615" t="str">
        <f>'I-J'!A26</f>
        <v>J. </v>
      </c>
      <c r="H19" s="615" t="str">
        <f>'I-J'!B26</f>
        <v>Rentekosten langlopende leningen</v>
      </c>
      <c r="I19" s="614">
        <f>'I-J'!E2</f>
        <v>23</v>
      </c>
      <c r="J19" s="463"/>
    </row>
    <row r="20" spans="1:10" s="513" customFormat="1" ht="12">
      <c r="A20" s="42"/>
      <c r="B20" s="615" t="str">
        <f>+Opbrengsten!G28</f>
        <v>2.5</v>
      </c>
      <c r="C20" s="615" t="str">
        <f>+Opbrengsten!H28</f>
        <v>Aanvullende inkomsten (niet ter dekking van het budget)</v>
      </c>
      <c r="D20" s="614">
        <f>Opbrengsten!J2</f>
        <v>9</v>
      </c>
      <c r="F20" s="450"/>
      <c r="G20" s="47"/>
      <c r="H20" s="47"/>
      <c r="I20" s="47"/>
      <c r="J20" s="459"/>
    </row>
    <row r="21" spans="1:9" s="513" customFormat="1" ht="12">
      <c r="A21" s="42"/>
      <c r="B21" s="594"/>
      <c r="C21" s="594"/>
      <c r="D21" s="614"/>
      <c r="F21" s="459"/>
      <c r="G21" s="882"/>
      <c r="H21" s="94"/>
      <c r="I21" s="884"/>
    </row>
    <row r="22" spans="1:9" s="513" customFormat="1" ht="12">
      <c r="A22" s="14" t="str">
        <f>Afschrijvingen!A4</f>
        <v>RUBRIEK 3: KAPITAALSLASTEN</v>
      </c>
      <c r="B22" s="882"/>
      <c r="C22" s="94"/>
      <c r="D22" s="614">
        <f>Afschrijvingen!I2</f>
        <v>10</v>
      </c>
      <c r="F22" s="459"/>
      <c r="G22" s="633" t="str">
        <f>vragen!A4</f>
        <v>VRAGENLIJST NACALCULATIE</v>
      </c>
      <c r="H22" s="48"/>
      <c r="I22" s="614" t="str">
        <f>CONCATENATE(vragen!F2,"-",vragen!F84)</f>
        <v>24-26</v>
      </c>
    </row>
    <row r="23" spans="1:9" s="513" customFormat="1" ht="12">
      <c r="A23" s="42"/>
      <c r="B23" s="615" t="str">
        <f>Afschrijvingen!A6</f>
        <v>3.1</v>
      </c>
      <c r="C23" s="615" t="str">
        <f>Afschrijvingen!B6</f>
        <v>Nacalculeerbare afschrijvingskosten (normale en verkorte procedures)</v>
      </c>
      <c r="D23" s="614">
        <f>Afschrijvingen!I2</f>
        <v>10</v>
      </c>
      <c r="F23" s="550"/>
      <c r="G23" s="169"/>
      <c r="H23" s="885"/>
      <c r="I23" s="614"/>
    </row>
    <row r="24" spans="1:9" s="513" customFormat="1" ht="12">
      <c r="A24" s="42"/>
      <c r="B24" s="615" t="str">
        <f>Afschrijvingen!A24</f>
        <v>3.2</v>
      </c>
      <c r="C24" s="615" t="str">
        <f>Afschrijvingen!B24</f>
        <v>Instandhoudingsinvesteringen (WZV-meldingsplichtige vaste activa)</v>
      </c>
      <c r="D24" s="614">
        <f>Afschrijvingen!I2</f>
        <v>10</v>
      </c>
      <c r="F24" s="550"/>
      <c r="G24" s="633"/>
      <c r="H24" s="886"/>
      <c r="I24" s="614"/>
    </row>
    <row r="25" spans="1:9" s="513" customFormat="1" ht="12">
      <c r="A25" s="42"/>
      <c r="B25" s="615" t="str">
        <f>WZV!A5</f>
        <v>3.3</v>
      </c>
      <c r="C25" s="615" t="str">
        <f>WZV!B5</f>
        <v>Specificatie in gebruikgenomen nacalculeerbare investeringen</v>
      </c>
      <c r="D25" s="614">
        <f>WZV!M2</f>
        <v>11</v>
      </c>
      <c r="E25" s="463"/>
      <c r="F25" s="550"/>
      <c r="G25" s="887"/>
      <c r="H25" s="886"/>
      <c r="I25" s="48"/>
    </row>
    <row r="26" spans="1:6" s="513" customFormat="1" ht="12">
      <c r="A26" s="594"/>
      <c r="B26" s="615" t="str">
        <f>Instandhouding!A4</f>
        <v>3.4</v>
      </c>
      <c r="C26" s="615" t="str">
        <f>Instandhouding!B4</f>
        <v>Specificatie investeringen in instandhouding (WZV-meldingsplichtige vaste activa)</v>
      </c>
      <c r="D26" s="614">
        <f>Instandhouding!J2</f>
        <v>13</v>
      </c>
      <c r="F26" s="550"/>
    </row>
    <row r="27" spans="1:10" s="463" customFormat="1" ht="12">
      <c r="A27" s="513"/>
      <c r="B27" s="615" t="str">
        <f>'Afschr.inventaris'!A4</f>
        <v>3.5</v>
      </c>
      <c r="C27" s="615" t="str">
        <f>'Afschr.inventaris'!B4</f>
        <v>Afschrijvingskosten medische en overige inventarissen</v>
      </c>
      <c r="D27" s="614">
        <f>'Afschr.inventaris'!I2</f>
        <v>14</v>
      </c>
      <c r="F27" s="513"/>
      <c r="G27" s="888" t="s">
        <v>391</v>
      </c>
      <c r="H27" s="594"/>
      <c r="I27" s="594"/>
      <c r="J27" s="513"/>
    </row>
    <row r="28" spans="1:9" s="513" customFormat="1" ht="12">
      <c r="A28" s="42"/>
      <c r="B28" s="615"/>
      <c r="C28" s="615"/>
      <c r="D28" s="614"/>
      <c r="F28" s="546"/>
      <c r="G28" s="42" t="s">
        <v>530</v>
      </c>
      <c r="H28" s="157" t="s">
        <v>558</v>
      </c>
      <c r="I28" s="832"/>
    </row>
    <row r="29" spans="1:9" s="463" customFormat="1" ht="12">
      <c r="A29" s="594"/>
      <c r="B29" s="615"/>
      <c r="C29" s="615"/>
      <c r="D29" s="614"/>
      <c r="E29" s="513"/>
      <c r="F29" s="513"/>
      <c r="G29" s="890"/>
      <c r="H29" s="615"/>
      <c r="I29" s="832"/>
    </row>
    <row r="30" spans="1:9" s="513" customFormat="1" ht="12.75">
      <c r="A30" s="14" t="str">
        <f>Mutaties!A4</f>
        <v>RUBRIEK 4: OVERZICHT MUTATIES</v>
      </c>
      <c r="B30" s="882"/>
      <c r="C30" s="94"/>
      <c r="D30" s="614">
        <f>Mutaties!E2</f>
        <v>15</v>
      </c>
      <c r="E30" s="543"/>
      <c r="F30" s="546"/>
      <c r="G30" s="890"/>
      <c r="H30" s="735"/>
      <c r="I30" s="832"/>
    </row>
    <row r="31" spans="1:10" s="513" customFormat="1" ht="12">
      <c r="A31" s="594"/>
      <c r="B31" s="615" t="str">
        <f>Mutaties!A7</f>
        <v>4.1</v>
      </c>
      <c r="C31" s="615" t="str">
        <f>Mutaties!B7</f>
        <v>Mutaties aanvaardbare kosten</v>
      </c>
      <c r="D31" s="614">
        <f>Mutaties!E2</f>
        <v>15</v>
      </c>
      <c r="G31" s="891"/>
      <c r="H31" s="733"/>
      <c r="I31" s="832"/>
      <c r="J31" s="463"/>
    </row>
    <row r="32" spans="1:10" ht="12.75">
      <c r="A32" s="594"/>
      <c r="B32" s="615" t="str">
        <f>Mutaties!A29</f>
        <v>4.2</v>
      </c>
      <c r="C32" s="615" t="str">
        <f>Mutaties!B29</f>
        <v>Opbrengstverrekening 2004</v>
      </c>
      <c r="D32" s="614">
        <f>Mutaties!E2</f>
        <v>15</v>
      </c>
      <c r="E32" s="513"/>
      <c r="F32" s="534"/>
      <c r="G32" s="736"/>
      <c r="H32" s="891"/>
      <c r="I32" s="832"/>
      <c r="J32" s="513"/>
    </row>
    <row r="33" spans="1:9" s="513" customFormat="1" ht="12.75">
      <c r="A33" s="594"/>
      <c r="F33" s="543"/>
      <c r="G33" s="734"/>
      <c r="H33" s="734"/>
      <c r="I33" s="833"/>
    </row>
    <row r="34" spans="1:10" s="513" customFormat="1" ht="12.75">
      <c r="A34" s="594"/>
      <c r="E34"/>
      <c r="G34" s="733"/>
      <c r="H34" s="733"/>
      <c r="I34" s="832"/>
      <c r="J34" s="543"/>
    </row>
    <row r="35" spans="2:9" s="513" customFormat="1" ht="12.75">
      <c r="B35" s="459"/>
      <c r="C35" s="459"/>
      <c r="D35" s="459"/>
      <c r="E35"/>
      <c r="G35" s="733"/>
      <c r="H35" s="733"/>
      <c r="I35" s="832"/>
    </row>
    <row r="36" spans="1:10" s="459" customFormat="1" ht="12.75">
      <c r="A36" s="594"/>
      <c r="B36" s="463"/>
      <c r="C36" s="463"/>
      <c r="D36" s="463"/>
      <c r="E36"/>
      <c r="F36" s="513"/>
      <c r="G36" s="733"/>
      <c r="H36" s="733"/>
      <c r="I36" s="732"/>
      <c r="J36" s="513"/>
    </row>
    <row r="37" spans="1:10" s="463" customFormat="1" ht="12.75">
      <c r="A37" s="594"/>
      <c r="B37" s="640"/>
      <c r="C37" s="640"/>
      <c r="D37" s="640"/>
      <c r="E37"/>
      <c r="F37" s="459"/>
      <c r="G37" s="735"/>
      <c r="H37" s="735"/>
      <c r="I37" s="732"/>
      <c r="J37" s="513"/>
    </row>
    <row r="38" spans="1:9" s="459" customFormat="1" ht="12.75">
      <c r="A38" s="513"/>
      <c r="B38" s="640"/>
      <c r="C38" s="640"/>
      <c r="D38" s="640"/>
      <c r="E38"/>
      <c r="F38" s="546"/>
      <c r="G38" s="735"/>
      <c r="H38" s="735"/>
      <c r="I38" s="732"/>
    </row>
    <row r="39" spans="1:10" s="459" customFormat="1" ht="12.75">
      <c r="A39" s="513"/>
      <c r="B39" s="640"/>
      <c r="C39" s="640"/>
      <c r="D39" s="640"/>
      <c r="F39" s="548"/>
      <c r="G39" s="737"/>
      <c r="H39" s="737"/>
      <c r="I39" s="732"/>
      <c r="J39" s="463"/>
    </row>
    <row r="40" spans="2:9" s="459" customFormat="1" ht="12.75">
      <c r="B40" s="640"/>
      <c r="C40" s="640"/>
      <c r="D40" s="640"/>
      <c r="G40" s="735"/>
      <c r="H40" s="735"/>
      <c r="I40" s="732"/>
    </row>
    <row r="41" spans="1:9" s="459" customFormat="1" ht="12.75">
      <c r="A41" s="463"/>
      <c r="B41" s="640"/>
      <c r="C41" s="640"/>
      <c r="D41" s="640"/>
      <c r="G41" s="735"/>
      <c r="H41" s="735"/>
      <c r="I41" s="732"/>
    </row>
    <row r="42" spans="1:4" s="459" customFormat="1" ht="12">
      <c r="A42" s="594"/>
      <c r="B42" s="889"/>
      <c r="C42" s="42"/>
      <c r="D42" s="615"/>
    </row>
    <row r="43" spans="1:4" s="459" customFormat="1" ht="12">
      <c r="A43" s="47"/>
      <c r="B43" s="889"/>
      <c r="C43" s="42"/>
      <c r="D43" s="42"/>
    </row>
    <row r="44" spans="1:4" s="459" customFormat="1" ht="12">
      <c r="A44" s="594"/>
      <c r="B44" s="889"/>
      <c r="C44" s="42"/>
      <c r="D44" s="42"/>
    </row>
    <row r="45" spans="1:4" s="459" customFormat="1" ht="12">
      <c r="A45" s="594"/>
      <c r="B45" s="889"/>
      <c r="C45" s="42"/>
      <c r="D45" s="42"/>
    </row>
    <row r="46" spans="1:4" s="459" customFormat="1" ht="12">
      <c r="A46" s="42"/>
      <c r="B46" s="889"/>
      <c r="C46" s="42"/>
      <c r="D46" s="42"/>
    </row>
    <row r="47" spans="1:4" s="459" customFormat="1" ht="12">
      <c r="A47" s="41"/>
      <c r="B47" s="889"/>
      <c r="C47" s="42"/>
      <c r="D47" s="42"/>
    </row>
    <row r="48" spans="1:4" s="459" customFormat="1" ht="12">
      <c r="A48" s="41"/>
      <c r="B48" s="889"/>
      <c r="C48" s="42"/>
      <c r="D48" s="42"/>
    </row>
    <row r="49" spans="1:2" s="459" customFormat="1" ht="12">
      <c r="A49" s="41"/>
      <c r="B49" s="545"/>
    </row>
    <row r="50" spans="1:2" s="459" customFormat="1" ht="12">
      <c r="A50" s="41"/>
      <c r="B50" s="545"/>
    </row>
    <row r="51" spans="1:2" s="459" customFormat="1" ht="12">
      <c r="A51" s="41"/>
      <c r="B51" s="545"/>
    </row>
    <row r="52" spans="1:2" s="459" customFormat="1" ht="12">
      <c r="A52" s="41"/>
      <c r="B52" s="545"/>
    </row>
    <row r="53" spans="1:5" s="459" customFormat="1" ht="12.75">
      <c r="A53" s="41"/>
      <c r="B53" s="545"/>
      <c r="E53" s="487"/>
    </row>
    <row r="54" spans="1:5" s="459" customFormat="1" ht="12.75">
      <c r="A54" s="458"/>
      <c r="B54" s="545"/>
      <c r="E54" s="487"/>
    </row>
    <row r="55" spans="1:10" s="487" customFormat="1" ht="12.75">
      <c r="A55" s="458"/>
      <c r="B55" s="545"/>
      <c r="C55" s="459"/>
      <c r="D55" s="459"/>
      <c r="F55" s="459"/>
      <c r="G55" s="459"/>
      <c r="H55" s="459"/>
      <c r="I55" s="459"/>
      <c r="J55" s="459"/>
    </row>
    <row r="56" spans="1:10" s="487" customFormat="1" ht="12.75">
      <c r="A56" s="458"/>
      <c r="B56" s="551"/>
      <c r="J56" s="459"/>
    </row>
    <row r="57" spans="1:2" s="487" customFormat="1" ht="12.75">
      <c r="A57" s="458"/>
      <c r="B57" s="551"/>
    </row>
    <row r="58" spans="1:2" s="487" customFormat="1" ht="12.75">
      <c r="A58" s="458"/>
      <c r="B58" s="551"/>
    </row>
    <row r="59" spans="1:2" s="487" customFormat="1" ht="12.75">
      <c r="A59" s="458"/>
      <c r="B59" s="551"/>
    </row>
    <row r="60" spans="1:2" s="487" customFormat="1" ht="12.75">
      <c r="A60" s="458"/>
      <c r="B60" s="551"/>
    </row>
    <row r="61" spans="1:2" s="487" customFormat="1" ht="12.75">
      <c r="A61" s="434"/>
      <c r="B61" s="551"/>
    </row>
    <row r="62" spans="1:2" s="487" customFormat="1" ht="12.75">
      <c r="A62" s="434"/>
      <c r="B62" s="551"/>
    </row>
    <row r="63" spans="1:2" s="487" customFormat="1" ht="12.75">
      <c r="A63" s="434"/>
      <c r="B63" s="551"/>
    </row>
    <row r="64" spans="1:2" s="487" customFormat="1" ht="12.75">
      <c r="A64" s="434"/>
      <c r="B64" s="551"/>
    </row>
    <row r="65" spans="1:2" s="487" customFormat="1" ht="12.75">
      <c r="A65" s="434"/>
      <c r="B65" s="551"/>
    </row>
    <row r="66" spans="1:2" s="487" customFormat="1" ht="12.75">
      <c r="A66" s="434"/>
      <c r="B66" s="551"/>
    </row>
    <row r="67" spans="1:2" s="487" customFormat="1" ht="12.75">
      <c r="A67" s="434"/>
      <c r="B67" s="551"/>
    </row>
    <row r="68" spans="1:2" s="487" customFormat="1" ht="12.75">
      <c r="A68" s="434"/>
      <c r="B68" s="551"/>
    </row>
    <row r="69" spans="1:2" s="487" customFormat="1" ht="12.75">
      <c r="A69" s="434"/>
      <c r="B69" s="551"/>
    </row>
    <row r="70" spans="1:2" s="487" customFormat="1" ht="12.75">
      <c r="A70" s="434"/>
      <c r="B70" s="551"/>
    </row>
    <row r="71" spans="1:2" s="487" customFormat="1" ht="12.75">
      <c r="A71" s="434"/>
      <c r="B71" s="551"/>
    </row>
    <row r="72" spans="1:2" s="487" customFormat="1" ht="12.75">
      <c r="A72" s="434"/>
      <c r="B72" s="551"/>
    </row>
    <row r="73" spans="1:2" s="487" customFormat="1" ht="12.75">
      <c r="A73" s="434"/>
      <c r="B73" s="551"/>
    </row>
    <row r="74" spans="1:2" s="487" customFormat="1" ht="12.75">
      <c r="A74" s="434"/>
      <c r="B74" s="551"/>
    </row>
    <row r="75" spans="1:2" s="487" customFormat="1" ht="12.75">
      <c r="A75" s="434"/>
      <c r="B75" s="551"/>
    </row>
    <row r="76" spans="1:2" s="487" customFormat="1" ht="12.75">
      <c r="A76" s="434"/>
      <c r="B76" s="551"/>
    </row>
    <row r="77" spans="1:2" s="487" customFormat="1" ht="12.75">
      <c r="A77" s="434"/>
      <c r="B77" s="551"/>
    </row>
    <row r="78" spans="1:2" s="487" customFormat="1" ht="12.75">
      <c r="A78" s="434"/>
      <c r="B78" s="551"/>
    </row>
    <row r="79" spans="1:2" s="487" customFormat="1" ht="12.75">
      <c r="A79" s="434"/>
      <c r="B79" s="551"/>
    </row>
    <row r="80" spans="1:2" s="487" customFormat="1" ht="12.75">
      <c r="A80" s="434"/>
      <c r="B80" s="551"/>
    </row>
    <row r="81" spans="1:2" s="487" customFormat="1" ht="12.75">
      <c r="A81" s="434"/>
      <c r="B81" s="551"/>
    </row>
    <row r="82" spans="1:2" s="487" customFormat="1" ht="12.75">
      <c r="A82" s="434"/>
      <c r="B82" s="551"/>
    </row>
    <row r="83" spans="1:2" s="487" customFormat="1" ht="12.75">
      <c r="A83" s="434"/>
      <c r="B83" s="551"/>
    </row>
    <row r="84" spans="1:2" s="487" customFormat="1" ht="12.75">
      <c r="A84" s="434"/>
      <c r="B84" s="551"/>
    </row>
    <row r="85" spans="1:2" s="487" customFormat="1" ht="12.75">
      <c r="A85" s="434"/>
      <c r="B85" s="551"/>
    </row>
    <row r="86" spans="1:2" s="487" customFormat="1" ht="12.75">
      <c r="A86" s="434"/>
      <c r="B86" s="551"/>
    </row>
    <row r="87" spans="1:2" s="487" customFormat="1" ht="12.75">
      <c r="A87" s="434"/>
      <c r="B87" s="551"/>
    </row>
    <row r="88" spans="1:2" s="487" customFormat="1" ht="12.75">
      <c r="A88" s="434"/>
      <c r="B88" s="551"/>
    </row>
    <row r="89" spans="1:2" s="487" customFormat="1" ht="12.75">
      <c r="A89" s="434"/>
      <c r="B89" s="551"/>
    </row>
    <row r="90" spans="1:2" s="487" customFormat="1" ht="12.75">
      <c r="A90" s="434"/>
      <c r="B90" s="551"/>
    </row>
    <row r="91" spans="1:2" s="487" customFormat="1" ht="12.75">
      <c r="A91" s="434"/>
      <c r="B91" s="551"/>
    </row>
    <row r="92" spans="1:2" s="487" customFormat="1" ht="12.75">
      <c r="A92" s="434"/>
      <c r="B92" s="551"/>
    </row>
    <row r="93" spans="1:2" s="487" customFormat="1" ht="12.75">
      <c r="A93" s="434"/>
      <c r="B93" s="551"/>
    </row>
    <row r="94" spans="1:2" s="487" customFormat="1" ht="12.75">
      <c r="A94" s="434"/>
      <c r="B94" s="551"/>
    </row>
    <row r="95" spans="1:2" s="487" customFormat="1" ht="12.75">
      <c r="A95" s="434"/>
      <c r="B95" s="551"/>
    </row>
    <row r="96" spans="1:2" s="487" customFormat="1" ht="12.75">
      <c r="A96" s="434"/>
      <c r="B96" s="551"/>
    </row>
    <row r="97" spans="1:2" s="487" customFormat="1" ht="12.75">
      <c r="A97" s="434"/>
      <c r="B97" s="551"/>
    </row>
    <row r="98" spans="1:2" s="487" customFormat="1" ht="12.75">
      <c r="A98" s="434"/>
      <c r="B98" s="551"/>
    </row>
    <row r="99" spans="1:2" s="487" customFormat="1" ht="12.75">
      <c r="A99" s="434"/>
      <c r="B99" s="551"/>
    </row>
    <row r="100" spans="1:2" s="487" customFormat="1" ht="12.75">
      <c r="A100" s="434"/>
      <c r="B100" s="551"/>
    </row>
    <row r="101" spans="1:2" s="487" customFormat="1" ht="12.75">
      <c r="A101" s="434"/>
      <c r="B101" s="551"/>
    </row>
    <row r="102" spans="1:5" s="487" customFormat="1" ht="12.75">
      <c r="A102" s="434"/>
      <c r="B102" s="551"/>
      <c r="E102" s="543"/>
    </row>
    <row r="103" spans="1:5" s="487" customFormat="1" ht="12.75">
      <c r="A103" s="434"/>
      <c r="B103" s="551"/>
      <c r="E103" s="543"/>
    </row>
    <row r="104" spans="1:10" ht="12.75">
      <c r="A104" s="434"/>
      <c r="B104" s="551"/>
      <c r="C104" s="487"/>
      <c r="D104" s="487"/>
      <c r="F104" s="487"/>
      <c r="G104" s="487"/>
      <c r="H104" s="487"/>
      <c r="I104" s="487"/>
      <c r="J104" s="487"/>
    </row>
    <row r="105" spans="1:10" ht="12.75">
      <c r="A105" s="434"/>
      <c r="J105" s="487"/>
    </row>
    <row r="106" ht="12.75">
      <c r="A106" s="434"/>
    </row>
    <row r="107" ht="12.75">
      <c r="A107" s="434"/>
    </row>
    <row r="108" ht="12.75">
      <c r="A108" s="434"/>
    </row>
    <row r="109" ht="12.75">
      <c r="A109" s="434"/>
    </row>
  </sheetData>
  <sheetProtection password="CFAD" sheet="1" objects="1" scenarios="1"/>
  <mergeCells count="2">
    <mergeCell ref="H11:H12"/>
    <mergeCell ref="H9:H10"/>
  </mergeCells>
  <printOptions/>
  <pageMargins left="0.3937007874015748" right="0.3937007874015748" top="0.3937007874015748" bottom="0.3937007874015748" header="0.5118110236220472" footer="0.5118110236220472"/>
  <pageSetup fitToHeight="1" fitToWidth="1"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codeName="Blad4"/>
  <dimension ref="A1:E54"/>
  <sheetViews>
    <sheetView showGridLines="0" view="pageBreakPreview" zoomScale="75" zoomScaleNormal="86" zoomScaleSheetLayoutView="75" workbookViewId="0" topLeftCell="A1">
      <selection activeCell="A15" sqref="A15:E15"/>
    </sheetView>
  </sheetViews>
  <sheetFormatPr defaultColWidth="9.140625" defaultRowHeight="12.75"/>
  <cols>
    <col min="1" max="1" width="5.7109375" style="553" customWidth="1"/>
    <col min="2" max="2" width="100.140625" style="513" customWidth="1"/>
    <col min="3" max="3" width="21.421875" style="513" customWidth="1"/>
    <col min="4" max="4" width="7.7109375" style="513" customWidth="1"/>
    <col min="5" max="5" width="5.7109375" style="513" customWidth="1"/>
    <col min="6" max="16384" width="9.140625" style="513" customWidth="1"/>
  </cols>
  <sheetData>
    <row r="1" spans="1:5" s="457" customFormat="1" ht="15.75" customHeight="1">
      <c r="A1" s="458"/>
      <c r="B1" s="459"/>
      <c r="C1" s="468"/>
      <c r="E1" s="459"/>
    </row>
    <row r="2" spans="1:5" s="503" customFormat="1" ht="15.75" customHeight="1">
      <c r="A2" s="442" t="str">
        <f>CONCATENATE("Nacalculatieformulier ",Voorblad!D3)</f>
        <v>Nacalculatieformulier 2004</v>
      </c>
      <c r="B2" s="535"/>
      <c r="C2" s="566"/>
      <c r="D2" s="566"/>
      <c r="E2" s="600">
        <v>3</v>
      </c>
    </row>
    <row r="3" ht="12" customHeight="1">
      <c r="D3" s="549"/>
    </row>
    <row r="4" spans="1:5" s="459" customFormat="1" ht="12">
      <c r="A4" s="41" t="s">
        <v>303</v>
      </c>
      <c r="B4" s="42"/>
      <c r="C4" s="42"/>
      <c r="D4" s="42"/>
      <c r="E4" s="42"/>
    </row>
    <row r="5" spans="1:5" s="459" customFormat="1" ht="12">
      <c r="A5" s="41"/>
      <c r="B5" s="42"/>
      <c r="C5" s="42"/>
      <c r="D5" s="42"/>
      <c r="E5" s="42"/>
    </row>
    <row r="6" spans="1:5" s="459" customFormat="1" ht="12">
      <c r="A6" s="47" t="s">
        <v>392</v>
      </c>
      <c r="C6" s="42"/>
      <c r="D6" s="42"/>
      <c r="E6" s="42"/>
    </row>
    <row r="7" spans="1:5" s="459" customFormat="1" ht="40.5" customHeight="1">
      <c r="A7" s="1265" t="s">
        <v>504</v>
      </c>
      <c r="B7" s="1262"/>
      <c r="C7" s="1262"/>
      <c r="D7" s="1262"/>
      <c r="E7" s="1262"/>
    </row>
    <row r="8" spans="1:5" s="459" customFormat="1" ht="12" customHeight="1">
      <c r="A8" s="1264" t="s">
        <v>560</v>
      </c>
      <c r="B8" s="1264"/>
      <c r="C8" s="574"/>
      <c r="D8" s="574"/>
      <c r="E8" s="574"/>
    </row>
    <row r="9" spans="1:5" s="459" customFormat="1" ht="23.25" customHeight="1">
      <c r="A9" s="1266" t="s">
        <v>609</v>
      </c>
      <c r="B9" s="1266"/>
      <c r="C9" s="1266"/>
      <c r="D9" s="1266"/>
      <c r="E9" s="1266"/>
    </row>
    <row r="10" spans="1:5" s="459" customFormat="1" ht="19.5" customHeight="1">
      <c r="A10" s="1264" t="s">
        <v>279</v>
      </c>
      <c r="B10" s="1264"/>
      <c r="C10" s="855"/>
      <c r="D10" s="855"/>
      <c r="E10" s="855"/>
    </row>
    <row r="11" spans="1:5" s="459" customFormat="1" ht="27" customHeight="1">
      <c r="A11" s="1262" t="s">
        <v>710</v>
      </c>
      <c r="B11" s="1262"/>
      <c r="C11" s="1262"/>
      <c r="D11" s="1262"/>
      <c r="E11" s="1262"/>
    </row>
    <row r="12" spans="1:5" s="459" customFormat="1" ht="12" customHeight="1">
      <c r="A12" s="41" t="s">
        <v>280</v>
      </c>
      <c r="B12" s="41"/>
      <c r="C12" s="591"/>
      <c r="D12" s="592"/>
      <c r="E12" s="591"/>
    </row>
    <row r="13" spans="1:5" s="459" customFormat="1" ht="81" customHeight="1">
      <c r="A13" s="1267" t="s">
        <v>559</v>
      </c>
      <c r="B13" s="1268"/>
      <c r="C13" s="1268"/>
      <c r="D13" s="1268"/>
      <c r="E13" s="1268"/>
    </row>
    <row r="14" spans="1:5" s="459" customFormat="1" ht="12" customHeight="1">
      <c r="A14" s="1263" t="s">
        <v>281</v>
      </c>
      <c r="B14" s="1263"/>
      <c r="C14" s="855"/>
      <c r="D14" s="855"/>
      <c r="E14" s="855"/>
    </row>
    <row r="15" spans="1:5" s="459" customFormat="1" ht="90" customHeight="1">
      <c r="A15" s="1261" t="s">
        <v>667</v>
      </c>
      <c r="B15" s="1261"/>
      <c r="C15" s="1261"/>
      <c r="D15" s="1261"/>
      <c r="E15" s="1261"/>
    </row>
    <row r="16" spans="1:5" s="459" customFormat="1" ht="12" customHeight="1">
      <c r="A16" s="1264" t="s">
        <v>282</v>
      </c>
      <c r="B16" s="1264"/>
      <c r="C16" s="1264"/>
      <c r="D16" s="1264"/>
      <c r="E16" s="1264"/>
    </row>
    <row r="17" spans="1:5" s="459" customFormat="1" ht="88.5" customHeight="1">
      <c r="A17" s="1269" t="s">
        <v>668</v>
      </c>
      <c r="B17" s="1269"/>
      <c r="C17" s="1269"/>
      <c r="D17" s="1269"/>
      <c r="E17" s="1269"/>
    </row>
    <row r="18" spans="1:5" s="503" customFormat="1" ht="15.75" customHeight="1">
      <c r="A18" s="442" t="str">
        <f>CONCATENATE("Nacalculatieformulier ",Voorblad!D3)</f>
        <v>Nacalculatieformulier 2004</v>
      </c>
      <c r="B18" s="535"/>
      <c r="C18" s="566"/>
      <c r="D18" s="583"/>
      <c r="E18" s="600">
        <v>4</v>
      </c>
    </row>
    <row r="19" spans="1:5" s="503" customFormat="1" ht="12" customHeight="1">
      <c r="A19" s="598"/>
      <c r="B19" s="504"/>
      <c r="C19" s="584"/>
      <c r="D19" s="584"/>
      <c r="E19" s="597"/>
    </row>
    <row r="20" ht="12"/>
    <row r="21" spans="1:5" s="459" customFormat="1" ht="12" customHeight="1">
      <c r="A21" s="627" t="s">
        <v>283</v>
      </c>
      <c r="B21" s="589"/>
      <c r="C21" s="588"/>
      <c r="D21" s="588"/>
      <c r="E21" s="588"/>
    </row>
    <row r="22" spans="1:5" s="463" customFormat="1" ht="65.25" customHeight="1">
      <c r="A22" s="1270" t="s">
        <v>669</v>
      </c>
      <c r="B22" s="1271"/>
      <c r="C22" s="1271"/>
      <c r="D22" s="1271"/>
      <c r="E22" s="1271"/>
    </row>
    <row r="23" spans="1:5" s="459" customFormat="1" ht="13.5" customHeight="1">
      <c r="A23" s="1272" t="s">
        <v>284</v>
      </c>
      <c r="B23" s="1272"/>
      <c r="C23" s="1272"/>
      <c r="D23" s="1272"/>
      <c r="E23" s="1272"/>
    </row>
    <row r="24" spans="1:5" s="459" customFormat="1" ht="37.5" customHeight="1">
      <c r="A24" s="1262" t="s">
        <v>670</v>
      </c>
      <c r="B24" s="1262"/>
      <c r="C24" s="1262"/>
      <c r="D24" s="1262"/>
      <c r="E24" s="1262"/>
    </row>
    <row r="25" spans="1:5" s="459" customFormat="1" ht="13.5" customHeight="1">
      <c r="A25" s="965" t="s">
        <v>285</v>
      </c>
      <c r="B25" s="587"/>
      <c r="C25" s="588"/>
      <c r="D25" s="588"/>
      <c r="E25" s="588"/>
    </row>
    <row r="26" spans="1:5" s="459" customFormat="1" ht="67.5" customHeight="1">
      <c r="A26" s="1266" t="s">
        <v>671</v>
      </c>
      <c r="B26" s="1266"/>
      <c r="C26" s="1266"/>
      <c r="D26" s="1266"/>
      <c r="E26" s="1266"/>
    </row>
    <row r="27" spans="1:5" s="459" customFormat="1" ht="15.75" customHeight="1">
      <c r="A27" s="41"/>
      <c r="B27" s="41" t="s">
        <v>432</v>
      </c>
      <c r="C27" s="596"/>
      <c r="D27" s="596"/>
      <c r="E27" s="597"/>
    </row>
    <row r="28" spans="1:5" s="459" customFormat="1" ht="51" customHeight="1">
      <c r="A28" s="1273" t="s">
        <v>278</v>
      </c>
      <c r="B28" s="1243"/>
      <c r="C28" s="1243"/>
      <c r="D28" s="1243"/>
      <c r="E28" s="1243"/>
    </row>
    <row r="29" spans="1:5" s="459" customFormat="1" ht="19.5" customHeight="1">
      <c r="A29" s="41" t="s">
        <v>148</v>
      </c>
      <c r="B29" s="41" t="s">
        <v>304</v>
      </c>
      <c r="C29" s="594"/>
      <c r="D29" s="594"/>
      <c r="E29" s="594"/>
    </row>
    <row r="30" spans="1:5" s="459" customFormat="1" ht="51" customHeight="1">
      <c r="A30" s="1267" t="s">
        <v>505</v>
      </c>
      <c r="B30" s="1266"/>
      <c r="C30" s="1266"/>
      <c r="D30" s="1266"/>
      <c r="E30" s="1266"/>
    </row>
    <row r="31" spans="1:5" s="459" customFormat="1" ht="15.75" customHeight="1">
      <c r="A31" s="41" t="s">
        <v>149</v>
      </c>
      <c r="B31" s="41" t="s">
        <v>425</v>
      </c>
      <c r="C31" s="599"/>
      <c r="D31" s="599"/>
      <c r="E31" s="42"/>
    </row>
    <row r="32" spans="1:5" s="459" customFormat="1" ht="42" customHeight="1">
      <c r="A32" s="1266" t="s">
        <v>672</v>
      </c>
      <c r="B32" s="1266"/>
      <c r="C32" s="1266"/>
      <c r="D32" s="1266"/>
      <c r="E32" s="1266"/>
    </row>
    <row r="33" spans="1:5" s="459" customFormat="1" ht="16.5" customHeight="1">
      <c r="A33" s="41" t="s">
        <v>150</v>
      </c>
      <c r="B33" s="41" t="s">
        <v>426</v>
      </c>
      <c r="C33" s="599"/>
      <c r="D33" s="599"/>
      <c r="E33" s="42"/>
    </row>
    <row r="34" spans="1:5" s="459" customFormat="1" ht="57" customHeight="1">
      <c r="A34" s="1274" t="s">
        <v>673</v>
      </c>
      <c r="B34" s="1266"/>
      <c r="C34" s="1266"/>
      <c r="D34" s="1266"/>
      <c r="E34" s="1266"/>
    </row>
    <row r="35" spans="1:5" s="459" customFormat="1" ht="15.75" customHeight="1">
      <c r="A35" s="41" t="s">
        <v>541</v>
      </c>
      <c r="B35" s="41" t="s">
        <v>154</v>
      </c>
      <c r="C35" s="584"/>
      <c r="D35" s="584"/>
      <c r="E35" s="597"/>
    </row>
    <row r="36" spans="1:5" s="459" customFormat="1" ht="32.25" customHeight="1">
      <c r="A36" s="1266" t="s">
        <v>674</v>
      </c>
      <c r="B36" s="1266"/>
      <c r="C36" s="1266"/>
      <c r="D36" s="1266"/>
      <c r="E36" s="1266"/>
    </row>
    <row r="37" spans="1:5" s="503" customFormat="1" ht="15.75" customHeight="1">
      <c r="A37" s="442" t="str">
        <f>CONCATENATE("Nacalculatieformulier ",Voorblad!D3)</f>
        <v>Nacalculatieformulier 2004</v>
      </c>
      <c r="B37" s="535"/>
      <c r="C37" s="566"/>
      <c r="D37" s="583"/>
      <c r="E37" s="600">
        <v>5</v>
      </c>
    </row>
    <row r="38" spans="1:5" s="503" customFormat="1" ht="12" customHeight="1">
      <c r="A38" s="571"/>
      <c r="B38" s="504"/>
      <c r="C38" s="584"/>
      <c r="D38" s="584"/>
      <c r="E38" s="585"/>
    </row>
    <row r="39" spans="1:5" s="459" customFormat="1" ht="15.75" customHeight="1">
      <c r="A39" s="41" t="s">
        <v>542</v>
      </c>
      <c r="B39" s="41" t="s">
        <v>543</v>
      </c>
      <c r="C39" s="584"/>
      <c r="D39" s="584"/>
      <c r="E39" s="597"/>
    </row>
    <row r="40" spans="1:5" s="459" customFormat="1" ht="87" customHeight="1">
      <c r="A40" s="1266" t="s">
        <v>675</v>
      </c>
      <c r="B40" s="1266"/>
      <c r="C40" s="1266"/>
      <c r="D40" s="1266"/>
      <c r="E40" s="1266"/>
    </row>
    <row r="41" spans="1:5" s="459" customFormat="1" ht="12" customHeight="1">
      <c r="A41" s="41" t="s">
        <v>297</v>
      </c>
      <c r="B41" s="41" t="s">
        <v>295</v>
      </c>
      <c r="C41" s="593"/>
      <c r="D41" s="593"/>
      <c r="E41" s="42"/>
    </row>
    <row r="42" spans="1:5" s="459" customFormat="1" ht="27.75" customHeight="1">
      <c r="A42" s="1266" t="s">
        <v>677</v>
      </c>
      <c r="B42" s="1275"/>
      <c r="C42" s="1275"/>
      <c r="D42" s="1275"/>
      <c r="E42" s="1275"/>
    </row>
    <row r="43" spans="1:5" s="459" customFormat="1" ht="53.25" customHeight="1">
      <c r="A43" s="1266" t="s">
        <v>676</v>
      </c>
      <c r="B43" s="1275"/>
      <c r="C43" s="1275"/>
      <c r="D43" s="1275"/>
      <c r="E43" s="1275"/>
    </row>
    <row r="44" spans="1:5" s="459" customFormat="1" ht="29.25" customHeight="1">
      <c r="A44" s="1266" t="s">
        <v>436</v>
      </c>
      <c r="B44" s="1275"/>
      <c r="C44" s="1275"/>
      <c r="D44" s="1275"/>
      <c r="E44" s="1275"/>
    </row>
    <row r="45" spans="1:5" s="459" customFormat="1" ht="42.75" customHeight="1">
      <c r="A45" s="1266" t="s">
        <v>435</v>
      </c>
      <c r="B45" s="1275"/>
      <c r="C45" s="1275"/>
      <c r="D45" s="1275"/>
      <c r="E45" s="1275"/>
    </row>
    <row r="46" spans="1:5" s="459" customFormat="1" ht="42" customHeight="1">
      <c r="A46" s="1277" t="s">
        <v>678</v>
      </c>
      <c r="B46" s="1276"/>
      <c r="C46" s="1276"/>
      <c r="D46" s="1276"/>
      <c r="E46" s="1276"/>
    </row>
    <row r="47" spans="1:5" s="459" customFormat="1" ht="42" customHeight="1">
      <c r="A47" s="1276" t="s">
        <v>437</v>
      </c>
      <c r="B47" s="1276"/>
      <c r="C47" s="1276"/>
      <c r="D47" s="1276"/>
      <c r="E47" s="1276"/>
    </row>
    <row r="48" spans="1:5" s="459" customFormat="1" ht="12">
      <c r="A48" s="41" t="s">
        <v>299</v>
      </c>
      <c r="B48" s="41" t="s">
        <v>298</v>
      </c>
      <c r="C48" s="42"/>
      <c r="D48" s="42"/>
      <c r="E48" s="42"/>
    </row>
    <row r="49" spans="1:5" s="459" customFormat="1" ht="50.25" customHeight="1">
      <c r="A49" s="1274" t="s">
        <v>679</v>
      </c>
      <c r="B49" s="1266"/>
      <c r="C49" s="1266"/>
      <c r="D49" s="1266"/>
      <c r="E49" s="1266"/>
    </row>
    <row r="50" spans="1:5" s="459" customFormat="1" ht="47.25" customHeight="1">
      <c r="A50" s="1274" t="s">
        <v>276</v>
      </c>
      <c r="B50" s="1266"/>
      <c r="C50" s="1266"/>
      <c r="D50" s="1266"/>
      <c r="E50" s="1266"/>
    </row>
    <row r="51" spans="1:5" s="459" customFormat="1" ht="12">
      <c r="A51" s="41" t="s">
        <v>544</v>
      </c>
      <c r="B51" s="41" t="s">
        <v>412</v>
      </c>
      <c r="C51" s="42"/>
      <c r="D51" s="42"/>
      <c r="E51" s="42"/>
    </row>
    <row r="52" spans="1:5" s="459" customFormat="1" ht="36" customHeight="1">
      <c r="A52" s="1266" t="s">
        <v>277</v>
      </c>
      <c r="B52" s="1266"/>
      <c r="C52" s="1266"/>
      <c r="D52" s="1266"/>
      <c r="E52" s="1266"/>
    </row>
    <row r="53" s="459" customFormat="1" ht="12">
      <c r="A53" s="458"/>
    </row>
    <row r="54" spans="1:5" s="459" customFormat="1" ht="12">
      <c r="A54" s="553"/>
      <c r="B54" s="513"/>
      <c r="C54" s="513"/>
      <c r="D54" s="513"/>
      <c r="E54" s="513"/>
    </row>
  </sheetData>
  <sheetProtection password="CFAD" sheet="1" objects="1" scenarios="1"/>
  <mergeCells count="29">
    <mergeCell ref="A49:E49"/>
    <mergeCell ref="A50:E50"/>
    <mergeCell ref="A52:E52"/>
    <mergeCell ref="A43:E43"/>
    <mergeCell ref="A44:E44"/>
    <mergeCell ref="A45:E45"/>
    <mergeCell ref="A47:E47"/>
    <mergeCell ref="A46:E46"/>
    <mergeCell ref="A34:E34"/>
    <mergeCell ref="A36:E36"/>
    <mergeCell ref="A40:E40"/>
    <mergeCell ref="A42:E42"/>
    <mergeCell ref="A26:E26"/>
    <mergeCell ref="A28:E28"/>
    <mergeCell ref="A30:E30"/>
    <mergeCell ref="A32:E32"/>
    <mergeCell ref="A17:E17"/>
    <mergeCell ref="A22:E22"/>
    <mergeCell ref="A23:E23"/>
    <mergeCell ref="A24:E24"/>
    <mergeCell ref="A7:E7"/>
    <mergeCell ref="A9:E9"/>
    <mergeCell ref="A13:E13"/>
    <mergeCell ref="A8:B8"/>
    <mergeCell ref="A10:B10"/>
    <mergeCell ref="A15:E15"/>
    <mergeCell ref="A11:E11"/>
    <mergeCell ref="A14:B14"/>
    <mergeCell ref="A16:E16"/>
  </mergeCells>
  <printOptions/>
  <pageMargins left="0.3937007874015748" right="0.3937007874015748" top="0.3937007874015748" bottom="0.1968503937007874" header="0.5118110236220472" footer="0.11811023622047245"/>
  <pageSetup fitToHeight="3" horizontalDpi="300" verticalDpi="300" orientation="landscape" paperSize="9" r:id="rId2"/>
  <rowBreaks count="1" manualBreakCount="1">
    <brk id="17" max="255" man="1"/>
  </rowBreaks>
  <drawing r:id="rId1"/>
</worksheet>
</file>

<file path=xl/worksheets/sheet5.xml><?xml version="1.0" encoding="utf-8"?>
<worksheet xmlns="http://schemas.openxmlformats.org/spreadsheetml/2006/main" xmlns:r="http://schemas.openxmlformats.org/officeDocument/2006/relationships">
  <sheetPr codeName="Blad5"/>
  <dimension ref="A1:U46"/>
  <sheetViews>
    <sheetView showGridLines="0" zoomScale="86" zoomScaleNormal="86" workbookViewId="0" topLeftCell="A25">
      <selection activeCell="I44" sqref="I44:J44"/>
    </sheetView>
  </sheetViews>
  <sheetFormatPr defaultColWidth="9.140625" defaultRowHeight="12.75"/>
  <cols>
    <col min="1" max="1" width="4.57421875" style="915" customWidth="1"/>
    <col min="2" max="2" width="33.00390625" style="565" customWidth="1"/>
    <col min="3" max="3" width="11.7109375" style="908" customWidth="1"/>
    <col min="4" max="4" width="10.7109375" style="898" customWidth="1"/>
    <col min="5" max="5" width="11.140625" style="898" customWidth="1"/>
    <col min="6" max="6" width="10.7109375" style="898" customWidth="1"/>
    <col min="7" max="7" width="11.421875" style="909" customWidth="1"/>
    <col min="8" max="8" width="10.7109375" style="909" customWidth="1"/>
    <col min="9" max="11" width="12.140625" style="898" customWidth="1"/>
    <col min="12" max="12" width="9.140625" style="565" customWidth="1"/>
    <col min="13" max="13" width="12.00390625" style="565" customWidth="1"/>
    <col min="14" max="15" width="9.140625" style="565" customWidth="1"/>
    <col min="16" max="16" width="25.421875" style="565" customWidth="1"/>
    <col min="17" max="16384" width="9.140625" style="565" customWidth="1"/>
  </cols>
  <sheetData>
    <row r="1" spans="1:13" s="457" customFormat="1" ht="15.75" customHeight="1">
      <c r="A1" s="930"/>
      <c r="B1" s="459"/>
      <c r="C1" s="459"/>
      <c r="D1" s="563"/>
      <c r="E1" s="459"/>
      <c r="F1" s="459"/>
      <c r="H1" s="455"/>
      <c r="J1" s="929"/>
      <c r="K1" s="929"/>
      <c r="L1" s="455"/>
      <c r="M1" s="455"/>
    </row>
    <row r="2" spans="1:13" s="503" customFormat="1" ht="15.75" customHeight="1">
      <c r="A2" s="442" t="str">
        <f>CONCATENATE("Nacalculatieformulier ",Voorblad!D3)</f>
        <v>Nacalculatieformulier 2004</v>
      </c>
      <c r="B2" s="601"/>
      <c r="C2" s="601"/>
      <c r="D2" s="601"/>
      <c r="E2" s="601"/>
      <c r="F2" s="605" t="b">
        <f>Voorblad!D30</f>
        <v>1</v>
      </c>
      <c r="G2" s="601"/>
      <c r="H2" s="601"/>
      <c r="I2" s="601"/>
      <c r="J2" s="538"/>
      <c r="K2" s="600">
        <f>+instructie!E37+1</f>
        <v>6</v>
      </c>
      <c r="L2" s="91"/>
      <c r="M2" s="91"/>
    </row>
    <row r="3" spans="1:13" s="503" customFormat="1" ht="15.75" customHeight="1">
      <c r="A3" s="949"/>
      <c r="B3" s="91"/>
      <c r="C3" s="91"/>
      <c r="D3" s="91"/>
      <c r="E3" s="91"/>
      <c r="F3" s="950"/>
      <c r="G3" s="91"/>
      <c r="H3" s="91"/>
      <c r="I3" s="91"/>
      <c r="J3" s="504"/>
      <c r="K3" s="597"/>
      <c r="L3" s="91"/>
      <c r="M3" s="91"/>
    </row>
    <row r="4" spans="1:13" ht="12" customHeight="1">
      <c r="A4" s="931" t="s">
        <v>514</v>
      </c>
      <c r="B4" s="900"/>
      <c r="C4" s="900"/>
      <c r="D4" s="900"/>
      <c r="E4" s="565"/>
      <c r="F4" s="565"/>
      <c r="G4" s="565"/>
      <c r="H4" s="565"/>
      <c r="I4" s="565"/>
      <c r="J4" s="565"/>
      <c r="K4" s="565"/>
      <c r="L4" s="892"/>
      <c r="M4" s="892"/>
    </row>
    <row r="5" spans="2:6" ht="12.75" customHeight="1">
      <c r="B5" s="900"/>
      <c r="F5" s="934"/>
    </row>
    <row r="6" spans="1:11" ht="12.75" customHeight="1">
      <c r="A6" s="931" t="s">
        <v>115</v>
      </c>
      <c r="B6" s="900" t="str">
        <f>CONCATENATE("Productieaantallen en realisatie ",Voorblad!D3,"")</f>
        <v>Productieaantallen en realisatie 2004</v>
      </c>
      <c r="C6" s="918" t="s">
        <v>534</v>
      </c>
      <c r="D6" s="919" t="s">
        <v>533</v>
      </c>
      <c r="E6" s="932" t="s">
        <v>69</v>
      </c>
      <c r="F6" s="919" t="s">
        <v>532</v>
      </c>
      <c r="G6" s="1295" t="s">
        <v>531</v>
      </c>
      <c r="H6" s="1296"/>
      <c r="I6" s="1293" t="s">
        <v>18</v>
      </c>
      <c r="J6" s="1294"/>
      <c r="K6" s="919" t="s">
        <v>467</v>
      </c>
    </row>
    <row r="7" spans="3:14" ht="12.75" customHeight="1">
      <c r="C7" s="935" t="s">
        <v>428</v>
      </c>
      <c r="D7" s="920">
        <f>Voorblad!D3</f>
        <v>2004</v>
      </c>
      <c r="E7" s="921">
        <f>Voorblad!D3</f>
        <v>2004</v>
      </c>
      <c r="F7" s="933"/>
      <c r="G7" s="922" t="s">
        <v>468</v>
      </c>
      <c r="H7" s="922" t="s">
        <v>469</v>
      </c>
      <c r="I7" s="923" t="s">
        <v>468</v>
      </c>
      <c r="J7" s="923" t="s">
        <v>469</v>
      </c>
      <c r="K7" s="920">
        <f>Voorblad!D3</f>
        <v>2004</v>
      </c>
      <c r="N7" s="1038"/>
    </row>
    <row r="8" spans="2:15" ht="12.75" customHeight="1">
      <c r="B8" s="892"/>
      <c r="C8" s="911"/>
      <c r="D8" s="912"/>
      <c r="E8" s="912"/>
      <c r="F8" s="912"/>
      <c r="G8" s="913"/>
      <c r="H8" s="913"/>
      <c r="I8" s="912"/>
      <c r="J8" s="912"/>
      <c r="K8" s="912"/>
      <c r="M8" s="565" t="s">
        <v>610</v>
      </c>
      <c r="N8" s="910">
        <v>1.0165</v>
      </c>
      <c r="O8" s="910">
        <v>1.0078</v>
      </c>
    </row>
    <row r="9" spans="1:18" ht="12" customHeight="1">
      <c r="A9" s="937">
        <f>K2*100+1</f>
        <v>601</v>
      </c>
      <c r="B9" s="878" t="s">
        <v>255</v>
      </c>
      <c r="C9" s="879"/>
      <c r="D9" s="433"/>
      <c r="E9" s="433"/>
      <c r="F9" s="936">
        <f aca="true" t="shared" si="0" ref="F9:F27">D9-E9</f>
        <v>0</v>
      </c>
      <c r="G9" s="1193"/>
      <c r="H9" s="1193"/>
      <c r="I9" s="926">
        <f>(F9*G9*'Prod.1.1en1.2'!$N$8)</f>
        <v>0</v>
      </c>
      <c r="J9" s="925">
        <f>(F9*H9*'Prod.1.1en1.2'!$O$8)</f>
        <v>0</v>
      </c>
      <c r="K9" s="925">
        <f>ROUND(D9*G9*'Prod.1.1en1.2'!$N$8,0)+ROUND(D9*H9*'Prod.1.1en1.2'!$O$8,0)</f>
        <v>0</v>
      </c>
      <c r="M9" s="908"/>
      <c r="N9" s="898"/>
      <c r="O9" s="898"/>
      <c r="P9" s="898"/>
      <c r="Q9" s="898"/>
      <c r="R9" s="898"/>
    </row>
    <row r="10" spans="1:21" ht="12" customHeight="1">
      <c r="A10" s="937">
        <f aca="true" t="shared" si="1" ref="A10:A27">A9+1</f>
        <v>602</v>
      </c>
      <c r="B10" s="878" t="s">
        <v>256</v>
      </c>
      <c r="C10" s="879"/>
      <c r="D10" s="433"/>
      <c r="E10" s="433"/>
      <c r="F10" s="936">
        <f t="shared" si="0"/>
        <v>0</v>
      </c>
      <c r="G10" s="1193"/>
      <c r="H10" s="1193"/>
      <c r="I10" s="926">
        <f>(F10*G10*'Prod.1.1en1.2'!$N$8)</f>
        <v>0</v>
      </c>
      <c r="J10" s="925">
        <f>(F10*H10*'Prod.1.1en1.2'!$O$8)</f>
        <v>0</v>
      </c>
      <c r="K10" s="925">
        <f>ROUND(D10*G10*'Prod.1.1en1.2'!$N$8,0)+ROUND(D10*H10*'Prod.1.1en1.2'!$O$8,0)</f>
        <v>0</v>
      </c>
      <c r="M10" s="908"/>
      <c r="N10" s="898"/>
      <c r="O10" s="898"/>
      <c r="P10" s="898"/>
      <c r="Q10" s="909"/>
      <c r="R10" s="909"/>
      <c r="S10" s="898"/>
      <c r="T10" s="898"/>
      <c r="U10" s="898"/>
    </row>
    <row r="11" spans="1:21" ht="12" customHeight="1">
      <c r="A11" s="937">
        <f t="shared" si="1"/>
        <v>603</v>
      </c>
      <c r="B11" s="878" t="s">
        <v>258</v>
      </c>
      <c r="C11" s="879"/>
      <c r="D11" s="433"/>
      <c r="E11" s="433"/>
      <c r="F11" s="936">
        <f t="shared" si="0"/>
        <v>0</v>
      </c>
      <c r="G11" s="1193"/>
      <c r="H11" s="1193"/>
      <c r="I11" s="926">
        <f>(F11*G11*'Prod.1.1en1.2'!$N$8)</f>
        <v>0</v>
      </c>
      <c r="J11" s="925">
        <f>(F11*H11*'Prod.1.1en1.2'!$O$8)</f>
        <v>0</v>
      </c>
      <c r="K11" s="925">
        <f>ROUND(D11*G11*'Prod.1.1en1.2'!$N$8,0)+ROUND(D11*H11*'Prod.1.1en1.2'!$O$8,0)</f>
        <v>0</v>
      </c>
      <c r="M11" s="908"/>
      <c r="N11" s="898"/>
      <c r="O11" s="898"/>
      <c r="P11" s="898"/>
      <c r="Q11" s="909"/>
      <c r="R11" s="909"/>
      <c r="S11" s="898"/>
      <c r="T11" s="898"/>
      <c r="U11" s="898"/>
    </row>
    <row r="12" spans="1:21" ht="12" customHeight="1">
      <c r="A12" s="937">
        <f t="shared" si="1"/>
        <v>604</v>
      </c>
      <c r="B12" s="878" t="s">
        <v>257</v>
      </c>
      <c r="C12" s="879"/>
      <c r="D12" s="433"/>
      <c r="E12" s="433"/>
      <c r="F12" s="936">
        <f t="shared" si="0"/>
        <v>0</v>
      </c>
      <c r="G12" s="1193"/>
      <c r="H12" s="1193"/>
      <c r="I12" s="926">
        <f>(F12*G12*'Prod.1.1en1.2'!$N$8)</f>
        <v>0</v>
      </c>
      <c r="J12" s="925">
        <f>(F12*H12*'Prod.1.1en1.2'!$O$8)</f>
        <v>0</v>
      </c>
      <c r="K12" s="925">
        <f>ROUND(D12*G12*'Prod.1.1en1.2'!$N$8,0)+ROUND(D12*H12*'Prod.1.1en1.2'!$O$8,0)</f>
        <v>0</v>
      </c>
      <c r="M12" s="908"/>
      <c r="N12" s="898"/>
      <c r="O12" s="898"/>
      <c r="P12" s="898"/>
      <c r="Q12" s="909"/>
      <c r="R12" s="909"/>
      <c r="S12" s="898"/>
      <c r="T12" s="898"/>
      <c r="U12" s="898"/>
    </row>
    <row r="13" spans="1:21" ht="12" customHeight="1">
      <c r="A13" s="937">
        <f t="shared" si="1"/>
        <v>605</v>
      </c>
      <c r="B13" s="878" t="s">
        <v>259</v>
      </c>
      <c r="C13" s="879"/>
      <c r="D13" s="433"/>
      <c r="E13" s="433"/>
      <c r="F13" s="936">
        <f t="shared" si="0"/>
        <v>0</v>
      </c>
      <c r="G13" s="1077">
        <f>'G1'!B20</f>
        <v>2694.84</v>
      </c>
      <c r="H13" s="1077">
        <f>'G1'!C20</f>
        <v>4194.51</v>
      </c>
      <c r="I13" s="926">
        <f>(F13*G13*'Prod.1.1en1.2'!$N$8)</f>
        <v>0</v>
      </c>
      <c r="J13" s="925">
        <f>(F13*H13*'Prod.1.1en1.2'!$O$8)</f>
        <v>0</v>
      </c>
      <c r="K13" s="925">
        <f>ROUND(D13*G13*'Prod.1.1en1.2'!$N$8,0)+ROUND(D13*H13*'Prod.1.1en1.2'!$O$8,0)</f>
        <v>0</v>
      </c>
      <c r="M13" s="908"/>
      <c r="N13" s="898"/>
      <c r="O13" s="898"/>
      <c r="P13" s="898"/>
      <c r="Q13" s="909"/>
      <c r="R13" s="909"/>
      <c r="S13" s="898"/>
      <c r="T13" s="898"/>
      <c r="U13" s="898"/>
    </row>
    <row r="14" spans="1:21" ht="12" customHeight="1">
      <c r="A14" s="937">
        <f t="shared" si="1"/>
        <v>606</v>
      </c>
      <c r="B14" s="878" t="s">
        <v>238</v>
      </c>
      <c r="C14" s="879"/>
      <c r="D14" s="433"/>
      <c r="E14" s="433"/>
      <c r="F14" s="936">
        <f t="shared" si="0"/>
        <v>0</v>
      </c>
      <c r="G14" s="1077">
        <f>'G1'!B21</f>
        <v>0</v>
      </c>
      <c r="H14" s="1077">
        <f>'G1'!C21</f>
        <v>4083.07</v>
      </c>
      <c r="I14" s="926">
        <f>(F14*G14*'Prod.1.1en1.2'!$N$8)</f>
        <v>0</v>
      </c>
      <c r="J14" s="925">
        <f>(F14*H14*'Prod.1.1en1.2'!$O$8)</f>
        <v>0</v>
      </c>
      <c r="K14" s="925">
        <f>ROUND(D14*G14*'Prod.1.1en1.2'!$N$8,0)+ROUND(D14*H14*'Prod.1.1en1.2'!$O$8,0)</f>
        <v>0</v>
      </c>
      <c r="M14" s="908"/>
      <c r="N14" s="898"/>
      <c r="O14" s="898"/>
      <c r="P14" s="898"/>
      <c r="Q14" s="909"/>
      <c r="R14" s="909"/>
      <c r="S14" s="898"/>
      <c r="T14" s="898"/>
      <c r="U14" s="898"/>
    </row>
    <row r="15" spans="1:21" ht="12" customHeight="1">
      <c r="A15" s="937">
        <f t="shared" si="1"/>
        <v>607</v>
      </c>
      <c r="B15" s="878" t="s">
        <v>260</v>
      </c>
      <c r="C15" s="879"/>
      <c r="D15" s="433"/>
      <c r="E15" s="433"/>
      <c r="F15" s="936">
        <f t="shared" si="0"/>
        <v>0</v>
      </c>
      <c r="G15" s="1077">
        <f>'G1'!B22</f>
        <v>0</v>
      </c>
      <c r="H15" s="1077">
        <f>'G1'!C22</f>
        <v>832.7</v>
      </c>
      <c r="I15" s="926">
        <f>(F15*G15*'Prod.1.1en1.2'!$N$8)</f>
        <v>0</v>
      </c>
      <c r="J15" s="925">
        <f>(F15*H15*'Prod.1.1en1.2'!$O$8)</f>
        <v>0</v>
      </c>
      <c r="K15" s="925">
        <f>ROUND(D15*G15*'Prod.1.1en1.2'!$N$8,0)+ROUND(D15*H15*'Prod.1.1en1.2'!$O$8,0)</f>
        <v>0</v>
      </c>
      <c r="M15" s="908"/>
      <c r="N15" s="898"/>
      <c r="O15" s="898"/>
      <c r="P15" s="898"/>
      <c r="Q15" s="909"/>
      <c r="R15" s="909"/>
      <c r="S15" s="898"/>
      <c r="T15" s="898"/>
      <c r="U15" s="898"/>
    </row>
    <row r="16" spans="1:21" ht="12" customHeight="1">
      <c r="A16" s="937">
        <f t="shared" si="1"/>
        <v>608</v>
      </c>
      <c r="B16" s="878" t="s">
        <v>239</v>
      </c>
      <c r="C16" s="879"/>
      <c r="D16" s="433"/>
      <c r="E16" s="433"/>
      <c r="F16" s="936">
        <f t="shared" si="0"/>
        <v>0</v>
      </c>
      <c r="G16" s="1077">
        <f>'G1'!B47</f>
        <v>402.08</v>
      </c>
      <c r="H16" s="1077">
        <f>'G1'!C47</f>
        <v>262.75</v>
      </c>
      <c r="I16" s="926">
        <f>(F16*G16*'Prod.1.1en1.2'!$N$8)</f>
        <v>0</v>
      </c>
      <c r="J16" s="925">
        <f>(F16*H16*'Prod.1.1en1.2'!$O$8)</f>
        <v>0</v>
      </c>
      <c r="K16" s="925">
        <f>ROUND(D16*G16*'Prod.1.1en1.2'!$N$8,0)+ROUND(D16*H16*'Prod.1.1en1.2'!$O$8,0)</f>
        <v>0</v>
      </c>
      <c r="M16" s="908"/>
      <c r="N16" s="898"/>
      <c r="O16" s="898"/>
      <c r="P16" s="898"/>
      <c r="Q16" s="909"/>
      <c r="R16" s="909"/>
      <c r="S16" s="898"/>
      <c r="T16" s="898"/>
      <c r="U16" s="898"/>
    </row>
    <row r="17" spans="1:21" ht="12" customHeight="1">
      <c r="A17" s="937">
        <f t="shared" si="1"/>
        <v>609</v>
      </c>
      <c r="B17" s="878" t="s">
        <v>261</v>
      </c>
      <c r="C17" s="879" t="s">
        <v>240</v>
      </c>
      <c r="D17" s="433"/>
      <c r="E17" s="433"/>
      <c r="F17" s="936">
        <f t="shared" si="0"/>
        <v>0</v>
      </c>
      <c r="G17" s="1077">
        <f>'G1'!B74</f>
        <v>211.47</v>
      </c>
      <c r="H17" s="1077">
        <f>'G1'!C74</f>
        <v>103.25</v>
      </c>
      <c r="I17" s="926">
        <f>(F17*G17*'Prod.1.1en1.2'!$N$8)</f>
        <v>0</v>
      </c>
      <c r="J17" s="925">
        <f>(F17*H17*'Prod.1.1en1.2'!$O$8)</f>
        <v>0</v>
      </c>
      <c r="K17" s="925">
        <f>ROUND(D17*G17*'Prod.1.1en1.2'!$N$8,0)+ROUND(D17*H17*'Prod.1.1en1.2'!$O$8,0)</f>
        <v>0</v>
      </c>
      <c r="M17" s="908"/>
      <c r="N17" s="898"/>
      <c r="O17" s="898"/>
      <c r="P17" s="898"/>
      <c r="Q17" s="909"/>
      <c r="R17" s="909"/>
      <c r="S17" s="898"/>
      <c r="T17" s="898"/>
      <c r="U17" s="898"/>
    </row>
    <row r="18" spans="1:21" ht="12" customHeight="1">
      <c r="A18" s="937">
        <f t="shared" si="1"/>
        <v>610</v>
      </c>
      <c r="B18" s="878" t="s">
        <v>262</v>
      </c>
      <c r="C18" s="879" t="s">
        <v>241</v>
      </c>
      <c r="D18" s="433"/>
      <c r="E18" s="433"/>
      <c r="F18" s="936">
        <f t="shared" si="0"/>
        <v>0</v>
      </c>
      <c r="G18" s="1077">
        <f>'G1'!B52</f>
        <v>171.49</v>
      </c>
      <c r="H18" s="1077">
        <f>'G1'!C52</f>
        <v>135.49</v>
      </c>
      <c r="I18" s="926">
        <f>(F18*G18*'Prod.1.1en1.2'!$N$8)</f>
        <v>0</v>
      </c>
      <c r="J18" s="925">
        <f>(F18*H18*'Prod.1.1en1.2'!$O$8)</f>
        <v>0</v>
      </c>
      <c r="K18" s="925">
        <f>ROUND(D18*G18*'Prod.1.1en1.2'!$N$8,0)+ROUND(D18*H18*'Prod.1.1en1.2'!$O$8,0)</f>
        <v>0</v>
      </c>
      <c r="M18" s="908"/>
      <c r="N18" s="898"/>
      <c r="O18" s="898"/>
      <c r="P18" s="898"/>
      <c r="Q18" s="909"/>
      <c r="R18" s="909"/>
      <c r="S18" s="898"/>
      <c r="T18" s="898"/>
      <c r="U18" s="898"/>
    </row>
    <row r="19" spans="1:21" ht="12" customHeight="1">
      <c r="A19" s="937">
        <f t="shared" si="1"/>
        <v>611</v>
      </c>
      <c r="B19" s="878" t="s">
        <v>242</v>
      </c>
      <c r="C19" s="879" t="s">
        <v>243</v>
      </c>
      <c r="D19" s="433"/>
      <c r="E19" s="433"/>
      <c r="F19" s="936">
        <f t="shared" si="0"/>
        <v>0</v>
      </c>
      <c r="G19" s="1077">
        <f>'G1'!B53</f>
        <v>17.51</v>
      </c>
      <c r="H19" s="1077">
        <f>'G1'!C53</f>
        <v>79.26</v>
      </c>
      <c r="I19" s="926">
        <f>(F19*G19*'Prod.1.1en1.2'!$N$8)</f>
        <v>0</v>
      </c>
      <c r="J19" s="925">
        <f>(F19*H19*'Prod.1.1en1.2'!$O$8)</f>
        <v>0</v>
      </c>
      <c r="K19" s="925">
        <f>ROUND(D19*G19*'Prod.1.1en1.2'!$N$8,0)+ROUND(D19*H19*'Prod.1.1en1.2'!$O$8,0)</f>
        <v>0</v>
      </c>
      <c r="M19" s="908"/>
      <c r="N19" s="898"/>
      <c r="O19" s="898"/>
      <c r="P19" s="898"/>
      <c r="Q19" s="909"/>
      <c r="R19" s="909"/>
      <c r="S19" s="898"/>
      <c r="T19" s="898"/>
      <c r="U19" s="898"/>
    </row>
    <row r="20" spans="1:21" ht="12" customHeight="1">
      <c r="A20" s="937">
        <f t="shared" si="1"/>
        <v>612</v>
      </c>
      <c r="B20" s="878" t="s">
        <v>263</v>
      </c>
      <c r="C20" s="879" t="s">
        <v>244</v>
      </c>
      <c r="D20" s="433"/>
      <c r="E20" s="433"/>
      <c r="F20" s="936">
        <f t="shared" si="0"/>
        <v>0</v>
      </c>
      <c r="G20" s="1077">
        <f>'G1'!B54</f>
        <v>171.49</v>
      </c>
      <c r="H20" s="1077">
        <f>'G1'!C54</f>
        <v>195</v>
      </c>
      <c r="I20" s="926">
        <f>(F20*G20*'Prod.1.1en1.2'!$N$8)</f>
        <v>0</v>
      </c>
      <c r="J20" s="925">
        <f>(F20*H20*'Prod.1.1en1.2'!$O$8)</f>
        <v>0</v>
      </c>
      <c r="K20" s="925">
        <f>ROUND(D20*G20*'Prod.1.1en1.2'!$N$8,0)+ROUND(D20*H20*'Prod.1.1en1.2'!$O$8,0)</f>
        <v>0</v>
      </c>
      <c r="M20" s="908"/>
      <c r="N20" s="898"/>
      <c r="O20" s="898"/>
      <c r="P20" s="898"/>
      <c r="Q20" s="909"/>
      <c r="R20" s="909"/>
      <c r="S20" s="898"/>
      <c r="T20" s="898"/>
      <c r="U20" s="898"/>
    </row>
    <row r="21" spans="1:21" ht="12" customHeight="1">
      <c r="A21" s="937">
        <f t="shared" si="1"/>
        <v>613</v>
      </c>
      <c r="B21" s="878" t="s">
        <v>245</v>
      </c>
      <c r="C21" s="879" t="s">
        <v>246</v>
      </c>
      <c r="D21" s="433"/>
      <c r="E21" s="433"/>
      <c r="F21" s="936">
        <f t="shared" si="0"/>
        <v>0</v>
      </c>
      <c r="G21" s="1077">
        <f>'G1'!B55</f>
        <v>17.51</v>
      </c>
      <c r="H21" s="1077">
        <f>'G1'!C55</f>
        <v>99.52</v>
      </c>
      <c r="I21" s="926">
        <f>(F21*G21*'Prod.1.1en1.2'!$N$8)</f>
        <v>0</v>
      </c>
      <c r="J21" s="925">
        <f>(F21*H21*'Prod.1.1en1.2'!$O$8)</f>
        <v>0</v>
      </c>
      <c r="K21" s="925">
        <f>ROUND(D21*G21*'Prod.1.1en1.2'!$N$8,0)+ROUND(D21*H21*'Prod.1.1en1.2'!$O$8,0)</f>
        <v>0</v>
      </c>
      <c r="M21" s="908"/>
      <c r="N21" s="898"/>
      <c r="O21" s="898"/>
      <c r="P21" s="898"/>
      <c r="Q21" s="909"/>
      <c r="R21" s="909"/>
      <c r="S21" s="898"/>
      <c r="T21" s="898"/>
      <c r="U21" s="898"/>
    </row>
    <row r="22" spans="1:21" ht="12" customHeight="1">
      <c r="A22" s="937">
        <f t="shared" si="1"/>
        <v>614</v>
      </c>
      <c r="B22" s="878" t="s">
        <v>264</v>
      </c>
      <c r="C22" s="879" t="s">
        <v>247</v>
      </c>
      <c r="D22" s="433"/>
      <c r="E22" s="433"/>
      <c r="F22" s="936">
        <f t="shared" si="0"/>
        <v>0</v>
      </c>
      <c r="G22" s="1077">
        <f>'G1'!B56</f>
        <v>104.35</v>
      </c>
      <c r="H22" s="1077">
        <f>'G1'!C56</f>
        <v>110.16</v>
      </c>
      <c r="I22" s="926">
        <f>(F22*G22*'Prod.1.1en1.2'!$N$8)</f>
        <v>0</v>
      </c>
      <c r="J22" s="925">
        <f>(F22*H22*'Prod.1.1en1.2'!$O$8)</f>
        <v>0</v>
      </c>
      <c r="K22" s="925">
        <f>(D22*G22*'Prod.1.1en1.2'!$N$8)+(D22*H22*'Prod.1.1en1.2'!$O$8)</f>
        <v>0</v>
      </c>
      <c r="M22" s="908"/>
      <c r="N22" s="898"/>
      <c r="O22" s="898"/>
      <c r="P22" s="898"/>
      <c r="Q22" s="909"/>
      <c r="R22" s="909"/>
      <c r="S22" s="898"/>
      <c r="T22" s="898"/>
      <c r="U22" s="898"/>
    </row>
    <row r="23" spans="1:21" ht="12" customHeight="1">
      <c r="A23" s="937">
        <f t="shared" si="1"/>
        <v>615</v>
      </c>
      <c r="B23" s="878" t="s">
        <v>265</v>
      </c>
      <c r="C23" s="879" t="s">
        <v>248</v>
      </c>
      <c r="D23" s="433"/>
      <c r="E23" s="433"/>
      <c r="F23" s="936">
        <f t="shared" si="0"/>
        <v>0</v>
      </c>
      <c r="G23" s="1077">
        <f>'G1'!B57</f>
        <v>104.35</v>
      </c>
      <c r="H23" s="1077">
        <f>'G1'!C57</f>
        <v>170.95</v>
      </c>
      <c r="I23" s="926">
        <f>(F23*G23*'Prod.1.1en1.2'!$N$8)</f>
        <v>0</v>
      </c>
      <c r="J23" s="925">
        <f>(F23*H23*'Prod.1.1en1.2'!$O$8)</f>
        <v>0</v>
      </c>
      <c r="K23" s="925">
        <f>ROUND(D23*G23*'Prod.1.1en1.2'!$N$8,0)+ROUND(D23*H23*'Prod.1.1en1.2'!$O$8,0)</f>
        <v>0</v>
      </c>
      <c r="M23" s="908"/>
      <c r="N23" s="898"/>
      <c r="O23" s="898"/>
      <c r="P23" s="898"/>
      <c r="Q23" s="909"/>
      <c r="R23" s="909"/>
      <c r="S23" s="898"/>
      <c r="T23" s="898"/>
      <c r="U23" s="898"/>
    </row>
    <row r="24" spans="1:21" ht="12" customHeight="1">
      <c r="A24" s="937">
        <f t="shared" si="1"/>
        <v>616</v>
      </c>
      <c r="B24" s="878" t="s">
        <v>266</v>
      </c>
      <c r="C24" s="879" t="s">
        <v>249</v>
      </c>
      <c r="D24" s="433"/>
      <c r="E24" s="433"/>
      <c r="F24" s="936">
        <f t="shared" si="0"/>
        <v>0</v>
      </c>
      <c r="G24" s="1077">
        <f>'G1'!B58</f>
        <v>244.66</v>
      </c>
      <c r="H24" s="1077">
        <f>'G1'!C58</f>
        <v>110.16</v>
      </c>
      <c r="I24" s="926">
        <f>(F24*G24*'Prod.1.1en1.2'!$N$8)</f>
        <v>0</v>
      </c>
      <c r="J24" s="925">
        <f>(F24*H24*'Prod.1.1en1.2'!$O$8)</f>
        <v>0</v>
      </c>
      <c r="K24" s="925">
        <f>ROUND(D24*G24*'Prod.1.1en1.2'!$N$8,0)+ROUND(D24*H24*'Prod.1.1en1.2'!$O$8,0)</f>
        <v>0</v>
      </c>
      <c r="M24" s="908"/>
      <c r="N24" s="898"/>
      <c r="O24" s="898"/>
      <c r="P24" s="898"/>
      <c r="Q24" s="909"/>
      <c r="R24" s="909"/>
      <c r="S24" s="898"/>
      <c r="T24" s="898"/>
      <c r="U24" s="898"/>
    </row>
    <row r="25" spans="1:21" ht="12" customHeight="1">
      <c r="A25" s="937">
        <f t="shared" si="1"/>
        <v>617</v>
      </c>
      <c r="B25" s="878" t="s">
        <v>267</v>
      </c>
      <c r="C25" s="879" t="s">
        <v>250</v>
      </c>
      <c r="D25" s="433"/>
      <c r="E25" s="433"/>
      <c r="F25" s="936">
        <f t="shared" si="0"/>
        <v>0</v>
      </c>
      <c r="G25" s="1077">
        <f>'G1'!B59</f>
        <v>244.66</v>
      </c>
      <c r="H25" s="1077">
        <f>'G1'!C59</f>
        <v>170.95</v>
      </c>
      <c r="I25" s="926">
        <f>(F25*G25*'Prod.1.1en1.2'!$N$8)</f>
        <v>0</v>
      </c>
      <c r="J25" s="925">
        <f>(F25*H25*'Prod.1.1en1.2'!$O$8)</f>
        <v>0</v>
      </c>
      <c r="K25" s="925">
        <f>ROUND(D25*G25*'Prod.1.1en1.2'!$N$8,0)+ROUND(D25*H25*'Prod.1.1en1.2'!$O$8,0)</f>
        <v>0</v>
      </c>
      <c r="M25" s="908"/>
      <c r="N25" s="898"/>
      <c r="O25" s="898"/>
      <c r="P25" s="898"/>
      <c r="Q25" s="909"/>
      <c r="R25" s="909"/>
      <c r="S25" s="898"/>
      <c r="T25" s="898"/>
      <c r="U25" s="898"/>
    </row>
    <row r="26" spans="1:21" ht="12" customHeight="1">
      <c r="A26" s="937">
        <f t="shared" si="1"/>
        <v>618</v>
      </c>
      <c r="B26" s="878" t="s">
        <v>251</v>
      </c>
      <c r="C26" s="879" t="s">
        <v>252</v>
      </c>
      <c r="D26" s="433"/>
      <c r="E26" s="433"/>
      <c r="F26" s="925">
        <f t="shared" si="0"/>
        <v>0</v>
      </c>
      <c r="G26" s="1077">
        <f>'G1'!B60</f>
        <v>17.51</v>
      </c>
      <c r="H26" s="1077">
        <f>'G1'!C60</f>
        <v>88.94</v>
      </c>
      <c r="I26" s="926">
        <f>(F26*G26*'Prod.1.1en1.2'!$N$8)</f>
        <v>0</v>
      </c>
      <c r="J26" s="925">
        <f>(F26*H26*'Prod.1.1en1.2'!$O$8)</f>
        <v>0</v>
      </c>
      <c r="K26" s="925">
        <f>ROUND(D26*G26*'Prod.1.1en1.2'!$N$8,0)+ROUND(D26*H26*'Prod.1.1en1.2'!$O$8,0)</f>
        <v>0</v>
      </c>
      <c r="M26" s="908"/>
      <c r="N26" s="898"/>
      <c r="O26" s="898"/>
      <c r="P26" s="898"/>
      <c r="Q26" s="909"/>
      <c r="R26" s="909"/>
      <c r="S26" s="898"/>
      <c r="T26" s="898"/>
      <c r="U26" s="898"/>
    </row>
    <row r="27" spans="1:21" ht="12" customHeight="1">
      <c r="A27" s="937">
        <f t="shared" si="1"/>
        <v>619</v>
      </c>
      <c r="B27" s="878" t="s">
        <v>253</v>
      </c>
      <c r="C27" s="879" t="s">
        <v>254</v>
      </c>
      <c r="D27" s="433"/>
      <c r="E27" s="433"/>
      <c r="F27" s="925">
        <f t="shared" si="0"/>
        <v>0</v>
      </c>
      <c r="G27" s="1077">
        <f>'G1'!B61</f>
        <v>17.51</v>
      </c>
      <c r="H27" s="1077">
        <f>'G1'!C61</f>
        <v>109.19</v>
      </c>
      <c r="I27" s="926">
        <f>(F27*G27*'Prod.1.1en1.2'!$N$8)</f>
        <v>0</v>
      </c>
      <c r="J27" s="925">
        <f>(F27*H27*'Prod.1.1en1.2'!$O$8)</f>
        <v>0</v>
      </c>
      <c r="K27" s="925">
        <f>ROUND(D27*G27*'Prod.1.1en1.2'!$N$8,0)+ROUND(D27*H27*'Prod.1.1en1.2'!$O$8,0)</f>
        <v>0</v>
      </c>
      <c r="M27" s="908"/>
      <c r="N27" s="898"/>
      <c r="O27" s="898"/>
      <c r="P27" s="898"/>
      <c r="Q27" s="909"/>
      <c r="R27" s="909"/>
      <c r="S27" s="898"/>
      <c r="T27" s="898"/>
      <c r="U27" s="898"/>
    </row>
    <row r="28" spans="7:21" ht="12" customHeight="1">
      <c r="G28" s="927"/>
      <c r="H28" s="927"/>
      <c r="I28" s="928"/>
      <c r="J28" s="928"/>
      <c r="K28" s="917"/>
      <c r="M28" s="908"/>
      <c r="N28" s="898"/>
      <c r="O28" s="898"/>
      <c r="P28" s="898"/>
      <c r="Q28" s="909"/>
      <c r="R28" s="909"/>
      <c r="S28" s="898"/>
      <c r="T28" s="898"/>
      <c r="U28" s="898"/>
    </row>
    <row r="29" spans="7:21" ht="12" customHeight="1">
      <c r="G29" s="927"/>
      <c r="H29" s="927"/>
      <c r="I29" s="997">
        <f>SUM(I9:I27)</f>
        <v>0</v>
      </c>
      <c r="J29" s="997">
        <f>SUM(J9:J27)</f>
        <v>0</v>
      </c>
      <c r="K29" s="997">
        <f>SUM(K9:K27)</f>
        <v>0</v>
      </c>
      <c r="M29" s="908"/>
      <c r="N29" s="898"/>
      <c r="O29" s="898"/>
      <c r="P29" s="898"/>
      <c r="Q29" s="909"/>
      <c r="R29" s="909"/>
      <c r="S29" s="898"/>
      <c r="T29" s="898"/>
      <c r="U29" s="898"/>
    </row>
    <row r="30" spans="7:21" ht="12" customHeight="1">
      <c r="G30" s="927"/>
      <c r="H30" s="927"/>
      <c r="I30" s="998"/>
      <c r="J30" s="998"/>
      <c r="K30" s="998"/>
      <c r="M30" s="908"/>
      <c r="N30" s="898"/>
      <c r="O30" s="898"/>
      <c r="P30" s="898"/>
      <c r="Q30" s="909"/>
      <c r="R30" s="909"/>
      <c r="S30" s="898"/>
      <c r="T30" s="898"/>
      <c r="U30" s="898"/>
    </row>
    <row r="31" spans="7:21" ht="12" customHeight="1">
      <c r="G31" s="927"/>
      <c r="H31" s="927"/>
      <c r="I31" s="928"/>
      <c r="J31" s="928"/>
      <c r="K31" s="928"/>
      <c r="M31" s="908"/>
      <c r="N31" s="898"/>
      <c r="O31" s="898"/>
      <c r="P31" s="898"/>
      <c r="Q31" s="909"/>
      <c r="R31" s="909"/>
      <c r="S31" s="898"/>
      <c r="T31" s="898"/>
      <c r="U31" s="898"/>
    </row>
    <row r="32" spans="1:21" ht="12" customHeight="1">
      <c r="A32" s="565"/>
      <c r="B32" s="900" t="s">
        <v>1</v>
      </c>
      <c r="C32" s="900"/>
      <c r="D32" s="900"/>
      <c r="E32" s="916"/>
      <c r="F32" s="916"/>
      <c r="G32" s="916"/>
      <c r="H32" s="927"/>
      <c r="I32" s="928"/>
      <c r="J32" s="928"/>
      <c r="K32" s="928"/>
      <c r="M32" s="908"/>
      <c r="N32" s="898"/>
      <c r="O32" s="898"/>
      <c r="P32" s="898"/>
      <c r="Q32" s="909"/>
      <c r="R32" s="909"/>
      <c r="S32" s="898"/>
      <c r="T32" s="898"/>
      <c r="U32" s="898"/>
    </row>
    <row r="33" spans="1:21" ht="12" customHeight="1">
      <c r="A33" s="968">
        <f>A27+1</f>
        <v>620</v>
      </c>
      <c r="B33" s="1288" t="s">
        <v>611</v>
      </c>
      <c r="C33" s="1289"/>
      <c r="D33" s="1289"/>
      <c r="E33" s="1289"/>
      <c r="F33" s="1290"/>
      <c r="G33" s="995">
        <f>+I29+J29</f>
        <v>0</v>
      </c>
      <c r="H33" s="927"/>
      <c r="I33" s="928"/>
      <c r="J33" s="928"/>
      <c r="K33" s="928"/>
      <c r="M33" s="908"/>
      <c r="N33" s="898"/>
      <c r="O33" s="898"/>
      <c r="P33" s="898"/>
      <c r="Q33" s="909"/>
      <c r="R33" s="909"/>
      <c r="S33" s="898"/>
      <c r="T33" s="898"/>
      <c r="U33" s="898"/>
    </row>
    <row r="34" spans="1:21" ht="12" customHeight="1">
      <c r="A34" s="968">
        <f>A33+1</f>
        <v>621</v>
      </c>
      <c r="B34" s="1288" t="s">
        <v>612</v>
      </c>
      <c r="C34" s="1289"/>
      <c r="D34" s="1289"/>
      <c r="E34" s="1289"/>
      <c r="F34" s="1290"/>
      <c r="G34" s="433"/>
      <c r="H34" s="927"/>
      <c r="I34" s="928"/>
      <c r="J34" s="928"/>
      <c r="K34" s="928"/>
      <c r="M34" s="908"/>
      <c r="N34" s="898"/>
      <c r="O34" s="898"/>
      <c r="P34" s="898"/>
      <c r="Q34" s="909"/>
      <c r="R34" s="909"/>
      <c r="S34" s="898"/>
      <c r="T34" s="898"/>
      <c r="U34" s="898"/>
    </row>
    <row r="35" spans="1:21" ht="12" customHeight="1">
      <c r="A35" s="968">
        <f>A34+1</f>
        <v>622</v>
      </c>
      <c r="B35" s="939" t="s">
        <v>613</v>
      </c>
      <c r="C35" s="1153"/>
      <c r="D35" s="1153"/>
      <c r="E35" s="1153"/>
      <c r="F35" s="1154"/>
      <c r="G35" s="995">
        <f>+SUMPRODUCT(D9:D27,G9:G27)*N8+SUMPRODUCT(D9:D27,H9:H27)*O8-G34</f>
        <v>0</v>
      </c>
      <c r="H35" s="927"/>
      <c r="I35" s="928"/>
      <c r="J35" s="928"/>
      <c r="K35" s="928"/>
      <c r="M35" s="908"/>
      <c r="N35" s="898"/>
      <c r="O35" s="898"/>
      <c r="P35" s="898"/>
      <c r="Q35" s="909"/>
      <c r="R35" s="909"/>
      <c r="S35" s="898"/>
      <c r="T35" s="898"/>
      <c r="U35" s="898"/>
    </row>
    <row r="36" spans="1:21" ht="12" customHeight="1">
      <c r="A36" s="968">
        <f>A35+1</f>
        <v>623</v>
      </c>
      <c r="B36" s="1297" t="s">
        <v>614</v>
      </c>
      <c r="C36" s="1298"/>
      <c r="D36" s="1298"/>
      <c r="E36" s="1298"/>
      <c r="F36" s="1299"/>
      <c r="G36" s="969">
        <f>G33</f>
        <v>0</v>
      </c>
      <c r="H36" s="927"/>
      <c r="I36" s="928"/>
      <c r="J36" s="928"/>
      <c r="K36" s="928"/>
      <c r="M36" s="908"/>
      <c r="N36" s="898"/>
      <c r="O36" s="898"/>
      <c r="P36" s="898"/>
      <c r="Q36" s="909"/>
      <c r="R36" s="909"/>
      <c r="S36" s="898"/>
      <c r="T36" s="898"/>
      <c r="U36" s="898"/>
    </row>
    <row r="37" spans="1:21" ht="12" customHeight="1">
      <c r="A37" s="565"/>
      <c r="B37" s="565" t="s">
        <v>2</v>
      </c>
      <c r="C37" s="565"/>
      <c r="D37" s="565"/>
      <c r="E37" s="916"/>
      <c r="F37" s="916"/>
      <c r="G37" s="916"/>
      <c r="H37" s="927"/>
      <c r="I37" s="928"/>
      <c r="J37" s="928"/>
      <c r="K37" s="928"/>
      <c r="M37" s="908"/>
      <c r="N37" s="898"/>
      <c r="O37" s="898"/>
      <c r="P37" s="898"/>
      <c r="Q37" s="909"/>
      <c r="R37" s="909"/>
      <c r="S37" s="898"/>
      <c r="T37" s="898"/>
      <c r="U37" s="898"/>
    </row>
    <row r="38" spans="1:21" ht="12" customHeight="1">
      <c r="A38" s="565"/>
      <c r="C38" s="565"/>
      <c r="D38" s="565"/>
      <c r="E38" s="916"/>
      <c r="F38" s="916"/>
      <c r="G38" s="916"/>
      <c r="H38" s="927"/>
      <c r="I38" s="928"/>
      <c r="J38" s="928"/>
      <c r="K38" s="928"/>
      <c r="M38" s="908"/>
      <c r="N38" s="898"/>
      <c r="O38" s="898"/>
      <c r="P38" s="898"/>
      <c r="Q38" s="909"/>
      <c r="R38" s="909"/>
      <c r="S38" s="898"/>
      <c r="T38" s="898"/>
      <c r="U38" s="898"/>
    </row>
    <row r="39" spans="7:21" ht="12" customHeight="1">
      <c r="G39" s="927"/>
      <c r="H39" s="927"/>
      <c r="I39" s="928"/>
      <c r="J39" s="928"/>
      <c r="K39" s="928"/>
      <c r="M39" s="908"/>
      <c r="N39" s="898"/>
      <c r="O39" s="898"/>
      <c r="P39" s="898"/>
      <c r="Q39" s="909"/>
      <c r="R39" s="909"/>
      <c r="S39" s="898"/>
      <c r="T39" s="898"/>
      <c r="U39" s="898"/>
    </row>
    <row r="40" spans="7:21" ht="12" customHeight="1">
      <c r="G40" s="927"/>
      <c r="H40" s="927"/>
      <c r="I40" s="928"/>
      <c r="J40" s="928"/>
      <c r="K40" s="928"/>
      <c r="M40" s="908"/>
      <c r="N40" s="898"/>
      <c r="O40" s="898"/>
      <c r="P40" s="898"/>
      <c r="Q40" s="909"/>
      <c r="R40" s="909"/>
      <c r="S40" s="898"/>
      <c r="T40" s="898"/>
      <c r="U40" s="898"/>
    </row>
    <row r="41" spans="1:21" ht="12" customHeight="1">
      <c r="A41" s="900" t="s">
        <v>116</v>
      </c>
      <c r="B41" s="900" t="s">
        <v>157</v>
      </c>
      <c r="C41" s="565"/>
      <c r="D41" s="565"/>
      <c r="E41" s="1282" t="s">
        <v>535</v>
      </c>
      <c r="F41" s="1283"/>
      <c r="G41" s="1282" t="s">
        <v>427</v>
      </c>
      <c r="H41" s="1283"/>
      <c r="I41" s="1282" t="s">
        <v>309</v>
      </c>
      <c r="J41" s="1283"/>
      <c r="M41" s="908"/>
      <c r="N41" s="898"/>
      <c r="O41" s="898"/>
      <c r="P41" s="898"/>
      <c r="Q41" s="909"/>
      <c r="R41" s="909"/>
      <c r="S41" s="917"/>
      <c r="T41" s="917"/>
      <c r="U41" s="917"/>
    </row>
    <row r="42" spans="1:21" ht="12" customHeight="1">
      <c r="A42" s="565"/>
      <c r="B42" s="931"/>
      <c r="C42" s="565"/>
      <c r="D42" s="565"/>
      <c r="E42" s="1291" t="s">
        <v>561</v>
      </c>
      <c r="F42" s="1292"/>
      <c r="G42" s="1291">
        <v>2004</v>
      </c>
      <c r="H42" s="1292"/>
      <c r="I42" s="1286"/>
      <c r="J42" s="1287"/>
      <c r="M42" s="908"/>
      <c r="N42" s="898"/>
      <c r="O42" s="898"/>
      <c r="P42" s="898"/>
      <c r="Q42" s="909"/>
      <c r="R42" s="909"/>
      <c r="S42" s="917"/>
      <c r="T42" s="917"/>
      <c r="U42" s="917"/>
    </row>
    <row r="43" spans="1:21" ht="12" customHeight="1">
      <c r="A43" s="565"/>
      <c r="B43" s="931"/>
      <c r="C43" s="565"/>
      <c r="D43" s="565"/>
      <c r="E43" s="892"/>
      <c r="G43" s="892"/>
      <c r="I43" s="892"/>
      <c r="N43" s="898"/>
      <c r="O43" s="898"/>
      <c r="P43" s="898"/>
      <c r="Q43" s="909"/>
      <c r="R43" s="909"/>
      <c r="S43" s="917"/>
      <c r="T43" s="917"/>
      <c r="U43" s="917"/>
    </row>
    <row r="44" spans="1:21" ht="12" customHeight="1">
      <c r="A44" s="1113">
        <f>+A36+1</f>
        <v>624</v>
      </c>
      <c r="B44" s="939" t="str">
        <f>CONCATENATE("Overeengekomen bedrag ",Voorblad!D3,"")</f>
        <v>Overeengekomen bedrag 2004</v>
      </c>
      <c r="C44" s="951"/>
      <c r="D44" s="952"/>
      <c r="E44" s="1280"/>
      <c r="F44" s="1281"/>
      <c r="G44" s="1280"/>
      <c r="H44" s="1281"/>
      <c r="I44" s="1284">
        <f>E44-G44</f>
        <v>0</v>
      </c>
      <c r="J44" s="1285"/>
      <c r="O44" s="898"/>
      <c r="P44" s="898"/>
      <c r="Q44" s="909"/>
      <c r="R44" s="909"/>
      <c r="S44" s="917"/>
      <c r="T44" s="917"/>
      <c r="U44" s="917"/>
    </row>
    <row r="45" spans="15:21" ht="12" customHeight="1">
      <c r="O45" s="898"/>
      <c r="P45" s="898"/>
      <c r="Q45" s="909"/>
      <c r="R45" s="909"/>
      <c r="S45" s="917"/>
      <c r="T45" s="917"/>
      <c r="U45" s="917"/>
    </row>
    <row r="46" spans="1:11" ht="60" customHeight="1">
      <c r="A46" s="1278" t="str">
        <f>CONCATENATE("* Hiervoor kon in ",Voorblad!D14," maximaal 2,5% van het variabele FB-deel van 2004 (incl. 1e lijn) additioneel in het budget worden opgenomen. Hieronder kunt u het definitief overeengekomen bedrag ",Voorblad!D14," opgeven. Indien u hier andere projecten heeft verantwoord dan welke bij de voorlopige aanvraag zijn ingediend, dient u deze projecten alsnog bij het CTG aan te melden.")</f>
        <v>* Hiervoor kon in  maximaal 2,5% van het variabele FB-deel van 2004 (incl. 1e lijn) additioneel in het budget worden opgenomen. Hieronder kunt u het definitief overeengekomen bedrag  opgeven. Indien u hier andere projecten heeft verantwoord dan welke bij de voorlopige aanvraag zijn ingediend, dient u deze projecten alsnog bij het CTG aan te melden.</v>
      </c>
      <c r="B46" s="1279"/>
      <c r="C46" s="1279"/>
      <c r="D46" s="1279"/>
      <c r="E46" s="1279"/>
      <c r="F46" s="1279"/>
      <c r="G46" s="1279"/>
      <c r="H46" s="565"/>
      <c r="I46" s="565"/>
      <c r="J46" s="565"/>
      <c r="K46" s="565"/>
    </row>
  </sheetData>
  <sheetProtection password="CFAD" sheet="1" objects="1" scenarios="1"/>
  <mergeCells count="15">
    <mergeCell ref="B33:F33"/>
    <mergeCell ref="B34:F34"/>
    <mergeCell ref="E42:F42"/>
    <mergeCell ref="I6:J6"/>
    <mergeCell ref="G6:H6"/>
    <mergeCell ref="G41:H41"/>
    <mergeCell ref="G42:H42"/>
    <mergeCell ref="B36:F36"/>
    <mergeCell ref="A46:G46"/>
    <mergeCell ref="G44:H44"/>
    <mergeCell ref="E41:F41"/>
    <mergeCell ref="I44:J44"/>
    <mergeCell ref="I41:J41"/>
    <mergeCell ref="I42:J42"/>
    <mergeCell ref="E44:F44"/>
  </mergeCells>
  <conditionalFormatting sqref="E44 G44 G34 G9:H12 D9:E27">
    <cfRule type="expression" priority="1" dxfId="0" stopIfTrue="1">
      <formula>$F$2=TRUE</formula>
    </cfRule>
  </conditionalFormatting>
  <printOptions/>
  <pageMargins left="0.3937007874015748" right="0.3937007874015748" top="0.1968503937007874" bottom="0.1968503937007874" header="0.03937007874015748" footer="0.11811023622047245"/>
  <pageSetup horizontalDpi="1200" verticalDpi="1200" orientation="landscape" paperSize="9" scale="94" r:id="rId2"/>
  <rowBreaks count="1" manualBreakCount="1">
    <brk id="46" max="10" man="1"/>
  </rowBreaks>
  <drawing r:id="rId1"/>
</worksheet>
</file>

<file path=xl/worksheets/sheet6.xml><?xml version="1.0" encoding="utf-8"?>
<worksheet xmlns="http://schemas.openxmlformats.org/spreadsheetml/2006/main" xmlns:r="http://schemas.openxmlformats.org/officeDocument/2006/relationships">
  <dimension ref="A1:L35"/>
  <sheetViews>
    <sheetView showGridLines="0" zoomScale="86" zoomScaleNormal="86" zoomScaleSheetLayoutView="100" workbookViewId="0" topLeftCell="A1">
      <selection activeCell="D12" sqref="D12"/>
    </sheetView>
  </sheetViews>
  <sheetFormatPr defaultColWidth="9.140625" defaultRowHeight="12.75"/>
  <cols>
    <col min="1" max="1" width="5.421875" style="0" customWidth="1"/>
    <col min="2" max="2" width="55.140625" style="0" customWidth="1"/>
    <col min="3" max="3" width="16.7109375" style="0" customWidth="1"/>
    <col min="4" max="4" width="11.7109375" style="0" customWidth="1"/>
    <col min="5" max="5" width="15.28125" style="0" customWidth="1"/>
    <col min="6" max="6" width="16.7109375" style="0" customWidth="1"/>
    <col min="7" max="7" width="15.7109375" style="0" customWidth="1"/>
  </cols>
  <sheetData>
    <row r="1" spans="2:12" s="457" customFormat="1" ht="15.75" customHeight="1">
      <c r="B1" s="930"/>
      <c r="C1" s="459"/>
      <c r="D1" s="459"/>
      <c r="E1" s="563"/>
      <c r="F1" s="459"/>
      <c r="G1" s="459"/>
      <c r="H1" s="455"/>
      <c r="I1" s="455"/>
      <c r="J1" s="455"/>
      <c r="K1" s="455"/>
      <c r="L1" s="455"/>
    </row>
    <row r="2" spans="1:10" s="503" customFormat="1" ht="15.75" customHeight="1">
      <c r="A2" s="1062" t="str">
        <f>CONCATENATE("Nacalculatieformulier ",Voorblad!D3)</f>
        <v>Nacalculatieformulier 2004</v>
      </c>
      <c r="B2" s="535"/>
      <c r="C2" s="601"/>
      <c r="D2" s="605" t="b">
        <f>Voorblad!D30</f>
        <v>1</v>
      </c>
      <c r="E2" s="535"/>
      <c r="F2" s="535"/>
      <c r="G2" s="1142">
        <f>'Prod.1.1en1.2'!K2+1</f>
        <v>7</v>
      </c>
      <c r="I2" s="504"/>
      <c r="J2" s="504"/>
    </row>
    <row r="3" spans="2:12" s="565" customFormat="1" ht="12" customHeight="1">
      <c r="B3" s="915"/>
      <c r="C3" s="900"/>
      <c r="D3" s="900"/>
      <c r="L3" s="892"/>
    </row>
    <row r="4" spans="1:8" ht="12.75">
      <c r="A4" s="900" t="s">
        <v>273</v>
      </c>
      <c r="B4" s="900" t="s">
        <v>567</v>
      </c>
      <c r="C4" s="1131" t="s">
        <v>568</v>
      </c>
      <c r="D4" s="1134" t="s">
        <v>569</v>
      </c>
      <c r="E4" s="945" t="s">
        <v>570</v>
      </c>
      <c r="F4" s="918" t="s">
        <v>427</v>
      </c>
      <c r="G4" s="918" t="s">
        <v>3</v>
      </c>
      <c r="H4" s="565"/>
    </row>
    <row r="5" spans="1:8" ht="12.75">
      <c r="A5" s="931"/>
      <c r="B5" s="565"/>
      <c r="C5" s="1135" t="s">
        <v>571</v>
      </c>
      <c r="D5" s="1136" t="s">
        <v>572</v>
      </c>
      <c r="E5" s="946" t="s">
        <v>573</v>
      </c>
      <c r="F5" s="947">
        <f>E6</f>
        <v>2004</v>
      </c>
      <c r="G5" s="947">
        <f>E6</f>
        <v>2004</v>
      </c>
      <c r="H5" s="565"/>
    </row>
    <row r="6" spans="1:8" ht="12.75">
      <c r="A6" s="931"/>
      <c r="B6" s="565"/>
      <c r="C6" s="1130">
        <f>Voorblad!D3</f>
        <v>2004</v>
      </c>
      <c r="D6" s="1137" t="s">
        <v>573</v>
      </c>
      <c r="E6" s="948">
        <f>C6</f>
        <v>2004</v>
      </c>
      <c r="F6" s="935" t="s">
        <v>574</v>
      </c>
      <c r="G6" s="935"/>
      <c r="H6" s="565"/>
    </row>
    <row r="7" spans="1:8" ht="12.75">
      <c r="A7" s="931"/>
      <c r="B7" s="565"/>
      <c r="C7" s="565"/>
      <c r="D7" s="944"/>
      <c r="E7" s="565"/>
      <c r="F7" s="565"/>
      <c r="G7" s="565"/>
      <c r="H7" s="565"/>
    </row>
    <row r="8" spans="1:8" ht="12.75">
      <c r="A8" s="931"/>
      <c r="B8" s="565"/>
      <c r="C8" s="565"/>
      <c r="D8" s="944"/>
      <c r="E8" s="565"/>
      <c r="F8" s="565"/>
      <c r="G8" s="565"/>
      <c r="H8" s="565"/>
    </row>
    <row r="9" spans="1:8" ht="12.75">
      <c r="A9" s="937">
        <f>(100*G2+1)</f>
        <v>701</v>
      </c>
      <c r="B9" s="878" t="s">
        <v>616</v>
      </c>
      <c r="C9" s="433"/>
      <c r="D9" s="1138">
        <v>1</v>
      </c>
      <c r="E9" s="1139">
        <f>ROUND(C9*D9,0)</f>
        <v>0</v>
      </c>
      <c r="F9" s="433"/>
      <c r="G9" s="924">
        <f>E9-F9</f>
        <v>0</v>
      </c>
      <c r="H9" s="565"/>
    </row>
    <row r="10" spans="1:8" ht="12.75">
      <c r="A10" s="937">
        <f>+A9+1</f>
        <v>702</v>
      </c>
      <c r="B10" s="878" t="s">
        <v>617</v>
      </c>
      <c r="C10" s="433"/>
      <c r="D10" s="1138">
        <v>1</v>
      </c>
      <c r="E10" s="1139">
        <f>ROUND(C10*D10,0)</f>
        <v>0</v>
      </c>
      <c r="F10" s="433"/>
      <c r="G10" s="924">
        <f aca="true" t="shared" si="0" ref="G10:G24">E10-F10</f>
        <v>0</v>
      </c>
      <c r="H10" s="565"/>
    </row>
    <row r="11" spans="1:8" ht="12.75">
      <c r="A11" s="931"/>
      <c r="B11" s="565"/>
      <c r="C11" s="1133"/>
      <c r="D11" s="1140"/>
      <c r="E11" s="1141"/>
      <c r="F11" s="1133"/>
      <c r="G11" s="1133"/>
      <c r="H11" s="565"/>
    </row>
    <row r="12" spans="1:8" ht="12.75">
      <c r="A12" s="937">
        <f>A10+1</f>
        <v>703</v>
      </c>
      <c r="B12" s="878" t="s">
        <v>618</v>
      </c>
      <c r="C12" s="433"/>
      <c r="D12" s="1194"/>
      <c r="E12" s="1139">
        <f>ROUND(C12*D12,0)</f>
        <v>0</v>
      </c>
      <c r="F12" s="433"/>
      <c r="G12" s="924">
        <f t="shared" si="0"/>
        <v>0</v>
      </c>
      <c r="H12" s="565"/>
    </row>
    <row r="13" spans="1:8" ht="12.75">
      <c r="A13" s="937">
        <f>A12+1</f>
        <v>704</v>
      </c>
      <c r="B13" s="878" t="s">
        <v>619</v>
      </c>
      <c r="C13" s="433"/>
      <c r="D13" s="1194"/>
      <c r="E13" s="1139">
        <f>ROUND(C13*D13,0)</f>
        <v>0</v>
      </c>
      <c r="F13" s="433"/>
      <c r="G13" s="924">
        <f t="shared" si="0"/>
        <v>0</v>
      </c>
      <c r="H13" s="565"/>
    </row>
    <row r="14" spans="1:8" ht="12.75">
      <c r="A14" s="937">
        <f aca="true" t="shared" si="1" ref="A14:A22">A13+1</f>
        <v>705</v>
      </c>
      <c r="B14" s="878" t="s">
        <v>620</v>
      </c>
      <c r="C14" s="433"/>
      <c r="D14" s="1194"/>
      <c r="E14" s="1139">
        <f aca="true" t="shared" si="2" ref="E14:E24">ROUND(C14*D14,0)</f>
        <v>0</v>
      </c>
      <c r="F14" s="433"/>
      <c r="G14" s="924">
        <f t="shared" si="0"/>
        <v>0</v>
      </c>
      <c r="H14" s="565"/>
    </row>
    <row r="15" spans="1:8" ht="12.75">
      <c r="A15" s="937">
        <f t="shared" si="1"/>
        <v>706</v>
      </c>
      <c r="B15" s="878" t="s">
        <v>621</v>
      </c>
      <c r="C15" s="433"/>
      <c r="D15" s="1194"/>
      <c r="E15" s="1139">
        <f t="shared" si="2"/>
        <v>0</v>
      </c>
      <c r="F15" s="433"/>
      <c r="G15" s="924">
        <f t="shared" si="0"/>
        <v>0</v>
      </c>
      <c r="H15" s="565"/>
    </row>
    <row r="16" spans="1:8" ht="12.75">
      <c r="A16" s="937">
        <f t="shared" si="1"/>
        <v>707</v>
      </c>
      <c r="B16" s="878" t="s">
        <v>622</v>
      </c>
      <c r="C16" s="433"/>
      <c r="D16" s="1194"/>
      <c r="E16" s="1139">
        <f t="shared" si="2"/>
        <v>0</v>
      </c>
      <c r="F16" s="433"/>
      <c r="G16" s="924">
        <f t="shared" si="0"/>
        <v>0</v>
      </c>
      <c r="H16" s="565"/>
    </row>
    <row r="17" spans="1:8" ht="12.75">
      <c r="A17" s="937">
        <f t="shared" si="1"/>
        <v>708</v>
      </c>
      <c r="B17" s="878" t="s">
        <v>623</v>
      </c>
      <c r="C17" s="433"/>
      <c r="D17" s="1194"/>
      <c r="E17" s="1139">
        <f t="shared" si="2"/>
        <v>0</v>
      </c>
      <c r="F17" s="433"/>
      <c r="G17" s="924">
        <f t="shared" si="0"/>
        <v>0</v>
      </c>
      <c r="H17" s="565"/>
    </row>
    <row r="18" spans="1:8" ht="12.75">
      <c r="A18" s="937">
        <f t="shared" si="1"/>
        <v>709</v>
      </c>
      <c r="B18" s="878" t="s">
        <v>624</v>
      </c>
      <c r="C18" s="433"/>
      <c r="D18" s="1194"/>
      <c r="E18" s="1139">
        <f t="shared" si="2"/>
        <v>0</v>
      </c>
      <c r="F18" s="433"/>
      <c r="G18" s="924">
        <f t="shared" si="0"/>
        <v>0</v>
      </c>
      <c r="H18" s="565"/>
    </row>
    <row r="19" spans="1:8" ht="12.75">
      <c r="A19" s="937">
        <f t="shared" si="1"/>
        <v>710</v>
      </c>
      <c r="B19" s="878" t="s">
        <v>625</v>
      </c>
      <c r="C19" s="433"/>
      <c r="D19" s="1194"/>
      <c r="E19" s="1139">
        <f t="shared" si="2"/>
        <v>0</v>
      </c>
      <c r="F19" s="433"/>
      <c r="G19" s="924">
        <f t="shared" si="0"/>
        <v>0</v>
      </c>
      <c r="H19" s="565"/>
    </row>
    <row r="20" spans="1:8" ht="12.75">
      <c r="A20" s="937">
        <f t="shared" si="1"/>
        <v>711</v>
      </c>
      <c r="B20" s="878" t="s">
        <v>626</v>
      </c>
      <c r="C20" s="433"/>
      <c r="D20" s="1194"/>
      <c r="E20" s="1139">
        <f t="shared" si="2"/>
        <v>0</v>
      </c>
      <c r="F20" s="433"/>
      <c r="G20" s="924">
        <f t="shared" si="0"/>
        <v>0</v>
      </c>
      <c r="H20" s="565"/>
    </row>
    <row r="21" spans="1:8" ht="12.75">
      <c r="A21" s="937">
        <f t="shared" si="1"/>
        <v>712</v>
      </c>
      <c r="B21" s="878" t="s">
        <v>627</v>
      </c>
      <c r="C21" s="433"/>
      <c r="D21" s="1194"/>
      <c r="E21" s="1139">
        <f t="shared" si="2"/>
        <v>0</v>
      </c>
      <c r="F21" s="433"/>
      <c r="G21" s="924">
        <f t="shared" si="0"/>
        <v>0</v>
      </c>
      <c r="H21" s="565"/>
    </row>
    <row r="22" spans="1:8" ht="12.75">
      <c r="A22" s="937">
        <f t="shared" si="1"/>
        <v>713</v>
      </c>
      <c r="B22" s="878" t="s">
        <v>628</v>
      </c>
      <c r="C22" s="433"/>
      <c r="D22" s="1194"/>
      <c r="E22" s="1139">
        <f t="shared" si="2"/>
        <v>0</v>
      </c>
      <c r="F22" s="433"/>
      <c r="G22" s="924">
        <f t="shared" si="0"/>
        <v>0</v>
      </c>
      <c r="H22" s="565"/>
    </row>
    <row r="23" spans="1:8" ht="12.75">
      <c r="A23" s="937">
        <v>714</v>
      </c>
      <c r="B23" s="878" t="s">
        <v>629</v>
      </c>
      <c r="C23" s="433"/>
      <c r="D23" s="1194"/>
      <c r="E23" s="1139">
        <f t="shared" si="2"/>
        <v>0</v>
      </c>
      <c r="F23" s="433"/>
      <c r="G23" s="924">
        <f t="shared" si="0"/>
        <v>0</v>
      </c>
      <c r="H23" s="565"/>
    </row>
    <row r="24" spans="1:8" ht="12.75">
      <c r="A24" s="937">
        <v>715</v>
      </c>
      <c r="B24" s="878" t="s">
        <v>630</v>
      </c>
      <c r="C24" s="433"/>
      <c r="D24" s="1194"/>
      <c r="E24" s="1139">
        <f t="shared" si="2"/>
        <v>0</v>
      </c>
      <c r="F24" s="433"/>
      <c r="G24" s="924">
        <f t="shared" si="0"/>
        <v>0</v>
      </c>
      <c r="H24" s="565"/>
    </row>
    <row r="25" spans="1:8" ht="12.75">
      <c r="A25" s="937">
        <v>716</v>
      </c>
      <c r="B25" s="968" t="s">
        <v>119</v>
      </c>
      <c r="C25" s="1037">
        <f>SUM(C9:C24)</f>
        <v>0</v>
      </c>
      <c r="D25" s="944"/>
      <c r="E25" s="1037">
        <f>SUM(E9:E24)</f>
        <v>0</v>
      </c>
      <c r="F25" s="1037">
        <f>SUM(F9:F24)</f>
        <v>0</v>
      </c>
      <c r="G25" s="1037">
        <f>SUM(G9:G24)</f>
        <v>0</v>
      </c>
      <c r="H25" s="565"/>
    </row>
    <row r="26" spans="1:8" ht="12.75">
      <c r="A26" s="565" t="s">
        <v>631</v>
      </c>
      <c r="B26" s="565"/>
      <c r="C26" s="565"/>
      <c r="D26" s="944"/>
      <c r="E26" s="565"/>
      <c r="F26" s="565"/>
      <c r="G26" s="565"/>
      <c r="H26" s="565"/>
    </row>
    <row r="27" spans="1:8" ht="12.75">
      <c r="A27" s="915" t="s">
        <v>632</v>
      </c>
      <c r="B27" s="565"/>
      <c r="C27" s="565"/>
      <c r="D27" s="944"/>
      <c r="E27" s="565"/>
      <c r="F27" s="565"/>
      <c r="G27" s="565"/>
      <c r="H27" s="565"/>
    </row>
    <row r="28" spans="1:8" ht="12.75">
      <c r="A28" s="565" t="s">
        <v>633</v>
      </c>
      <c r="B28" s="565"/>
      <c r="C28" s="565"/>
      <c r="D28" s="565"/>
      <c r="E28" s="565"/>
      <c r="F28" s="565"/>
      <c r="G28" s="565"/>
      <c r="H28" s="565"/>
    </row>
    <row r="29" spans="1:8" ht="12.75">
      <c r="A29" s="565" t="s">
        <v>634</v>
      </c>
      <c r="B29" s="931"/>
      <c r="C29" s="565"/>
      <c r="D29" s="898"/>
      <c r="E29" s="565"/>
      <c r="F29" s="565"/>
      <c r="G29" s="565"/>
      <c r="H29" s="565"/>
    </row>
    <row r="30" spans="1:8" ht="12.75">
      <c r="A30" s="565"/>
      <c r="B30" s="931"/>
      <c r="C30" s="565"/>
      <c r="D30" s="898"/>
      <c r="E30" s="565"/>
      <c r="F30" s="565"/>
      <c r="G30" s="565"/>
      <c r="H30" s="565"/>
    </row>
    <row r="31" spans="1:8" ht="12.75">
      <c r="A31" s="1112"/>
      <c r="B31" s="1112"/>
      <c r="C31" s="1112"/>
      <c r="D31" s="1112"/>
      <c r="E31" s="1112"/>
      <c r="F31" s="1112"/>
      <c r="G31" s="1112"/>
      <c r="H31" s="565"/>
    </row>
    <row r="32" ht="12.75">
      <c r="H32" s="565"/>
    </row>
    <row r="33" ht="12.75">
      <c r="H33" s="565"/>
    </row>
    <row r="34" ht="12.75">
      <c r="H34" s="565"/>
    </row>
    <row r="35" ht="12.75" customHeight="1">
      <c r="H35" s="1112"/>
    </row>
  </sheetData>
  <sheetProtection password="CFAD" sheet="1" objects="1" scenarios="1"/>
  <conditionalFormatting sqref="C9:C10 F9:F10 F12:F24 C12:D24">
    <cfRule type="expression" priority="1" dxfId="0" stopIfTrue="1">
      <formula>$D$2=TRUE</formula>
    </cfRule>
  </conditionalFormatting>
  <printOptions/>
  <pageMargins left="0.7874015748031497" right="0.7874015748031497" top="0.984251968503937" bottom="0.984251968503937" header="0.5118110236220472" footer="0.5118110236220472"/>
  <pageSetup horizontalDpi="600" verticalDpi="600" orientation="landscape" paperSize="9" scale="96" r:id="rId2"/>
  <drawing r:id="rId1"/>
</worksheet>
</file>

<file path=xl/worksheets/sheet7.xml><?xml version="1.0" encoding="utf-8"?>
<worksheet xmlns="http://schemas.openxmlformats.org/spreadsheetml/2006/main" xmlns:r="http://schemas.openxmlformats.org/officeDocument/2006/relationships">
  <sheetPr codeName="Blad8"/>
  <dimension ref="A1:J52"/>
  <sheetViews>
    <sheetView showGridLines="0" view="pageBreakPreview" zoomScaleNormal="86" zoomScaleSheetLayoutView="100" workbookViewId="0" topLeftCell="A31">
      <selection activeCell="D47" sqref="D47"/>
    </sheetView>
  </sheetViews>
  <sheetFormatPr defaultColWidth="9.140625" defaultRowHeight="12.75"/>
  <cols>
    <col min="1" max="1" width="4.57421875" style="931" customWidth="1"/>
    <col min="2" max="2" width="56.8515625" style="565" customWidth="1"/>
    <col min="3" max="3" width="16.00390625" style="565" customWidth="1"/>
    <col min="4" max="4" width="14.421875" style="944" customWidth="1"/>
    <col min="5" max="5" width="13.28125" style="565" customWidth="1"/>
    <col min="6" max="6" width="17.8515625" style="565" customWidth="1"/>
    <col min="7" max="7" width="16.28125" style="565" customWidth="1"/>
    <col min="8" max="16384" width="9.140625" style="565" customWidth="1"/>
  </cols>
  <sheetData>
    <row r="1" spans="2:10" ht="12">
      <c r="B1" s="941"/>
      <c r="C1" s="459"/>
      <c r="D1" s="459"/>
      <c r="E1" s="563"/>
      <c r="F1" s="459"/>
      <c r="G1" s="459"/>
      <c r="H1" s="457"/>
      <c r="I1" s="455"/>
      <c r="J1" s="455"/>
    </row>
    <row r="2" spans="1:7" ht="15.75" customHeight="1">
      <c r="A2" s="1062" t="str">
        <f>CONCATENATE("Nacalculatieformulier ",Voorblad!D3)</f>
        <v>Nacalculatieformulier 2004</v>
      </c>
      <c r="B2" s="940"/>
      <c r="C2" s="601"/>
      <c r="D2" s="601"/>
      <c r="E2" s="601"/>
      <c r="F2" s="605" t="b">
        <f>Voorblad!D30</f>
        <v>1</v>
      </c>
      <c r="G2" s="600">
        <f>'Prod.1.3.'!G2+1</f>
        <v>8</v>
      </c>
    </row>
    <row r="3" spans="1:4" ht="12">
      <c r="A3" s="565"/>
      <c r="D3" s="565"/>
    </row>
    <row r="4" spans="1:8" ht="12">
      <c r="A4" s="900" t="s">
        <v>322</v>
      </c>
      <c r="B4" s="900" t="s">
        <v>562</v>
      </c>
      <c r="C4" s="900" t="s">
        <v>563</v>
      </c>
      <c r="D4" s="949"/>
      <c r="E4" s="91"/>
      <c r="F4" s="91"/>
      <c r="G4" s="91"/>
      <c r="H4" s="91"/>
    </row>
    <row r="5" spans="1:8" ht="12.75">
      <c r="A5"/>
      <c r="B5"/>
      <c r="C5" s="1115"/>
      <c r="D5" s="1115"/>
      <c r="E5" s="1115"/>
      <c r="F5" s="1115"/>
      <c r="G5" s="1115"/>
      <c r="H5" s="1115"/>
    </row>
    <row r="6" spans="1:6" ht="12">
      <c r="A6" s="892"/>
      <c r="B6" s="1034" t="s">
        <v>5</v>
      </c>
      <c r="C6" s="918" t="s">
        <v>6</v>
      </c>
      <c r="D6" s="918" t="s">
        <v>8</v>
      </c>
      <c r="E6" s="918" t="s">
        <v>4</v>
      </c>
      <c r="F6" s="918" t="s">
        <v>564</v>
      </c>
    </row>
    <row r="7" spans="1:6" ht="12">
      <c r="A7" s="892"/>
      <c r="B7" s="1035"/>
      <c r="C7" s="935" t="s">
        <v>7</v>
      </c>
      <c r="D7" s="1118">
        <v>2004</v>
      </c>
      <c r="E7" s="935"/>
      <c r="F7" s="935" t="s">
        <v>566</v>
      </c>
    </row>
    <row r="8" spans="1:5" ht="12">
      <c r="A8" s="892"/>
      <c r="B8" s="1116"/>
      <c r="C8" s="1117"/>
      <c r="D8" s="1117"/>
      <c r="E8" s="1117"/>
    </row>
    <row r="9" spans="1:6" ht="12">
      <c r="A9" s="1006">
        <f>G2*100+1</f>
        <v>801</v>
      </c>
      <c r="B9" s="1195"/>
      <c r="C9" s="1196"/>
      <c r="D9" s="1196"/>
      <c r="E9" s="1197">
        <f aca="true" t="shared" si="0" ref="E9:E20">+C9-D9</f>
        <v>0</v>
      </c>
      <c r="F9" s="1119">
        <f aca="true" t="shared" si="1" ref="F9:F20">+E9*158747*1.032*1.0165</f>
        <v>0</v>
      </c>
    </row>
    <row r="10" spans="1:6" ht="12">
      <c r="A10" s="1006">
        <f>A9+1</f>
        <v>802</v>
      </c>
      <c r="B10" s="1195"/>
      <c r="C10" s="1196"/>
      <c r="D10" s="1196"/>
      <c r="E10" s="1197">
        <f t="shared" si="0"/>
        <v>0</v>
      </c>
      <c r="F10" s="1119">
        <f t="shared" si="1"/>
        <v>0</v>
      </c>
    </row>
    <row r="11" spans="1:6" ht="12">
      <c r="A11" s="1006">
        <f>A10+1</f>
        <v>803</v>
      </c>
      <c r="B11" s="1195"/>
      <c r="C11" s="1196"/>
      <c r="D11" s="1196"/>
      <c r="E11" s="1197">
        <f t="shared" si="0"/>
        <v>0</v>
      </c>
      <c r="F11" s="1119">
        <f t="shared" si="1"/>
        <v>0</v>
      </c>
    </row>
    <row r="12" spans="1:6" ht="12" customHeight="1">
      <c r="A12" s="1006">
        <f>A11+1</f>
        <v>804</v>
      </c>
      <c r="B12" s="1195"/>
      <c r="C12" s="1196"/>
      <c r="D12" s="1196"/>
      <c r="E12" s="1197">
        <f t="shared" si="0"/>
        <v>0</v>
      </c>
      <c r="F12" s="1119">
        <f t="shared" si="1"/>
        <v>0</v>
      </c>
    </row>
    <row r="13" spans="1:6" ht="12" customHeight="1">
      <c r="A13" s="1006">
        <f>A12+1</f>
        <v>805</v>
      </c>
      <c r="B13" s="1195"/>
      <c r="C13" s="1196"/>
      <c r="D13" s="1196"/>
      <c r="E13" s="1197">
        <f t="shared" si="0"/>
        <v>0</v>
      </c>
      <c r="F13" s="1119">
        <f t="shared" si="1"/>
        <v>0</v>
      </c>
    </row>
    <row r="14" spans="1:6" ht="12" customHeight="1">
      <c r="A14" s="1006">
        <f>A13+1</f>
        <v>806</v>
      </c>
      <c r="B14" s="1195"/>
      <c r="C14" s="1196"/>
      <c r="D14" s="1196"/>
      <c r="E14" s="1197">
        <f t="shared" si="0"/>
        <v>0</v>
      </c>
      <c r="F14" s="1119">
        <f t="shared" si="1"/>
        <v>0</v>
      </c>
    </row>
    <row r="15" spans="1:6" ht="12" customHeight="1">
      <c r="A15" s="1006">
        <f aca="true" t="shared" si="2" ref="A15:A21">+A14+1</f>
        <v>807</v>
      </c>
      <c r="B15" s="1195"/>
      <c r="C15" s="1196"/>
      <c r="D15" s="1196"/>
      <c r="E15" s="1197">
        <f t="shared" si="0"/>
        <v>0</v>
      </c>
      <c r="F15" s="1119">
        <f t="shared" si="1"/>
        <v>0</v>
      </c>
    </row>
    <row r="16" spans="1:6" ht="12" customHeight="1">
      <c r="A16" s="1006">
        <f t="shared" si="2"/>
        <v>808</v>
      </c>
      <c r="B16" s="1195"/>
      <c r="C16" s="1196"/>
      <c r="D16" s="1196"/>
      <c r="E16" s="1197">
        <f t="shared" si="0"/>
        <v>0</v>
      </c>
      <c r="F16" s="1119">
        <f t="shared" si="1"/>
        <v>0</v>
      </c>
    </row>
    <row r="17" spans="1:6" ht="12">
      <c r="A17" s="1006">
        <f t="shared" si="2"/>
        <v>809</v>
      </c>
      <c r="B17" s="1195"/>
      <c r="C17" s="1196"/>
      <c r="D17" s="1196"/>
      <c r="E17" s="1197">
        <f t="shared" si="0"/>
        <v>0</v>
      </c>
      <c r="F17" s="1119">
        <f t="shared" si="1"/>
        <v>0</v>
      </c>
    </row>
    <row r="18" spans="1:6" ht="12">
      <c r="A18" s="1006">
        <f t="shared" si="2"/>
        <v>810</v>
      </c>
      <c r="B18" s="1195"/>
      <c r="C18" s="1196"/>
      <c r="D18" s="1196"/>
      <c r="E18" s="1197">
        <f t="shared" si="0"/>
        <v>0</v>
      </c>
      <c r="F18" s="1119">
        <f t="shared" si="1"/>
        <v>0</v>
      </c>
    </row>
    <row r="19" spans="1:6" ht="12">
      <c r="A19" s="1006">
        <f t="shared" si="2"/>
        <v>811</v>
      </c>
      <c r="B19" s="1195"/>
      <c r="C19" s="1196"/>
      <c r="D19" s="1196"/>
      <c r="E19" s="1197">
        <f t="shared" si="0"/>
        <v>0</v>
      </c>
      <c r="F19" s="1119">
        <f t="shared" si="1"/>
        <v>0</v>
      </c>
    </row>
    <row r="20" spans="1:6" ht="12">
      <c r="A20" s="1006">
        <f t="shared" si="2"/>
        <v>812</v>
      </c>
      <c r="B20" s="1195"/>
      <c r="C20" s="1196"/>
      <c r="D20" s="1196"/>
      <c r="E20" s="1197">
        <f t="shared" si="0"/>
        <v>0</v>
      </c>
      <c r="F20" s="1119">
        <f t="shared" si="1"/>
        <v>0</v>
      </c>
    </row>
    <row r="21" spans="1:6" ht="12">
      <c r="A21" s="1006">
        <f t="shared" si="2"/>
        <v>813</v>
      </c>
      <c r="B21" s="937" t="s">
        <v>565</v>
      </c>
      <c r="C21" s="937"/>
      <c r="D21" s="937"/>
      <c r="E21" s="937"/>
      <c r="F21" s="1059">
        <f>SUM(F9:F18)</f>
        <v>0</v>
      </c>
    </row>
    <row r="22" ht="12">
      <c r="C22" s="898"/>
    </row>
    <row r="23" spans="1:8" ht="12">
      <c r="A23" s="1132"/>
      <c r="B23" s="938"/>
      <c r="C23" s="1038"/>
      <c r="D23" s="1143"/>
      <c r="E23" s="1143"/>
      <c r="F23" s="979"/>
      <c r="G23" s="979"/>
      <c r="H23" s="979"/>
    </row>
    <row r="24" spans="1:7" s="914" customFormat="1" ht="12">
      <c r="A24" s="1189" t="s">
        <v>274</v>
      </c>
      <c r="B24" s="1189" t="s">
        <v>709</v>
      </c>
      <c r="D24" s="1146"/>
      <c r="E24" s="1146"/>
      <c r="F24" s="1146"/>
      <c r="G24" s="1146"/>
    </row>
    <row r="25" spans="5:6" ht="12">
      <c r="E25" s="994" t="s">
        <v>555</v>
      </c>
      <c r="F25" s="994" t="s">
        <v>556</v>
      </c>
    </row>
    <row r="26" spans="1:6" ht="12" customHeight="1">
      <c r="A26" s="1006">
        <f>A21+1</f>
        <v>814</v>
      </c>
      <c r="B26" s="1155" t="s">
        <v>554</v>
      </c>
      <c r="C26" s="1156"/>
      <c r="D26" s="1156"/>
      <c r="E26" s="1196"/>
      <c r="F26" s="1196"/>
    </row>
    <row r="27" spans="1:6" ht="12" customHeight="1">
      <c r="A27" s="1006">
        <f>A26+1</f>
        <v>815</v>
      </c>
      <c r="B27" s="1157" t="s">
        <v>639</v>
      </c>
      <c r="C27" s="1009"/>
      <c r="D27" s="1158"/>
      <c r="E27" s="1196"/>
      <c r="F27" s="1196"/>
    </row>
    <row r="28" spans="1:6" ht="12" customHeight="1">
      <c r="A28" s="1006">
        <f>A27+1</f>
        <v>816</v>
      </c>
      <c r="B28" s="1157" t="s">
        <v>640</v>
      </c>
      <c r="C28" s="1009"/>
      <c r="D28" s="1158"/>
      <c r="E28" s="1196"/>
      <c r="F28" s="1196"/>
    </row>
    <row r="29" spans="1:6" ht="12.75">
      <c r="A29" s="1006">
        <f>A28+1</f>
        <v>817</v>
      </c>
      <c r="B29" s="1159" t="str">
        <f>CONCATENATE("Aantal agio´s ultimo ",Voorblad!D3)</f>
        <v>Aantal agio´s ultimo 2004</v>
      </c>
      <c r="C29" s="1167"/>
      <c r="D29" s="1160"/>
      <c r="E29" s="1161">
        <f>E26+E27-E28</f>
        <v>0</v>
      </c>
      <c r="F29" s="1162">
        <f>F26+F27-F28</f>
        <v>0</v>
      </c>
    </row>
    <row r="30" spans="1:6" ht="12.75">
      <c r="A30" s="1132"/>
      <c r="B30" s="938"/>
      <c r="C30" s="1038"/>
      <c r="D30" s="1143"/>
      <c r="E30" s="1143"/>
      <c r="F30" s="979"/>
    </row>
    <row r="31" spans="1:9" ht="12.75">
      <c r="A31" s="1132"/>
      <c r="B31" s="900" t="s">
        <v>286</v>
      </c>
      <c r="C31" s="1038"/>
      <c r="D31" s="565"/>
      <c r="E31" s="1143"/>
      <c r="H31" s="979"/>
      <c r="I31" s="979"/>
    </row>
    <row r="32" spans="1:7" ht="12.75">
      <c r="A32" s="1006">
        <f>A29+1</f>
        <v>818</v>
      </c>
      <c r="B32" s="1182" t="s">
        <v>641</v>
      </c>
      <c r="C32" s="1183"/>
      <c r="D32" s="1183"/>
      <c r="E32" s="1183"/>
      <c r="F32" s="878">
        <f>IF(E29-E26&gt;0,(E29-E26)*57462*1.032*1.0165,0)</f>
        <v>0</v>
      </c>
      <c r="G32" s="979"/>
    </row>
    <row r="33" spans="1:7" ht="12.75">
      <c r="A33" s="1006">
        <f>A32+1</f>
        <v>819</v>
      </c>
      <c r="B33" s="1182" t="s">
        <v>642</v>
      </c>
      <c r="C33" s="1183"/>
      <c r="D33" s="1183"/>
      <c r="E33" s="1183"/>
      <c r="F33" s="878">
        <f>IF(E29-E26&lt;0,(E29-E26)*57462*1.032*1.0165,0)</f>
        <v>0</v>
      </c>
      <c r="G33" s="979"/>
    </row>
    <row r="34" spans="1:9" ht="12.75">
      <c r="A34" s="1180"/>
      <c r="B34" s="986"/>
      <c r="C34" s="986"/>
      <c r="D34" s="986"/>
      <c r="E34" s="986"/>
      <c r="F34" s="986"/>
      <c r="G34" s="986"/>
      <c r="H34" s="892"/>
      <c r="I34" s="979"/>
    </row>
    <row r="35" spans="1:9" ht="12.75">
      <c r="A35" s="1117"/>
      <c r="B35" s="900" t="s">
        <v>287</v>
      </c>
      <c r="D35" s="565"/>
      <c r="H35" s="892"/>
      <c r="I35" s="979"/>
    </row>
    <row r="36" spans="1:6" ht="12.75">
      <c r="A36" s="1006">
        <f>A33+1</f>
        <v>820</v>
      </c>
      <c r="B36" s="1182" t="s">
        <v>636</v>
      </c>
      <c r="C36" s="1183"/>
      <c r="D36" s="1183"/>
      <c r="E36" s="1183"/>
      <c r="F36" s="878">
        <f>IF(F29-F26&gt;0,(F29-F26)*57462*1.032*1.0165,0)</f>
        <v>0</v>
      </c>
    </row>
    <row r="37" spans="1:6" ht="12.75">
      <c r="A37" s="1006">
        <f>A36+1</f>
        <v>821</v>
      </c>
      <c r="B37" s="1182" t="s">
        <v>637</v>
      </c>
      <c r="C37" s="1183"/>
      <c r="D37" s="1183"/>
      <c r="E37" s="1183"/>
      <c r="F37" s="878">
        <f>IF(F29-F26&lt;0,(F29-F26)*40223*1.032*1.0165,0)</f>
        <v>0</v>
      </c>
    </row>
    <row r="38" spans="1:6" ht="12.75">
      <c r="A38" s="1006">
        <f>A37+1</f>
        <v>822</v>
      </c>
      <c r="B38" s="1184" t="s">
        <v>638</v>
      </c>
      <c r="C38" s="1185"/>
      <c r="D38" s="1185"/>
      <c r="E38" s="1185"/>
      <c r="F38" s="968">
        <f>SUM(F32:F37)</f>
        <v>0</v>
      </c>
    </row>
    <row r="39" spans="1:4" ht="12.75">
      <c r="A39" s="1132"/>
      <c r="D39" s="565"/>
    </row>
    <row r="40" spans="1:6" ht="12.75">
      <c r="A40" s="1006">
        <f>A38+1</f>
        <v>823</v>
      </c>
      <c r="B40" s="836" t="s">
        <v>288</v>
      </c>
      <c r="C40" s="951"/>
      <c r="D40" s="951"/>
      <c r="E40" s="951"/>
      <c r="F40" s="1181" t="s">
        <v>289</v>
      </c>
    </row>
    <row r="41" spans="1:6" ht="12.75">
      <c r="A41" s="1006">
        <f>A40+1</f>
        <v>824</v>
      </c>
      <c r="B41" s="1182" t="s">
        <v>291</v>
      </c>
      <c r="C41" s="1183"/>
      <c r="D41" s="1183"/>
      <c r="E41" s="1183"/>
      <c r="F41" s="942"/>
    </row>
    <row r="42" spans="1:8" ht="12.75">
      <c r="A42" s="1146"/>
      <c r="B42" s="1165"/>
      <c r="C42" s="1163"/>
      <c r="D42" s="1163"/>
      <c r="E42" s="1164"/>
      <c r="F42" s="1164"/>
      <c r="G42" s="1166"/>
      <c r="H42" s="1166"/>
    </row>
    <row r="45" spans="1:7" ht="12">
      <c r="A45" s="900" t="s">
        <v>275</v>
      </c>
      <c r="B45" s="900" t="s">
        <v>643</v>
      </c>
      <c r="C45" s="943" t="s">
        <v>575</v>
      </c>
      <c r="D45" s="943" t="s">
        <v>644</v>
      </c>
      <c r="E45" s="943" t="s">
        <v>576</v>
      </c>
      <c r="F45" s="943" t="s">
        <v>577</v>
      </c>
      <c r="G45" s="943" t="s">
        <v>119</v>
      </c>
    </row>
    <row r="46" spans="1:8" ht="12">
      <c r="A46" s="565"/>
      <c r="D46" s="1117"/>
      <c r="E46" s="1117"/>
      <c r="F46" s="1117"/>
      <c r="G46" s="1117"/>
      <c r="H46" s="1146"/>
    </row>
    <row r="47" spans="1:7" ht="12">
      <c r="A47" s="1006">
        <f>A41+1</f>
        <v>825</v>
      </c>
      <c r="B47" s="939" t="s">
        <v>578</v>
      </c>
      <c r="C47" s="942"/>
      <c r="D47" s="942"/>
      <c r="E47" s="1144">
        <f>D47-C47</f>
        <v>0</v>
      </c>
      <c r="F47" s="1145">
        <f>21300*1.0646*1.032*1.0165</f>
        <v>23787.737947439997</v>
      </c>
      <c r="G47" s="995">
        <f>IF(E47*F47&gt;0,E47*F47,0)</f>
        <v>0</v>
      </c>
    </row>
    <row r="48" spans="1:7" ht="12">
      <c r="A48" s="1006">
        <f>A47+1</f>
        <v>826</v>
      </c>
      <c r="B48" s="939" t="s">
        <v>579</v>
      </c>
      <c r="C48" s="942"/>
      <c r="D48" s="942"/>
      <c r="E48" s="1144">
        <f>D48-C48</f>
        <v>0</v>
      </c>
      <c r="F48" s="1145">
        <f>21300*1.0646*1.032*1.0165</f>
        <v>23787.737947439997</v>
      </c>
      <c r="G48" s="995">
        <f>IF(E48*F48&gt;0,E48*F48,0)</f>
        <v>0</v>
      </c>
    </row>
    <row r="49" spans="1:7" ht="12">
      <c r="A49" s="1006">
        <f>A48+1</f>
        <v>827</v>
      </c>
      <c r="B49" s="939" t="s">
        <v>580</v>
      </c>
      <c r="C49" s="942"/>
      <c r="D49" s="942">
        <v>0</v>
      </c>
      <c r="E49" s="1144">
        <f>D49-C49</f>
        <v>0</v>
      </c>
      <c r="F49" s="1145">
        <f>32800*1.0646*1.032*1.0165</f>
        <v>36630.882848639994</v>
      </c>
      <c r="G49" s="995">
        <f>IF(E49*F49&gt;0,E49*F49,0)</f>
        <v>0</v>
      </c>
    </row>
    <row r="50" spans="1:7" ht="12">
      <c r="A50" s="1006">
        <f>A49+1</f>
        <v>828</v>
      </c>
      <c r="B50" s="939" t="s">
        <v>581</v>
      </c>
      <c r="C50" s="942"/>
      <c r="D50" s="942"/>
      <c r="E50" s="1144">
        <f>D50-C50</f>
        <v>0</v>
      </c>
      <c r="F50" s="1145">
        <f>32800*1.0646*1.032*1.0165</f>
        <v>36630.882848639994</v>
      </c>
      <c r="G50" s="995">
        <f>IF(E50*F50&gt;0,E50*F50,0)</f>
        <v>0</v>
      </c>
    </row>
    <row r="51" spans="1:7" ht="12">
      <c r="A51" s="1006">
        <f>A50+1</f>
        <v>829</v>
      </c>
      <c r="B51" s="939" t="s">
        <v>582</v>
      </c>
      <c r="C51" s="942"/>
      <c r="D51" s="942"/>
      <c r="E51" s="1144">
        <f>D51-C51</f>
        <v>0</v>
      </c>
      <c r="F51" s="1145">
        <f>21300*1.0646*1.032*1.0165</f>
        <v>23787.737947439997</v>
      </c>
      <c r="G51" s="995">
        <f>IF(E51*F51&gt;0,E51*F51,0)</f>
        <v>0</v>
      </c>
    </row>
    <row r="52" spans="1:7" ht="12.75">
      <c r="A52" s="1006">
        <f>A51+1</f>
        <v>830</v>
      </c>
      <c r="B52" s="1297" t="s">
        <v>583</v>
      </c>
      <c r="C52" s="1300"/>
      <c r="D52" s="1300"/>
      <c r="E52" s="1300"/>
      <c r="F52" s="1301"/>
      <c r="G52" s="969">
        <f>SUM(G47:G51)</f>
        <v>0</v>
      </c>
    </row>
    <row r="56" ht="10.5" customHeight="1"/>
  </sheetData>
  <sheetProtection password="CFAD" sheet="1" objects="1" scenarios="1"/>
  <mergeCells count="1">
    <mergeCell ref="B52:F52"/>
  </mergeCells>
  <conditionalFormatting sqref="C47:D51 C9:D20 E26:F28 F40:F41">
    <cfRule type="expression" priority="1" dxfId="0" stopIfTrue="1">
      <formula>$F$2=TRUE</formula>
    </cfRule>
  </conditionalFormatting>
  <printOptions/>
  <pageMargins left="0.3937007874015748" right="0.3937007874015748" top="0.1968503937007874" bottom="0.1968503937007874" header="0.03937007874015748" footer="0.11811023622047245"/>
  <pageSetup horizontalDpi="1200" verticalDpi="1200" orientation="landscape" paperSize="9" scale="89" r:id="rId2"/>
  <drawing r:id="rId1"/>
</worksheet>
</file>

<file path=xl/worksheets/sheet8.xml><?xml version="1.0" encoding="utf-8"?>
<worksheet xmlns="http://schemas.openxmlformats.org/spreadsheetml/2006/main" xmlns:r="http://schemas.openxmlformats.org/officeDocument/2006/relationships">
  <sheetPr codeName="Blad11"/>
  <dimension ref="A2:J36"/>
  <sheetViews>
    <sheetView showGridLines="0" zoomScale="86" zoomScaleNormal="86" workbookViewId="0" topLeftCell="A13">
      <selection activeCell="J36" sqref="J36"/>
    </sheetView>
  </sheetViews>
  <sheetFormatPr defaultColWidth="9.140625" defaultRowHeight="12.75"/>
  <cols>
    <col min="1" max="1" width="5.421875" style="458" customWidth="1"/>
    <col min="2" max="2" width="5.8515625" style="459" customWidth="1"/>
    <col min="3" max="3" width="25.57421875" style="459" customWidth="1"/>
    <col min="4" max="4" width="12.00390625" style="462" customWidth="1"/>
    <col min="5" max="5" width="12.8515625" style="459" customWidth="1"/>
    <col min="6" max="6" width="9.421875" style="459" customWidth="1"/>
    <col min="7" max="7" width="5.28125" style="461" customWidth="1"/>
    <col min="8" max="8" width="24.28125" style="458" customWidth="1"/>
    <col min="9" max="9" width="21.57421875" style="459" customWidth="1"/>
    <col min="10" max="10" width="11.8515625" style="468" customWidth="1"/>
    <col min="11" max="14" width="10.7109375" style="457" customWidth="1"/>
    <col min="15" max="22" width="9.140625" style="457" customWidth="1"/>
    <col min="23" max="23" width="1.7109375" style="457" customWidth="1"/>
    <col min="24" max="16384" width="9.140625" style="457" customWidth="1"/>
  </cols>
  <sheetData>
    <row r="1" ht="15.75" customHeight="1"/>
    <row r="2" spans="1:10" s="503" customFormat="1" ht="15.75" customHeight="1">
      <c r="A2" s="1062" t="str">
        <f>CONCATENATE("Nacalculatieformulier ",Voorblad!D3)</f>
        <v>Nacalculatieformulier 2004</v>
      </c>
      <c r="B2" s="601"/>
      <c r="C2" s="601"/>
      <c r="D2" s="602"/>
      <c r="E2" s="603"/>
      <c r="F2" s="603"/>
      <c r="G2" s="604" t="b">
        <f>Voorblad!D30</f>
        <v>1</v>
      </c>
      <c r="H2" s="603"/>
      <c r="I2" s="601"/>
      <c r="J2" s="600">
        <f>+'Prod.1.4en1.5'!G2+1</f>
        <v>9</v>
      </c>
    </row>
    <row r="3" spans="1:10" ht="12">
      <c r="A3" s="41"/>
      <c r="B3" s="42"/>
      <c r="C3" s="42"/>
      <c r="D3" s="43"/>
      <c r="E3" s="42"/>
      <c r="F3" s="42"/>
      <c r="G3" s="41"/>
      <c r="H3" s="90"/>
      <c r="I3" s="42"/>
      <c r="J3" s="90"/>
    </row>
    <row r="4" spans="1:10" ht="12.75" customHeight="1">
      <c r="A4" s="14" t="str">
        <f>CONCATENATE("RUBRIEK 2: WERKELIJKE OPBRENGSTEN")</f>
        <v>RUBRIEK 2: WERKELIJKE OPBRENGSTEN</v>
      </c>
      <c r="B4" s="95"/>
      <c r="C4" s="95"/>
      <c r="D4" s="606"/>
      <c r="E4" s="387"/>
      <c r="F4" s="607"/>
      <c r="G4" s="95"/>
      <c r="H4" s="42"/>
      <c r="I4" s="95"/>
      <c r="J4" s="95"/>
    </row>
    <row r="5" spans="1:10" ht="12.75" customHeight="1">
      <c r="A5" s="41"/>
      <c r="B5" s="609"/>
      <c r="C5" s="609"/>
      <c r="D5" s="609"/>
      <c r="E5" s="609"/>
      <c r="F5" s="609"/>
      <c r="G5" s="95"/>
      <c r="H5" s="42"/>
      <c r="I5" s="95"/>
      <c r="J5" s="95"/>
    </row>
    <row r="6" spans="1:10" s="503" customFormat="1" ht="12.75" customHeight="1">
      <c r="A6" s="595"/>
      <c r="B6" s="610" t="s">
        <v>342</v>
      </c>
      <c r="C6" s="610" t="s">
        <v>65</v>
      </c>
      <c r="D6" s="611" t="s">
        <v>124</v>
      </c>
      <c r="E6" s="612" t="s">
        <v>123</v>
      </c>
      <c r="F6" s="613"/>
      <c r="G6" s="95"/>
      <c r="H6" s="42"/>
      <c r="I6" s="95"/>
      <c r="J6" s="95"/>
    </row>
    <row r="7" spans="1:10" ht="12.75" customHeight="1">
      <c r="A7" s="562"/>
      <c r="B7" s="562"/>
      <c r="C7" s="562"/>
      <c r="E7" s="614"/>
      <c r="F7" s="562"/>
      <c r="G7" s="609"/>
      <c r="H7" s="609"/>
      <c r="I7" s="609"/>
      <c r="J7" s="609"/>
    </row>
    <row r="8" spans="1:9" s="455" customFormat="1" ht="12.75" customHeight="1">
      <c r="A8" s="26" t="s">
        <v>384</v>
      </c>
      <c r="B8" s="27" t="s">
        <v>593</v>
      </c>
      <c r="C8" s="27"/>
      <c r="D8" s="452"/>
      <c r="E8" s="454"/>
      <c r="F8" s="562"/>
      <c r="G8" s="26" t="s">
        <v>128</v>
      </c>
      <c r="H8" s="27" t="s">
        <v>701</v>
      </c>
      <c r="I8" s="453"/>
    </row>
    <row r="9" spans="1:10" s="455" customFormat="1" ht="12.75" customHeight="1">
      <c r="A9" s="739">
        <f>J2*100+1</f>
        <v>901</v>
      </c>
      <c r="B9" s="878" t="s">
        <v>594</v>
      </c>
      <c r="C9" s="953" t="s">
        <v>595</v>
      </c>
      <c r="D9" s="433"/>
      <c r="E9" s="433"/>
      <c r="F9" s="451"/>
      <c r="G9" s="739">
        <f>A36+1</f>
        <v>925</v>
      </c>
      <c r="H9" s="1288" t="s">
        <v>702</v>
      </c>
      <c r="I9" s="1290"/>
      <c r="J9" s="433"/>
    </row>
    <row r="10" spans="1:10" ht="12.75" customHeight="1">
      <c r="A10" s="739">
        <f aca="true" t="shared" si="0" ref="A10:A15">A9+1</f>
        <v>902</v>
      </c>
      <c r="B10" s="878" t="s">
        <v>596</v>
      </c>
      <c r="C10" s="953" t="s">
        <v>597</v>
      </c>
      <c r="D10" s="433"/>
      <c r="E10" s="433"/>
      <c r="F10" s="451"/>
      <c r="G10" s="739">
        <f>G9+1</f>
        <v>926</v>
      </c>
      <c r="H10" s="1288" t="s">
        <v>703</v>
      </c>
      <c r="I10" s="1290"/>
      <c r="J10" s="433"/>
    </row>
    <row r="11" spans="1:10" ht="12.75" customHeight="1">
      <c r="A11" s="739">
        <f t="shared" si="0"/>
        <v>903</v>
      </c>
      <c r="B11" s="878" t="s">
        <v>598</v>
      </c>
      <c r="C11" s="953" t="s">
        <v>599</v>
      </c>
      <c r="D11" s="433"/>
      <c r="E11" s="433"/>
      <c r="F11" s="456"/>
      <c r="G11" s="739">
        <f>G10+1</f>
        <v>927</v>
      </c>
      <c r="H11" s="1288" t="s">
        <v>704</v>
      </c>
      <c r="I11" s="1290"/>
      <c r="J11" s="433"/>
    </row>
    <row r="12" spans="1:10" ht="12.75" customHeight="1">
      <c r="A12" s="739">
        <f t="shared" si="0"/>
        <v>904</v>
      </c>
      <c r="B12" s="878" t="s">
        <v>600</v>
      </c>
      <c r="C12" s="953" t="s">
        <v>601</v>
      </c>
      <c r="D12" s="433"/>
      <c r="E12" s="433"/>
      <c r="F12" s="456"/>
      <c r="G12" s="739">
        <f>G11+1</f>
        <v>928</v>
      </c>
      <c r="H12" s="1288" t="s">
        <v>405</v>
      </c>
      <c r="I12" s="1290"/>
      <c r="J12" s="433"/>
    </row>
    <row r="13" spans="1:10" ht="12.75" customHeight="1">
      <c r="A13" s="739">
        <f t="shared" si="0"/>
        <v>905</v>
      </c>
      <c r="B13" s="878" t="s">
        <v>602</v>
      </c>
      <c r="C13" s="953" t="s">
        <v>603</v>
      </c>
      <c r="D13" s="433"/>
      <c r="E13" s="433"/>
      <c r="F13" s="456"/>
      <c r="G13" s="739">
        <f>G12+1</f>
        <v>929</v>
      </c>
      <c r="H13" s="1309" t="s">
        <v>705</v>
      </c>
      <c r="I13" s="1309"/>
      <c r="J13" s="1050">
        <f>+'Prod.1.3.'!C25</f>
        <v>0</v>
      </c>
    </row>
    <row r="14" spans="1:10" ht="12.75" customHeight="1">
      <c r="A14" s="739">
        <f t="shared" si="0"/>
        <v>906</v>
      </c>
      <c r="B14" s="878" t="s">
        <v>604</v>
      </c>
      <c r="C14" s="953" t="s">
        <v>605</v>
      </c>
      <c r="D14" s="433"/>
      <c r="E14" s="433"/>
      <c r="F14" s="456"/>
      <c r="G14" s="739">
        <f>G13+1</f>
        <v>930</v>
      </c>
      <c r="H14" s="1310" t="str">
        <f>CONCATENATE("Totaal Opbrengst nevenverrichtingen ",G9," t/m ",G13)</f>
        <v>Totaal Opbrengst nevenverrichtingen 925 t/m 929</v>
      </c>
      <c r="I14" s="1310"/>
      <c r="J14" s="762">
        <f>SUM(J9:J13)</f>
        <v>0</v>
      </c>
    </row>
    <row r="15" spans="1:10" ht="12.75" customHeight="1">
      <c r="A15" s="739">
        <f t="shared" si="0"/>
        <v>907</v>
      </c>
      <c r="B15" s="1304" t="str">
        <f>CONCATENATE("Subtotaal ",A9," t/m ",A14)</f>
        <v>Subtotaal 901 t/m 906</v>
      </c>
      <c r="C15" s="1311"/>
      <c r="D15" s="1305"/>
      <c r="E15" s="741">
        <f>SUM(E9:E14)</f>
        <v>0</v>
      </c>
      <c r="F15" s="456"/>
      <c r="G15" s="71"/>
      <c r="H15" s="958"/>
      <c r="I15" s="958"/>
      <c r="J15" s="959"/>
    </row>
    <row r="16" spans="1:10" ht="12.75" customHeight="1">
      <c r="A16" s="71"/>
      <c r="B16" s="956"/>
      <c r="C16" s="956"/>
      <c r="D16" s="956"/>
      <c r="E16" s="957"/>
      <c r="F16" s="460"/>
      <c r="G16" s="71" t="s">
        <v>132</v>
      </c>
      <c r="H16" s="958" t="s">
        <v>406</v>
      </c>
      <c r="I16" s="958"/>
      <c r="J16" s="959"/>
    </row>
    <row r="17" spans="1:10" ht="12.75" customHeight="1">
      <c r="A17" s="26"/>
      <c r="B17" s="27" t="s">
        <v>606</v>
      </c>
      <c r="C17" s="27"/>
      <c r="D17" s="452"/>
      <c r="E17" s="454"/>
      <c r="F17" s="461"/>
      <c r="G17" s="739">
        <f>G14+1</f>
        <v>931</v>
      </c>
      <c r="H17" s="1288" t="s">
        <v>476</v>
      </c>
      <c r="I17" s="1290"/>
      <c r="J17" s="433"/>
    </row>
    <row r="18" spans="1:10" ht="12.75" customHeight="1">
      <c r="A18" s="739">
        <f>A15+1</f>
        <v>908</v>
      </c>
      <c r="B18" s="1186" t="s">
        <v>607</v>
      </c>
      <c r="C18" s="1187"/>
      <c r="D18" s="1188"/>
      <c r="E18" s="433"/>
      <c r="F18" s="451"/>
      <c r="G18" s="739">
        <f>G17+1</f>
        <v>932</v>
      </c>
      <c r="H18" s="457" t="s">
        <v>557</v>
      </c>
      <c r="J18" s="433"/>
    </row>
    <row r="19" spans="1:10" s="455" customFormat="1" ht="12.75" customHeight="1">
      <c r="A19" s="739">
        <f>A18+1</f>
        <v>909</v>
      </c>
      <c r="B19" s="1186" t="s">
        <v>608</v>
      </c>
      <c r="C19" s="1187"/>
      <c r="D19" s="1188"/>
      <c r="E19" s="433"/>
      <c r="F19" s="451"/>
      <c r="G19" s="739">
        <f aca="true" t="shared" si="1" ref="G19:G24">G18+1</f>
        <v>933</v>
      </c>
      <c r="H19" s="1288" t="s">
        <v>477</v>
      </c>
      <c r="I19" s="1290"/>
      <c r="J19" s="433"/>
    </row>
    <row r="20" spans="1:10" ht="12.75" customHeight="1">
      <c r="A20" s="739">
        <f aca="true" t="shared" si="2" ref="A20:A27">A19+1</f>
        <v>910</v>
      </c>
      <c r="B20" s="1186" t="s">
        <v>683</v>
      </c>
      <c r="C20" s="1187"/>
      <c r="D20" s="1188"/>
      <c r="E20" s="433"/>
      <c r="F20" s="456"/>
      <c r="G20" s="739">
        <f t="shared" si="1"/>
        <v>934</v>
      </c>
      <c r="H20" s="1306"/>
      <c r="I20" s="1307"/>
      <c r="J20" s="433"/>
    </row>
    <row r="21" spans="1:10" ht="12.75" customHeight="1">
      <c r="A21" s="739">
        <f t="shared" si="2"/>
        <v>911</v>
      </c>
      <c r="B21" s="1186" t="s">
        <v>684</v>
      </c>
      <c r="C21" s="1187"/>
      <c r="D21" s="1188"/>
      <c r="E21" s="433"/>
      <c r="F21" s="456"/>
      <c r="G21" s="739">
        <f t="shared" si="1"/>
        <v>935</v>
      </c>
      <c r="H21" s="1306"/>
      <c r="I21" s="1307"/>
      <c r="J21" s="433"/>
    </row>
    <row r="22" spans="1:10" ht="12.75" customHeight="1">
      <c r="A22" s="739">
        <f t="shared" si="2"/>
        <v>912</v>
      </c>
      <c r="B22" s="1186" t="s">
        <v>685</v>
      </c>
      <c r="C22" s="1187"/>
      <c r="D22" s="1188"/>
      <c r="E22" s="433"/>
      <c r="F22" s="453"/>
      <c r="G22" s="739">
        <f t="shared" si="1"/>
        <v>936</v>
      </c>
      <c r="H22" s="1306"/>
      <c r="I22" s="1307"/>
      <c r="J22" s="433"/>
    </row>
    <row r="23" spans="1:10" s="455" customFormat="1" ht="12.75" customHeight="1">
      <c r="A23" s="739">
        <f t="shared" si="2"/>
        <v>913</v>
      </c>
      <c r="B23" s="1186" t="s">
        <v>686</v>
      </c>
      <c r="C23" s="1187"/>
      <c r="D23" s="1188"/>
      <c r="E23" s="433"/>
      <c r="F23" s="451"/>
      <c r="G23" s="739">
        <f t="shared" si="1"/>
        <v>937</v>
      </c>
      <c r="H23" s="1306"/>
      <c r="I23" s="1307"/>
      <c r="J23" s="433"/>
    </row>
    <row r="24" spans="1:10" s="455" customFormat="1" ht="12.75" customHeight="1">
      <c r="A24" s="739">
        <f t="shared" si="2"/>
        <v>914</v>
      </c>
      <c r="B24" s="1186" t="s">
        <v>290</v>
      </c>
      <c r="C24" s="1187"/>
      <c r="D24" s="1188"/>
      <c r="E24" s="433"/>
      <c r="F24" s="451"/>
      <c r="G24" s="739">
        <f t="shared" si="1"/>
        <v>938</v>
      </c>
      <c r="H24" s="1308" t="str">
        <f>CONCATENATE("Totaal overige vergoedingen ",G17," t/m ",G23)</f>
        <v>Totaal overige vergoedingen 931 t/m 937</v>
      </c>
      <c r="I24" s="1308"/>
      <c r="J24" s="762">
        <f>SUM(J17:J23)</f>
        <v>0</v>
      </c>
    </row>
    <row r="25" spans="1:10" s="455" customFormat="1" ht="12.75" customHeight="1">
      <c r="A25" s="739">
        <f>A24+1</f>
        <v>915</v>
      </c>
      <c r="B25" s="1186" t="s">
        <v>635</v>
      </c>
      <c r="C25" s="1187"/>
      <c r="D25" s="1188"/>
      <c r="E25" s="433"/>
      <c r="F25" s="451"/>
      <c r="G25" s="71"/>
      <c r="H25" s="960"/>
      <c r="I25" s="960"/>
      <c r="J25" s="959"/>
    </row>
    <row r="26" spans="1:10" ht="12.75" customHeight="1">
      <c r="A26" s="739">
        <f>A25+1</f>
        <v>916</v>
      </c>
      <c r="B26" s="1312" t="str">
        <f>CONCATENATE("Subtotaal ",A18," t/m ",A25)</f>
        <v>Subtotaal 908 t/m 915</v>
      </c>
      <c r="C26" s="1313"/>
      <c r="D26" s="1314"/>
      <c r="E26" s="1020">
        <f>SUM(E18:E25)</f>
        <v>0</v>
      </c>
      <c r="F26" s="456"/>
      <c r="G26" s="739">
        <f>G24+1</f>
        <v>939</v>
      </c>
      <c r="H26" s="961" t="s">
        <v>483</v>
      </c>
      <c r="I26" s="961"/>
      <c r="J26" s="762">
        <f>E27+E36+J14+J24</f>
        <v>0</v>
      </c>
    </row>
    <row r="27" spans="1:10" ht="12.75" customHeight="1">
      <c r="A27" s="739">
        <f t="shared" si="2"/>
        <v>917</v>
      </c>
      <c r="B27" s="1304" t="s">
        <v>687</v>
      </c>
      <c r="C27" s="1311"/>
      <c r="D27" s="1305"/>
      <c r="E27" s="741">
        <f>E15-E26</f>
        <v>0</v>
      </c>
      <c r="F27" s="456"/>
      <c r="G27" s="71"/>
      <c r="H27" s="960"/>
      <c r="I27" s="960"/>
      <c r="J27" s="959"/>
    </row>
    <row r="28" spans="1:10" ht="12.75" customHeight="1">
      <c r="A28" s="615"/>
      <c r="B28" s="42"/>
      <c r="C28" s="42"/>
      <c r="F28" s="456"/>
      <c r="G28" s="71" t="s">
        <v>386</v>
      </c>
      <c r="H28" s="960" t="s">
        <v>482</v>
      </c>
      <c r="I28" s="960"/>
      <c r="J28" s="959"/>
    </row>
    <row r="29" spans="1:10" ht="12.75" customHeight="1">
      <c r="A29" s="26" t="s">
        <v>385</v>
      </c>
      <c r="B29" s="27" t="s">
        <v>688</v>
      </c>
      <c r="C29" s="27"/>
      <c r="D29" s="452"/>
      <c r="E29" s="453"/>
      <c r="F29" s="954"/>
      <c r="G29" s="739">
        <f>G26+1</f>
        <v>940</v>
      </c>
      <c r="H29" s="1302" t="s">
        <v>478</v>
      </c>
      <c r="I29" s="1303"/>
      <c r="J29" s="433"/>
    </row>
    <row r="30" spans="1:10" ht="12.75" customHeight="1">
      <c r="A30" s="739">
        <f>A27+1</f>
        <v>918</v>
      </c>
      <c r="B30" s="955" t="s">
        <v>689</v>
      </c>
      <c r="C30" s="1288" t="s">
        <v>690</v>
      </c>
      <c r="D30" s="1290"/>
      <c r="E30" s="837"/>
      <c r="G30" s="739">
        <f>G29+1</f>
        <v>941</v>
      </c>
      <c r="H30" s="962" t="s">
        <v>479</v>
      </c>
      <c r="I30" s="838"/>
      <c r="J30" s="433"/>
    </row>
    <row r="31" spans="1:10" ht="12">
      <c r="A31" s="739">
        <f aca="true" t="shared" si="3" ref="A31:A36">A30+1</f>
        <v>919</v>
      </c>
      <c r="B31" s="955" t="s">
        <v>691</v>
      </c>
      <c r="C31" s="1288" t="s">
        <v>692</v>
      </c>
      <c r="D31" s="1290"/>
      <c r="E31" s="837"/>
      <c r="G31" s="739">
        <f aca="true" t="shared" si="4" ref="G31:G36">G30+1</f>
        <v>942</v>
      </c>
      <c r="H31" s="1302" t="s">
        <v>480</v>
      </c>
      <c r="I31" s="1303"/>
      <c r="J31" s="433"/>
    </row>
    <row r="32" spans="1:10" ht="12">
      <c r="A32" s="739">
        <f t="shared" si="3"/>
        <v>920</v>
      </c>
      <c r="B32" s="955" t="s">
        <v>693</v>
      </c>
      <c r="C32" s="1288" t="s">
        <v>694</v>
      </c>
      <c r="D32" s="1290"/>
      <c r="E32" s="837"/>
      <c r="G32" s="739">
        <f t="shared" si="4"/>
        <v>943</v>
      </c>
      <c r="H32" s="1302" t="s">
        <v>706</v>
      </c>
      <c r="I32" s="1303"/>
      <c r="J32" s="433"/>
    </row>
    <row r="33" spans="1:10" ht="12">
      <c r="A33" s="739">
        <f t="shared" si="3"/>
        <v>921</v>
      </c>
      <c r="B33" s="955" t="s">
        <v>695</v>
      </c>
      <c r="C33" s="1288" t="s">
        <v>696</v>
      </c>
      <c r="D33" s="1290"/>
      <c r="E33" s="837"/>
      <c r="G33" s="739">
        <f t="shared" si="4"/>
        <v>944</v>
      </c>
      <c r="H33" s="1302" t="s">
        <v>481</v>
      </c>
      <c r="I33" s="1303"/>
      <c r="J33" s="433"/>
    </row>
    <row r="34" spans="1:10" ht="12">
      <c r="A34" s="739">
        <f t="shared" si="3"/>
        <v>922</v>
      </c>
      <c r="B34" s="955" t="s">
        <v>697</v>
      </c>
      <c r="C34" s="1288" t="s">
        <v>698</v>
      </c>
      <c r="D34" s="1290"/>
      <c r="E34" s="837"/>
      <c r="G34" s="739">
        <f t="shared" si="4"/>
        <v>945</v>
      </c>
      <c r="H34" s="1302" t="s">
        <v>707</v>
      </c>
      <c r="I34" s="1303"/>
      <c r="J34" s="433"/>
    </row>
    <row r="35" spans="1:10" ht="12">
      <c r="A35" s="739">
        <f t="shared" si="3"/>
        <v>923</v>
      </c>
      <c r="B35" s="1152" t="s">
        <v>699</v>
      </c>
      <c r="C35" s="1288" t="s">
        <v>700</v>
      </c>
      <c r="D35" s="1290"/>
      <c r="E35" s="837"/>
      <c r="G35" s="739">
        <f t="shared" si="4"/>
        <v>946</v>
      </c>
      <c r="H35" s="1302" t="s">
        <v>407</v>
      </c>
      <c r="I35" s="1303"/>
      <c r="J35" s="433"/>
    </row>
    <row r="36" spans="1:10" ht="12">
      <c r="A36" s="739">
        <f t="shared" si="3"/>
        <v>924</v>
      </c>
      <c r="B36" s="1147" t="str">
        <f>CONCATENATE("Totaal opbrengst vaste tarieven ",A30," t/m ",A35)</f>
        <v>Totaal opbrengst vaste tarieven 918 t/m 923</v>
      </c>
      <c r="C36" s="1148"/>
      <c r="D36" s="1149"/>
      <c r="E36" s="1049">
        <f>SUM(E30:E35)</f>
        <v>0</v>
      </c>
      <c r="G36" s="739">
        <f t="shared" si="4"/>
        <v>947</v>
      </c>
      <c r="H36" s="1304" t="str">
        <f>CONCATENATE("Totaal aanvullende inkomsten ",G29," t/m ",G35)</f>
        <v>Totaal aanvullende inkomsten 940 t/m 946</v>
      </c>
      <c r="I36" s="1305"/>
      <c r="J36" s="741">
        <f>SUM(J29:J35)</f>
        <v>0</v>
      </c>
    </row>
  </sheetData>
  <sheetProtection password="CFAD" sheet="1" objects="1" scenarios="1"/>
  <mergeCells count="29">
    <mergeCell ref="B15:D15"/>
    <mergeCell ref="C34:D34"/>
    <mergeCell ref="B26:D26"/>
    <mergeCell ref="B27:D27"/>
    <mergeCell ref="C30:D30"/>
    <mergeCell ref="C31:D31"/>
    <mergeCell ref="C32:D32"/>
    <mergeCell ref="C33:D33"/>
    <mergeCell ref="C35:D35"/>
    <mergeCell ref="H9:I9"/>
    <mergeCell ref="H10:I10"/>
    <mergeCell ref="H11:I11"/>
    <mergeCell ref="H12:I12"/>
    <mergeCell ref="H13:I13"/>
    <mergeCell ref="H14:I14"/>
    <mergeCell ref="H17:I17"/>
    <mergeCell ref="H19:I19"/>
    <mergeCell ref="H21:I21"/>
    <mergeCell ref="H22:I22"/>
    <mergeCell ref="H23:I23"/>
    <mergeCell ref="H20:I20"/>
    <mergeCell ref="H24:I24"/>
    <mergeCell ref="H34:I34"/>
    <mergeCell ref="H35:I35"/>
    <mergeCell ref="H36:I36"/>
    <mergeCell ref="H29:I29"/>
    <mergeCell ref="H31:I31"/>
    <mergeCell ref="H32:I32"/>
    <mergeCell ref="H33:I33"/>
  </mergeCells>
  <conditionalFormatting sqref="J17:J23 E18:E25 D9:E14 E30:E35 J29:J35 J9:J12 H20:H23">
    <cfRule type="expression" priority="1" dxfId="0" stopIfTrue="1">
      <formula>$G$2=TRUE</formula>
    </cfRule>
  </conditionalFormatting>
  <printOptions/>
  <pageMargins left="0.3937007874015748" right="0.3937007874015748" top="0.3937007874015748" bottom="0.3937007874015748" header="0.6299212598425197" footer="0.11811023622047245"/>
  <pageSetup horizontalDpi="300" verticalDpi="300" orientation="landscape" paperSize="9" r:id="rId2"/>
  <headerFooter alignWithMargins="0">
    <oddHeader xml:space="preserve">&amp;R&amp;9 </oddHeader>
  </headerFooter>
  <drawing r:id="rId1"/>
</worksheet>
</file>

<file path=xl/worksheets/sheet9.xml><?xml version="1.0" encoding="utf-8"?>
<worksheet xmlns="http://schemas.openxmlformats.org/spreadsheetml/2006/main" xmlns:r="http://schemas.openxmlformats.org/officeDocument/2006/relationships">
  <sheetPr codeName="Blad12"/>
  <dimension ref="A1:L31"/>
  <sheetViews>
    <sheetView showGridLines="0" view="pageBreakPreview" zoomScaleNormal="86" zoomScaleSheetLayoutView="100" workbookViewId="0" topLeftCell="A7">
      <selection activeCell="E30" sqref="E30"/>
    </sheetView>
  </sheetViews>
  <sheetFormatPr defaultColWidth="9.140625" defaultRowHeight="12.75"/>
  <cols>
    <col min="1" max="1" width="5.140625" style="565" customWidth="1"/>
    <col min="2" max="2" width="37.7109375" style="565" customWidth="1"/>
    <col min="3" max="3" width="11.7109375" style="565" customWidth="1"/>
    <col min="4" max="9" width="13.7109375" style="565" customWidth="1"/>
    <col min="10" max="10" width="7.8515625" style="565" customWidth="1"/>
    <col min="11" max="16384" width="9.140625" style="565" customWidth="1"/>
  </cols>
  <sheetData>
    <row r="1" spans="1:12" s="457" customFormat="1" ht="15.75" customHeight="1">
      <c r="A1" s="458"/>
      <c r="B1" s="459"/>
      <c r="C1" s="462"/>
      <c r="D1" s="459"/>
      <c r="E1" s="459"/>
      <c r="F1" s="461"/>
      <c r="G1" s="458"/>
      <c r="H1" s="459"/>
      <c r="I1" s="459"/>
      <c r="J1" s="468"/>
      <c r="L1" s="455"/>
    </row>
    <row r="2" spans="1:12" s="503" customFormat="1" ht="15.75" customHeight="1">
      <c r="A2" s="1062" t="str">
        <f>CONCATENATE("Nacalculatieformulier ",Voorblad!D3)</f>
        <v>Nacalculatieformulier 2004</v>
      </c>
      <c r="B2" s="601"/>
      <c r="C2" s="602"/>
      <c r="D2" s="603"/>
      <c r="E2" s="603"/>
      <c r="F2" s="604" t="b">
        <f>Voorblad!D30</f>
        <v>1</v>
      </c>
      <c r="G2" s="603"/>
      <c r="H2" s="601"/>
      <c r="I2" s="600">
        <f>Opbrengsten!J2+1</f>
        <v>10</v>
      </c>
      <c r="J2" s="596"/>
      <c r="L2" s="504"/>
    </row>
    <row r="3" spans="1:12" s="457" customFormat="1" ht="12.75" customHeight="1">
      <c r="A3" s="41"/>
      <c r="B3" s="42"/>
      <c r="C3" s="43"/>
      <c r="D3" s="42"/>
      <c r="E3" s="42"/>
      <c r="F3" s="45"/>
      <c r="G3" s="41"/>
      <c r="H3" s="42"/>
      <c r="I3" s="42"/>
      <c r="J3" s="90"/>
      <c r="K3" s="572"/>
      <c r="L3" s="455"/>
    </row>
    <row r="4" spans="1:11" s="457" customFormat="1" ht="12.75" customHeight="1">
      <c r="A4" s="14" t="s">
        <v>387</v>
      </c>
      <c r="B4" s="95"/>
      <c r="C4" s="606"/>
      <c r="D4" s="95"/>
      <c r="E4" s="95"/>
      <c r="F4" s="33"/>
      <c r="G4" s="14"/>
      <c r="H4" s="95"/>
      <c r="I4" s="608"/>
      <c r="J4" s="95"/>
      <c r="K4" s="572"/>
    </row>
    <row r="5" ht="12">
      <c r="A5" s="900"/>
    </row>
    <row r="6" spans="1:2" ht="12">
      <c r="A6" s="900" t="s">
        <v>348</v>
      </c>
      <c r="B6" s="900" t="s">
        <v>484</v>
      </c>
    </row>
    <row r="8" spans="3:7" ht="12">
      <c r="C8" s="1034" t="s">
        <v>487</v>
      </c>
      <c r="D8" s="945" t="s">
        <v>144</v>
      </c>
      <c r="E8" s="918" t="s">
        <v>106</v>
      </c>
      <c r="F8" s="918" t="s">
        <v>11</v>
      </c>
      <c r="G8" s="1034" t="s">
        <v>489</v>
      </c>
    </row>
    <row r="9" spans="3:7" ht="12">
      <c r="C9" s="1069" t="s">
        <v>488</v>
      </c>
      <c r="D9" s="946">
        <v>2003</v>
      </c>
      <c r="E9" s="947" t="s">
        <v>108</v>
      </c>
      <c r="F9" s="947" t="s">
        <v>10</v>
      </c>
      <c r="G9" s="947">
        <v>2004</v>
      </c>
    </row>
    <row r="10" spans="3:7" ht="12">
      <c r="C10" s="1104"/>
      <c r="D10" s="948" t="s">
        <v>0</v>
      </c>
      <c r="E10" s="935">
        <v>2004</v>
      </c>
      <c r="F10" s="935" t="s">
        <v>645</v>
      </c>
      <c r="G10" s="935"/>
    </row>
    <row r="11" spans="4:7" ht="12">
      <c r="D11" s="908"/>
      <c r="E11" s="908"/>
      <c r="F11" s="908"/>
      <c r="G11" s="908"/>
    </row>
    <row r="12" spans="1:7" ht="12">
      <c r="A12" s="937">
        <f>(100*I2)+1</f>
        <v>1001</v>
      </c>
      <c r="B12" s="878" t="s">
        <v>395</v>
      </c>
      <c r="C12" s="1102">
        <v>0.025</v>
      </c>
      <c r="D12" s="433"/>
      <c r="E12" s="433"/>
      <c r="F12" s="433"/>
      <c r="G12" s="1105">
        <f>D12+E12-F12</f>
        <v>0</v>
      </c>
    </row>
    <row r="13" spans="1:7" ht="12">
      <c r="A13" s="937">
        <f>A12+1</f>
        <v>1002</v>
      </c>
      <c r="B13" s="878" t="s">
        <v>336</v>
      </c>
      <c r="C13" s="966">
        <v>0</v>
      </c>
      <c r="D13" s="433"/>
      <c r="E13" s="433"/>
      <c r="F13" s="433"/>
      <c r="G13" s="1105">
        <f aca="true" t="shared" si="0" ref="G13:G18">D13+E13-F13</f>
        <v>0</v>
      </c>
    </row>
    <row r="14" spans="1:7" ht="12">
      <c r="A14" s="937">
        <f>A13+1</f>
        <v>1003</v>
      </c>
      <c r="B14" s="878" t="s">
        <v>485</v>
      </c>
      <c r="C14" s="966">
        <v>0.05</v>
      </c>
      <c r="D14" s="433"/>
      <c r="E14" s="433"/>
      <c r="F14" s="433"/>
      <c r="G14" s="1105">
        <f t="shared" si="0"/>
        <v>0</v>
      </c>
    </row>
    <row r="15" spans="1:7" ht="12">
      <c r="A15" s="937">
        <f aca="true" t="shared" si="1" ref="A15:A21">A14+1</f>
        <v>1004</v>
      </c>
      <c r="B15" s="878" t="s">
        <v>396</v>
      </c>
      <c r="C15" s="966">
        <v>0.02</v>
      </c>
      <c r="D15" s="433"/>
      <c r="E15" s="433"/>
      <c r="F15" s="433"/>
      <c r="G15" s="1105">
        <f t="shared" si="0"/>
        <v>0</v>
      </c>
    </row>
    <row r="16" spans="1:7" ht="12">
      <c r="A16" s="937">
        <f t="shared" si="1"/>
        <v>1005</v>
      </c>
      <c r="B16" s="878" t="s">
        <v>486</v>
      </c>
      <c r="C16" s="967">
        <v>0.05</v>
      </c>
      <c r="D16" s="433"/>
      <c r="E16" s="433"/>
      <c r="F16" s="433"/>
      <c r="G16" s="1105">
        <f t="shared" si="0"/>
        <v>0</v>
      </c>
    </row>
    <row r="17" spans="1:7" ht="12">
      <c r="A17" s="937">
        <f t="shared" si="1"/>
        <v>1006</v>
      </c>
      <c r="B17" s="878" t="s">
        <v>68</v>
      </c>
      <c r="C17" s="967">
        <v>0.05</v>
      </c>
      <c r="D17" s="433"/>
      <c r="E17" s="433"/>
      <c r="F17" s="433"/>
      <c r="G17" s="1105">
        <f t="shared" si="0"/>
        <v>0</v>
      </c>
    </row>
    <row r="18" spans="1:7" ht="12">
      <c r="A18" s="937">
        <f t="shared" si="1"/>
        <v>1007</v>
      </c>
      <c r="B18" s="878" t="s">
        <v>397</v>
      </c>
      <c r="C18" s="881"/>
      <c r="D18" s="433"/>
      <c r="E18" s="433"/>
      <c r="F18" s="433"/>
      <c r="G18" s="1105">
        <f t="shared" si="0"/>
        <v>0</v>
      </c>
    </row>
    <row r="19" spans="1:7" s="900" customFormat="1" ht="12">
      <c r="A19" s="937">
        <f t="shared" si="1"/>
        <v>1008</v>
      </c>
      <c r="B19" s="968" t="s">
        <v>398</v>
      </c>
      <c r="C19" s="968"/>
      <c r="D19" s="969">
        <f>SUM(D12:D18)</f>
        <v>0</v>
      </c>
      <c r="E19" s="969">
        <f>SUM(E12:E18)</f>
        <v>0</v>
      </c>
      <c r="F19" s="1063">
        <f>SUM(F12:F18)</f>
        <v>0</v>
      </c>
      <c r="G19" s="969">
        <f>SUM(G12:G18)</f>
        <v>0</v>
      </c>
    </row>
    <row r="20" spans="1:7" ht="12">
      <c r="A20" s="937">
        <f t="shared" si="1"/>
        <v>1009</v>
      </c>
      <c r="B20" s="878" t="s">
        <v>399</v>
      </c>
      <c r="C20" s="881"/>
      <c r="D20" s="433"/>
      <c r="E20" s="433"/>
      <c r="F20" s="433"/>
      <c r="G20" s="1105">
        <f>D20+E20-F20</f>
        <v>0</v>
      </c>
    </row>
    <row r="21" spans="1:7" s="900" customFormat="1" ht="12">
      <c r="A21" s="937">
        <f t="shared" si="1"/>
        <v>1010</v>
      </c>
      <c r="B21" s="968" t="s">
        <v>123</v>
      </c>
      <c r="C21" s="968"/>
      <c r="D21" s="969">
        <f>D19+D20</f>
        <v>0</v>
      </c>
      <c r="E21" s="969">
        <f>E19+E20</f>
        <v>0</v>
      </c>
      <c r="F21" s="969">
        <f>F19+F20</f>
        <v>0</v>
      </c>
      <c r="G21" s="969">
        <f>G19+G20</f>
        <v>0</v>
      </c>
    </row>
    <row r="24" spans="1:2" s="900" customFormat="1" ht="12">
      <c r="A24" s="900" t="s">
        <v>349</v>
      </c>
      <c r="B24" s="900" t="s">
        <v>495</v>
      </c>
    </row>
    <row r="26" spans="3:9" ht="12.75" customHeight="1">
      <c r="C26" s="1066" t="s">
        <v>497</v>
      </c>
      <c r="D26" s="1034" t="s">
        <v>373</v>
      </c>
      <c r="E26" s="918" t="s">
        <v>26</v>
      </c>
      <c r="F26" s="918" t="s">
        <v>497</v>
      </c>
      <c r="G26" s="1315" t="s">
        <v>648</v>
      </c>
      <c r="H26" s="1318" t="s">
        <v>649</v>
      </c>
      <c r="I26" s="1318" t="s">
        <v>650</v>
      </c>
    </row>
    <row r="27" spans="3:9" ht="12">
      <c r="C27" s="1067" t="s">
        <v>12</v>
      </c>
      <c r="D27" s="947" t="s">
        <v>13</v>
      </c>
      <c r="E27" s="1069" t="s">
        <v>108</v>
      </c>
      <c r="F27" s="1069" t="s">
        <v>12</v>
      </c>
      <c r="G27" s="1316"/>
      <c r="H27" s="1319"/>
      <c r="I27" s="1319"/>
    </row>
    <row r="28" spans="3:9" ht="12">
      <c r="C28" s="1068" t="s">
        <v>681</v>
      </c>
      <c r="D28" s="935" t="s">
        <v>646</v>
      </c>
      <c r="E28" s="935">
        <v>2004</v>
      </c>
      <c r="F28" s="935" t="s">
        <v>647</v>
      </c>
      <c r="G28" s="1317"/>
      <c r="H28" s="1320"/>
      <c r="I28" s="1320"/>
    </row>
    <row r="29" spans="3:9" s="914" customFormat="1" ht="12">
      <c r="C29" s="979"/>
      <c r="D29" s="979"/>
      <c r="E29" s="979"/>
      <c r="F29" s="979"/>
      <c r="G29" s="979"/>
      <c r="H29" s="1065"/>
      <c r="I29" s="979"/>
    </row>
    <row r="30" spans="1:9" ht="12">
      <c r="A30" s="937">
        <f>A21+1</f>
        <v>1011</v>
      </c>
      <c r="B30" s="878" t="s">
        <v>113</v>
      </c>
      <c r="C30" s="433"/>
      <c r="D30" s="433"/>
      <c r="E30" s="1050">
        <f>Instandhouding!F28</f>
        <v>0</v>
      </c>
      <c r="F30" s="995">
        <f>C30+D30-E30</f>
        <v>0</v>
      </c>
      <c r="G30" s="433"/>
      <c r="H30" s="433"/>
      <c r="I30" s="924">
        <f>F30-G30-H30</f>
        <v>0</v>
      </c>
    </row>
    <row r="31" spans="1:9" ht="12">
      <c r="A31" s="937">
        <f>A30+1</f>
        <v>1012</v>
      </c>
      <c r="B31" s="878" t="s">
        <v>496</v>
      </c>
      <c r="C31" s="433"/>
      <c r="D31" s="433"/>
      <c r="E31" s="995">
        <f>Instandhouding!G28</f>
        <v>0</v>
      </c>
      <c r="F31" s="995">
        <f>C31+D31-E31</f>
        <v>0</v>
      </c>
      <c r="G31" s="433"/>
      <c r="H31" s="433"/>
      <c r="I31" s="924">
        <f>F31-G31-H31</f>
        <v>0</v>
      </c>
    </row>
  </sheetData>
  <sheetProtection password="CFAD" sheet="1" objects="1" scenarios="1"/>
  <mergeCells count="3">
    <mergeCell ref="G26:G28"/>
    <mergeCell ref="H26:H28"/>
    <mergeCell ref="I26:I28"/>
  </mergeCells>
  <conditionalFormatting sqref="C30:D31 G30:H31 D12:F18 D20:F20">
    <cfRule type="expression" priority="1" dxfId="0" stopIfTrue="1">
      <formula>$F$2=TRUE</formula>
    </cfRule>
  </conditionalFormatting>
  <printOptions/>
  <pageMargins left="0.3937007874015748" right="0.3937007874015748" top="0.1968503937007874" bottom="0.1968503937007874" header="0.03937007874015748" footer="0.11811023622047245"/>
  <pageSetup horizontalDpi="1200" verticalDpi="12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Admin95</dc:creator>
  <cp:keywords/>
  <dc:description/>
  <cp:lastModifiedBy>kx16</cp:lastModifiedBy>
  <cp:lastPrinted>2004-01-28T14:25:59Z</cp:lastPrinted>
  <dcterms:created xsi:type="dcterms:W3CDTF">2000-02-23T15:17:24Z</dcterms:created>
  <dcterms:modified xsi:type="dcterms:W3CDTF">2005-04-08T06:31:23Z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1926914429</vt:i4>
  </property>
  <property fmtid="{D5CDD505-2E9C-101B-9397-08002B2CF9AE}" pid="3" name="_EmailSubject">
    <vt:lpwstr>Nacalculatieformulier categorale zhn definitief</vt:lpwstr>
  </property>
  <property fmtid="{D5CDD505-2E9C-101B-9397-08002B2CF9AE}" pid="4" name="_AuthorEmail">
    <vt:lpwstr>egevers@ctg-zaio.nl</vt:lpwstr>
  </property>
  <property fmtid="{D5CDD505-2E9C-101B-9397-08002B2CF9AE}" pid="5" name="_AuthorEmailDisplayName">
    <vt:lpwstr>Gevers, Evelien</vt:lpwstr>
  </property>
  <property fmtid="{D5CDD505-2E9C-101B-9397-08002B2CF9AE}" pid="6" name="_PreviousAdHocReviewCycleID">
    <vt:i4>-686239761</vt:i4>
  </property>
  <property fmtid="{D5CDD505-2E9C-101B-9397-08002B2CF9AE}" pid="7" name="_ReviewingToolsShownOnce">
    <vt:lpwstr/>
  </property>
  <property fmtid="{D5CDD505-2E9C-101B-9397-08002B2CF9AE}" pid="8" name="_dlc_DocId">
    <vt:lpwstr>THRFR6N5WDQ4-19-11410</vt:lpwstr>
  </property>
  <property fmtid="{D5CDD505-2E9C-101B-9397-08002B2CF9AE}" pid="9" name="_dlc_DocIdItemGuid">
    <vt:lpwstr>c1ba01a0-19fc-4027-8d1c-b161b127c03f</vt:lpwstr>
  </property>
  <property fmtid="{D5CDD505-2E9C-101B-9397-08002B2CF9AE}" pid="10" name="_dlc_DocIdUrl">
    <vt:lpwstr>http://kennisnet.nza.nl/publicaties/Aanleveren/_layouts/DocIdRedir.aspx?ID=THRFR6N5WDQ4-19-11410, THRFR6N5WDQ4-19-11410</vt:lpwstr>
  </property>
  <property fmtid="{D5CDD505-2E9C-101B-9397-08002B2CF9AE}" pid="11" name="WorkflowChangePath">
    <vt:lpwstr>ae6988f9-ea4d-431a-a1d2-bb29c825ae5e,5;ae6988f9-ea4d-431a-a1d2-bb29c825ae5e,5;ae6988f9-ea4d-431a-a1d2-bb29c825ae5e,5;ae6988f9-ea4d-431a-a1d2-bb29c825ae5e,5;ae6988f9-ea4d-431a-a1d2-bb29c825ae5e,5;ae6988f9-ea4d-431a-a1d2-bb29c825ae5e,10;ae6988f9-ea4d-431a-a</vt:lpwstr>
  </property>
  <property fmtid="{D5CDD505-2E9C-101B-9397-08002B2CF9AE}" pid="12" name="NZa-zoekwoordenMetadata">
    <vt:lpwstr/>
  </property>
  <property fmtid="{D5CDD505-2E9C-101B-9397-08002B2CF9AE}" pid="13" name="VerzondenAanMetadata">
    <vt:lpwstr/>
  </property>
  <property fmtid="{D5CDD505-2E9C-101B-9397-08002B2CF9AE}" pid="14" name="Sector(en)Metadata">
    <vt:lpwstr/>
  </property>
  <property fmtid="{D5CDD505-2E9C-101B-9397-08002B2CF9AE}" pid="15" name="DocumentTypeMetadata">
    <vt:lpwstr>Bijlage|5bf77c6e-b0b2-45e1-a13a-aadc6364942c</vt:lpwstr>
  </property>
  <property fmtid="{D5CDD505-2E9C-101B-9397-08002B2CF9AE}" pid="16" name="ExtraZoekwoordenMetadata">
    <vt:lpwstr/>
  </property>
</Properties>
</file>