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1290" windowWidth="11370" windowHeight="7620" tabRatio="670" activeTab="11"/>
  </bookViews>
  <sheets>
    <sheet name="Blad12" sheetId="1" r:id="rId1"/>
    <sheet name="Blad11" sheetId="2" r:id="rId2"/>
    <sheet name="Blad10" sheetId="3" r:id="rId3"/>
    <sheet name="Blad9" sheetId="4" r:id="rId4"/>
    <sheet name="Blad8" sheetId="5" r:id="rId5"/>
    <sheet name="Blad7" sheetId="6" r:id="rId6"/>
    <sheet name="Blad6" sheetId="7" r:id="rId7"/>
    <sheet name="Blad5" sheetId="8" r:id="rId8"/>
    <sheet name="Blad4" sheetId="9" r:id="rId9"/>
    <sheet name="Blad3" sheetId="10" r:id="rId10"/>
    <sheet name="Blad2" sheetId="11" r:id="rId11"/>
    <sheet name="Blad1" sheetId="12" r:id="rId12"/>
    <sheet name="BladA" sheetId="13" r:id="rId13"/>
    <sheet name="BladB" sheetId="14" r:id="rId14"/>
  </sheets>
  <definedNames>
    <definedName name="_xlnm.Print_Area" localSheetId="11">'Blad1'!$A$1:$C$60</definedName>
    <definedName name="_xlnm.Print_Area" localSheetId="2">'Blad10'!$A$1:$N$42</definedName>
    <definedName name="_xlnm.Print_Area" localSheetId="9">'Blad3'!$A$1:$R$42</definedName>
    <definedName name="_xlnm.Print_Area" localSheetId="8">'Blad4'!$A$1:$R$51</definedName>
    <definedName name="_xlnm.Print_Area" localSheetId="6">'Blad6'!$A$1:$M$41</definedName>
    <definedName name="_xlnm.Print_Area" localSheetId="5">'Blad7'!$A$1:$J$34</definedName>
    <definedName name="_xlnm.Print_Area" localSheetId="4">'Blad8'!$A$1:$E$59</definedName>
  </definedNames>
  <calcPr fullCalcOnLoad="1"/>
</workbook>
</file>

<file path=xl/sharedStrings.xml><?xml version="1.0" encoding="utf-8"?>
<sst xmlns="http://schemas.openxmlformats.org/spreadsheetml/2006/main" count="773" uniqueCount="545">
  <si>
    <t>Bestemd voor :</t>
  </si>
  <si>
    <t>algemene ziekenhuizen, waarop de "beleidsregel functiegerichte budgettering" van toepassing is.</t>
  </si>
  <si>
    <t>Naam instelling</t>
  </si>
  <si>
    <t>Vestigingsplaats</t>
  </si>
  <si>
    <t>Informatie inwinnen bij :</t>
  </si>
  <si>
    <t>Ondertekening namens het orgaan voor gezondheidszorg :</t>
  </si>
  <si>
    <t>Ondertekening namens ziektekostenverzekeraars:</t>
  </si>
  <si>
    <t>naam</t>
  </si>
  <si>
    <t>datum</t>
  </si>
  <si>
    <t>Inhoudsopgave</t>
  </si>
  <si>
    <t>realisatie</t>
  </si>
  <si>
    <t>D 300</t>
  </si>
  <si>
    <t>CAPD</t>
  </si>
  <si>
    <t>D 320</t>
  </si>
  <si>
    <t>D 301</t>
  </si>
  <si>
    <t>CAPD met EPO</t>
  </si>
  <si>
    <t>CCPD met dialysemiddelen</t>
  </si>
  <si>
    <t>CCPD met dialysemiddelen met EPO</t>
  </si>
  <si>
    <t>hartoperaties</t>
  </si>
  <si>
    <t>PTCA</t>
  </si>
  <si>
    <t>stents</t>
  </si>
  <si>
    <t>hartcatheterablaties</t>
  </si>
  <si>
    <t>AICD-implantaties</t>
  </si>
  <si>
    <t>beenmergtransplantaties AML</t>
  </si>
  <si>
    <t>IVF</t>
  </si>
  <si>
    <t>RBU</t>
  </si>
  <si>
    <t>teletherapie</t>
  </si>
  <si>
    <t>brachytherapie</t>
  </si>
  <si>
    <t>D 611</t>
  </si>
  <si>
    <t>D 612</t>
  </si>
  <si>
    <t>D 613</t>
  </si>
  <si>
    <t>D 614</t>
  </si>
  <si>
    <t>D 621</t>
  </si>
  <si>
    <t>D 622</t>
  </si>
  <si>
    <t>D 623</t>
  </si>
  <si>
    <t>D 624</t>
  </si>
  <si>
    <t>poliklinische toediening cytostatica</t>
  </si>
  <si>
    <t>A 010</t>
  </si>
  <si>
    <t>Scholingsmiddelen</t>
  </si>
  <si>
    <t>Afschrijvingskosten dubieuze debiteuren</t>
  </si>
  <si>
    <t xml:space="preserve">Voorzover u Prismant niet hebt gemachtigd om de opgegeven adherenties rechtstreeks aan het </t>
  </si>
  <si>
    <t>CTG ter beschikking te stellen, dient u een copie van de opgave van Prismant mee te zenden.</t>
  </si>
  <si>
    <t>instelling was verbonden en dat voldeed aan de gestelde eisen. Indien er twijfel bestaat over het</t>
  </si>
  <si>
    <t>aantal opgegeven leerlingen kan het CTG aanvullende informatie verlangen. Denk hierbij aan</t>
  </si>
  <si>
    <t>een opgave van het aantal leerlingen door een ROC of door een HBO-instituut.</t>
  </si>
  <si>
    <t xml:space="preserve">Voor een verdere toelichting mogen wij u verwijzen naar onze circulaire MR/kh/I/99/14c d.d. </t>
  </si>
  <si>
    <t>23 maart 1999.</t>
  </si>
  <si>
    <t>D 310</t>
  </si>
  <si>
    <t>D 321</t>
  </si>
  <si>
    <t>D 311</t>
  </si>
  <si>
    <t>D 312</t>
  </si>
  <si>
    <t>D 313</t>
  </si>
  <si>
    <t>D 330</t>
  </si>
  <si>
    <t>D 333</t>
  </si>
  <si>
    <t>volgens</t>
  </si>
  <si>
    <t>neven-</t>
  </si>
  <si>
    <t>tarief *</t>
  </si>
  <si>
    <t>Eerstelijnsvoorzieningen / -functies</t>
  </si>
  <si>
    <t>- aantal huisbezoeken</t>
  </si>
  <si>
    <t>- totaal aantal afnames (a+b+c)</t>
  </si>
  <si>
    <t>- deconcentratiegraad [b:(a+b)]x100%</t>
  </si>
  <si>
    <t>Röntgenonderzoek t.b.v. huisartsen,</t>
  </si>
  <si>
    <t>Functieonderzoeken t.b.v. huisartsen,</t>
  </si>
  <si>
    <t>Poliklinische fysiotherapie/logopedie,</t>
  </si>
  <si>
    <t>bevolkingsonderzoek, aantallen</t>
  </si>
  <si>
    <t>Cervix-cytologische onderzoeken t.b.v. huisartsen/</t>
  </si>
  <si>
    <t>Poliklinische trombotests t.b.v. huisartsen, aantallen</t>
  </si>
  <si>
    <t>Poliklinische bevallingen t.b.v. huisartsen en</t>
  </si>
  <si>
    <t>verloskundigen, aantallen</t>
  </si>
  <si>
    <t xml:space="preserve">additioneel in het budget worden opgenomen. Voor een verdere toelichting mogen wij u </t>
  </si>
  <si>
    <t xml:space="preserve">afspraak </t>
  </si>
  <si>
    <t>Berekening (gewogen) opnamen en verpleegdagen</t>
  </si>
  <si>
    <t>internisten</t>
  </si>
  <si>
    <t>geriaters</t>
  </si>
  <si>
    <t>longartsen</t>
  </si>
  <si>
    <t>cardiologen</t>
  </si>
  <si>
    <t>reumatologen</t>
  </si>
  <si>
    <t>maag/darmartsen</t>
  </si>
  <si>
    <t>allergologen</t>
  </si>
  <si>
    <t>kinderartsen</t>
  </si>
  <si>
    <t>chirurgen</t>
  </si>
  <si>
    <t>orthopeden</t>
  </si>
  <si>
    <t>urologen</t>
  </si>
  <si>
    <t>plastisch chirurgen</t>
  </si>
  <si>
    <t>neurochirurgen</t>
  </si>
  <si>
    <t>cardio-pulm. Chirurgen</t>
  </si>
  <si>
    <t>gynaecologen</t>
  </si>
  <si>
    <t>oogartsen</t>
  </si>
  <si>
    <t>KNO-artsen</t>
  </si>
  <si>
    <t>dermatologen</t>
  </si>
  <si>
    <t>neurologen</t>
  </si>
  <si>
    <t>neurologen/zenuwartsen</t>
  </si>
  <si>
    <t>psychiaters in PAAZ-setting *</t>
  </si>
  <si>
    <t>psychiaters niet in PAAZ-setting *</t>
  </si>
  <si>
    <t>revalidatieartsen</t>
  </si>
  <si>
    <t>radiotherapeuten</t>
  </si>
  <si>
    <t>tandartsspecialisten voor :</t>
  </si>
  <si>
    <t>- mondziekten &amp; kaakchirurgie</t>
  </si>
  <si>
    <t>-dentomax. Orthopedie</t>
  </si>
  <si>
    <t>anesthesisten (pijnbestrijding)</t>
  </si>
  <si>
    <t>werkelijk</t>
  </si>
  <si>
    <t>afspraak</t>
  </si>
  <si>
    <t>wegings-</t>
  </si>
  <si>
    <t>factor</t>
  </si>
  <si>
    <t>opnamen</t>
  </si>
  <si>
    <t>TOTAAL</t>
  </si>
  <si>
    <t>naar</t>
  </si>
  <si>
    <t xml:space="preserve">  </t>
  </si>
  <si>
    <t>loon</t>
  </si>
  <si>
    <t>mat.</t>
  </si>
  <si>
    <t>heupen</t>
  </si>
  <si>
    <t>cataracten</t>
  </si>
  <si>
    <t>blad 3</t>
  </si>
  <si>
    <t xml:space="preserve">        ongewogen</t>
  </si>
  <si>
    <t xml:space="preserve">       gewogen</t>
  </si>
  <si>
    <t xml:space="preserve">      verpleegdagen</t>
  </si>
  <si>
    <t>Omschrijving</t>
  </si>
  <si>
    <t>D 010</t>
  </si>
  <si>
    <t>D 015/016</t>
  </si>
  <si>
    <t>D 050</t>
  </si>
  <si>
    <t>D 020</t>
  </si>
  <si>
    <t>D 022/024</t>
  </si>
  <si>
    <t>D 400</t>
  </si>
  <si>
    <t>A 023</t>
  </si>
  <si>
    <t>C 106</t>
  </si>
  <si>
    <t>C 105</t>
  </si>
  <si>
    <t>-</t>
  </si>
  <si>
    <t>loonkosten</t>
  </si>
  <si>
    <t>mat.kosten</t>
  </si>
  <si>
    <t>A.M.L. beenmergtranspl.</t>
  </si>
  <si>
    <t>teletherapie eenvoudig D611</t>
  </si>
  <si>
    <t>teletherapie standaard D612</t>
  </si>
  <si>
    <t>teletherapie intensief D613</t>
  </si>
  <si>
    <t>teletherapie bijzonder D614</t>
  </si>
  <si>
    <t>brachitherapie eenvoudig D621</t>
  </si>
  <si>
    <t>brachitherapie standaard D622</t>
  </si>
  <si>
    <t>brachitherapie intensief D623</t>
  </si>
  <si>
    <t>brachitherapie bijzonder D624</t>
  </si>
  <si>
    <t>in vitro fertilisatie</t>
  </si>
  <si>
    <t>haemodialyses (H1)</t>
  </si>
  <si>
    <t>CAPD-dgn (H2)</t>
  </si>
  <si>
    <t>haemodialyses (H4)</t>
  </si>
  <si>
    <t>CAPD-dgn (H5)</t>
  </si>
  <si>
    <t>Thuisdialyse (W7)</t>
  </si>
  <si>
    <t>Thuisdialyse (W8)</t>
  </si>
  <si>
    <t>Thuisdialyse (W9)</t>
  </si>
  <si>
    <t>Thuisdialyse (W10)</t>
  </si>
  <si>
    <t>CCPD (W11)</t>
  </si>
  <si>
    <t>CCPD (W12)</t>
  </si>
  <si>
    <t>opname-1</t>
  </si>
  <si>
    <t>opname-2</t>
  </si>
  <si>
    <t>verpleegdag-1</t>
  </si>
  <si>
    <t>verpleegdag-2</t>
  </si>
  <si>
    <t>dagverpleging-1</t>
  </si>
  <si>
    <t>dagverpleging-2</t>
  </si>
  <si>
    <t>M14 - 1</t>
  </si>
  <si>
    <t>M14 - 2</t>
  </si>
  <si>
    <t xml:space="preserve">cervix-onderzoeken </t>
  </si>
  <si>
    <t>lab.1e lijn huisbezoek</t>
  </si>
  <si>
    <t>lab.1e lijn  afnames-1</t>
  </si>
  <si>
    <t>lab.1e lijn  afnames-2</t>
  </si>
  <si>
    <t>lab.1e lijn analyses</t>
  </si>
  <si>
    <t>trombotest</t>
  </si>
  <si>
    <t>rontgenonderzoeken</t>
  </si>
  <si>
    <t>functieonderzoeken</t>
  </si>
  <si>
    <t>fysiotherapie/logopedie</t>
  </si>
  <si>
    <t>ptca's</t>
  </si>
  <si>
    <t>AICD-implantatie</t>
  </si>
  <si>
    <t>catheterablatie</t>
  </si>
  <si>
    <t>knieen</t>
  </si>
  <si>
    <t>1e polikl.bezoeker-1</t>
  </si>
  <si>
    <t xml:space="preserve">1e polikl.bezoeker-2 </t>
  </si>
  <si>
    <t>poliklinische bevalling -1</t>
  </si>
  <si>
    <t>poliklinische bevalling -2</t>
  </si>
  <si>
    <t>Tel.nr. :</t>
  </si>
  <si>
    <t>N.B. Aanbevolen volgorde van invulling van de werkbladen :</t>
  </si>
  <si>
    <t xml:space="preserve">Extramurale enkelvoudige ergotherapie,               </t>
  </si>
  <si>
    <t xml:space="preserve">* De codes verwijzen naar de Tarieflijst instellingen . U kunt hier volstaan met de aantallen </t>
  </si>
  <si>
    <t>verschil</t>
  </si>
  <si>
    <t>Totaal</t>
  </si>
  <si>
    <t>prod.afspr.</t>
  </si>
  <si>
    <t>trombotests, aantallen</t>
  </si>
  <si>
    <t xml:space="preserve">Berekening (gewogen) opnamen en verpleegdagen </t>
  </si>
  <si>
    <t>Berekening (gewogen) eerste polikliniekbezoeken en dagverplegingen</t>
  </si>
  <si>
    <t xml:space="preserve">Beleidsregelbedragen algemene ziekenhuizen </t>
  </si>
  <si>
    <t xml:space="preserve">Met bovenstaande regels ten behoeve van de eerstelijnsvoorzieningen kan in de meeste gevallen worden volstaan. In beperkte mate wordt in </t>
  </si>
  <si>
    <t>aangevraagd die in de categorie "overige" kunnen worden opgenomen (bijv. histologische- en in-vivo onderzoeken.</t>
  </si>
  <si>
    <t xml:space="preserve">bekostigd, indien voor de betreffende patiënten een polikliniekbezoek wordt geregistreerd. Indien hiervan geen sprake is kunnen deze </t>
  </si>
  <si>
    <t>onderzoeken bij de functieonderzoeken worden opgenomen.</t>
  </si>
  <si>
    <t>Beleidsregelbedragen algemene ziekenhuizen (productiedeel)</t>
  </si>
  <si>
    <t>ergotherapie</t>
  </si>
  <si>
    <t>nacalculatie productieafspraken</t>
  </si>
  <si>
    <t>CTG-nummer</t>
  </si>
  <si>
    <t>in rekenstaat</t>
  </si>
  <si>
    <t>hiv-opname</t>
  </si>
  <si>
    <t>hiv-verpleegdag</t>
  </si>
  <si>
    <t>hiv-polikl.bezoek</t>
  </si>
  <si>
    <t>hiv-dagverpleging</t>
  </si>
  <si>
    <t>hartrevalidatie</t>
  </si>
  <si>
    <t>zelfmeting bloedst.waarden training</t>
  </si>
  <si>
    <t>zelfmeting bloedst.waarden begeleiding</t>
  </si>
  <si>
    <t>"zware" dagverpleging-1</t>
  </si>
  <si>
    <t>"zware" dagverpleging-2</t>
  </si>
  <si>
    <t>opname neonatale IC</t>
  </si>
  <si>
    <t>beademingsdagen IC</t>
  </si>
  <si>
    <t>neurostimulatoren bij pijnbestrijding</t>
  </si>
  <si>
    <t>plaatsing eenz.stimulator bij bew.st.</t>
  </si>
  <si>
    <t>plaatsing tweez.stimulator bij bew.st.</t>
  </si>
  <si>
    <t>vervanging eenz.stimulator bij bew.st.</t>
  </si>
  <si>
    <t>vervanging tweez.stimulator bij bew.st.</t>
  </si>
  <si>
    <t>in RS</t>
  </si>
  <si>
    <t xml:space="preserve">                   gewogen</t>
  </si>
  <si>
    <t xml:space="preserve">                  ongewogen</t>
  </si>
  <si>
    <t>parameterwaarden</t>
  </si>
  <si>
    <t xml:space="preserve">   t.b.v. nacalculatie</t>
  </si>
  <si>
    <t>L</t>
  </si>
  <si>
    <t>M</t>
  </si>
  <si>
    <t>t.b.v. herall./prod.afspr</t>
  </si>
  <si>
    <t xml:space="preserve">                  par.waarden</t>
  </si>
  <si>
    <t>budget</t>
  </si>
  <si>
    <t>Lokale prod.gebonden toeslag</t>
  </si>
  <si>
    <t>erkende bedden</t>
  </si>
  <si>
    <t>klinische adherentie</t>
  </si>
  <si>
    <t>poliklinische adherentie</t>
  </si>
  <si>
    <t>in budget</t>
  </si>
  <si>
    <t xml:space="preserve">nacalculatie </t>
  </si>
  <si>
    <t>berekende verschillen afspraak en realisatie:</t>
  </si>
  <si>
    <t>totaal pagina 5</t>
  </si>
  <si>
    <t xml:space="preserve">Dure geneesmiddelen </t>
  </si>
  <si>
    <t>voorlopige nacalculatie lokale productiegebonden component</t>
  </si>
  <si>
    <t>voorlopige nacalculatie dure geneesmiddelen</t>
  </si>
  <si>
    <t>Recapitulatie voorlopige nacalculaties</t>
  </si>
  <si>
    <t>post-IC high care bed</t>
  </si>
  <si>
    <t>bed neurochirurgie</t>
  </si>
  <si>
    <t>bed neonatologie</t>
  </si>
  <si>
    <t>toeslag regio A</t>
  </si>
  <si>
    <t>toeslag regio B</t>
  </si>
  <si>
    <t>toeslag regio C</t>
  </si>
  <si>
    <t>toeslag regio D</t>
  </si>
  <si>
    <t>bed brandwonden</t>
  </si>
  <si>
    <t>bed chr.beademing</t>
  </si>
  <si>
    <t>naar pagina 5</t>
  </si>
  <si>
    <t>van pagina 3</t>
  </si>
  <si>
    <t>naar pagina 4</t>
  </si>
  <si>
    <t>van pagina 4</t>
  </si>
  <si>
    <t xml:space="preserve">FB-budget </t>
  </si>
  <si>
    <t>gewogen specialisten eenheden</t>
  </si>
  <si>
    <t xml:space="preserve">sommige instellingen ook nog, zonder tussenkomst van een poortspecialist, een aantal diagnostische verrichtingen door huisartsen </t>
  </si>
  <si>
    <t>Alle in-vitro onderzoeken zijn overgeheveld naar de lab.onderzoeken. Scopieën worden geacht via de tweedelijnsbeleidsregels te worden</t>
  </si>
  <si>
    <t>D520/521</t>
  </si>
  <si>
    <t>Laboratoriumtarieven t.b.v. huisartsen :</t>
  </si>
  <si>
    <t>- aantal centrale afnames (a)*</t>
  </si>
  <si>
    <t>-aantal decentrale afnames (b)*</t>
  </si>
  <si>
    <t>- analysekosten**</t>
  </si>
  <si>
    <t>opbrengst van gerealiserde/afgesproken productie**</t>
  </si>
  <si>
    <t>additioneel in het budget worden opgenomen. Vooruitlopend op de definitieve</t>
  </si>
  <si>
    <t>D 625</t>
  </si>
  <si>
    <t>hiv-opnamen ***</t>
  </si>
  <si>
    <t>hiv-verpleegdagen ***</t>
  </si>
  <si>
    <t>hiv-1e polikliniekbezoeken ***</t>
  </si>
  <si>
    <t>hiv-dagverplegingen ***</t>
  </si>
  <si>
    <t xml:space="preserve">*** Hoewel deze producties reeds begrepen zijn in eerdergevraagde aantallen opnamen, </t>
  </si>
  <si>
    <t>voorlopige</t>
  </si>
  <si>
    <t>A 106</t>
  </si>
  <si>
    <t>trend 2004</t>
  </si>
  <si>
    <t xml:space="preserve"> </t>
  </si>
  <si>
    <t>productie afspraken 2004</t>
  </si>
  <si>
    <t xml:space="preserve">            prijspeil ult. 2003 </t>
  </si>
  <si>
    <t>brachitherapie bijzonder D625</t>
  </si>
  <si>
    <t>plaatsing nervus vagus stimulator</t>
  </si>
  <si>
    <t>vervanging nervus vagus stimulator</t>
  </si>
  <si>
    <t>beademingsdagen IC nieuwe definitie **</t>
  </si>
  <si>
    <t xml:space="preserve">     verpleegdagen etc., worden deze met betrekking tot "hiv" opnieuw gevraagd teneinde een </t>
  </si>
  <si>
    <t xml:space="preserve">*    De codes verwijzen naar de Tarieflijst instellingen . U kunt hier volstaan met de aantallen </t>
  </si>
  <si>
    <t xml:space="preserve">     Voor een verdere toelichting mogen wij u verwijzen naar onze circulaire MA/mt/I/03/42c d.d. 17 juli 2003.</t>
  </si>
  <si>
    <t>Betreft de DBC-types (typeringscodes)</t>
  </si>
  <si>
    <t>Totaal aantal afgesloten DBC´s *</t>
  </si>
  <si>
    <t>Parameterwaarden</t>
  </si>
  <si>
    <t>aantallen</t>
  </si>
  <si>
    <t>Verschil</t>
  </si>
  <si>
    <t>Nacalculatie</t>
  </si>
  <si>
    <t xml:space="preserve">o.b.v. </t>
  </si>
  <si>
    <t>gerealiseerde</t>
  </si>
  <si>
    <t>(1-2)</t>
  </si>
  <si>
    <t>Loon</t>
  </si>
  <si>
    <t>Materieel</t>
  </si>
  <si>
    <t>experiment</t>
  </si>
  <si>
    <t>zorgprofiel</t>
  </si>
  <si>
    <t>DBC´s</t>
  </si>
  <si>
    <t>(1)</t>
  </si>
  <si>
    <t>(2)</t>
  </si>
  <si>
    <t>(3)</t>
  </si>
  <si>
    <t>(4)</t>
  </si>
  <si>
    <t>(5)</t>
  </si>
  <si>
    <t>(6) = (4) x (5)</t>
  </si>
  <si>
    <t>Verrichtingen behorende bij DBC</t>
  </si>
  <si>
    <t>Opnamen ongewogen</t>
  </si>
  <si>
    <t>Opnamen gewogen</t>
  </si>
  <si>
    <t xml:space="preserve">Verpleegdagen </t>
  </si>
  <si>
    <t>Eerste polikl.bezoeken ongewogen</t>
  </si>
  <si>
    <t>Eerste polikl.bezoeken gewogen</t>
  </si>
  <si>
    <t>Knie</t>
  </si>
  <si>
    <t>Heup</t>
  </si>
  <si>
    <t>Hemodialyse</t>
  </si>
  <si>
    <t>Hemodialyse met EPO</t>
  </si>
  <si>
    <t>Thuisdialyse</t>
  </si>
  <si>
    <t>Idem met EPO</t>
  </si>
  <si>
    <t>Idem met VDA</t>
  </si>
  <si>
    <t>Idem met EPO + VDA</t>
  </si>
  <si>
    <t>* openingsdatum van de DBC moet liggen nà de ingangsdatum en vóór de einddatum van het DBC-tarief</t>
  </si>
  <si>
    <t>3/4/5/6/7</t>
  </si>
  <si>
    <t>Definitief</t>
  </si>
  <si>
    <t>Overeengekomen</t>
  </si>
  <si>
    <t>percentage</t>
  </si>
  <si>
    <t>Reeds</t>
  </si>
  <si>
    <t>2004</t>
  </si>
  <si>
    <t>Mutatie</t>
  </si>
  <si>
    <t>t.o.v. budget</t>
  </si>
  <si>
    <t xml:space="preserve">Het CTG wil een bijdrage leveren aan het verminderen van de administratieve lasten bij instellingen. Het CTG streeft tevens </t>
  </si>
  <si>
    <t xml:space="preserve">naar een zo efficiënt mogelijke aanwending van middelen om ontwikkelingen in de gezondheidszorg in kaart te brengen. </t>
  </si>
  <si>
    <t xml:space="preserve">Daarom heeft het CTG met het CBS, Prismant en het SCP afspraken gemaakt over het niet vaker dan één keer stellen van </t>
  </si>
  <si>
    <t xml:space="preserve">dezelfde vragen aan instellingen. Genoemde partijen zijn in dat kader overeengekomen de door instellingen aangeleverde gegevens </t>
  </si>
  <si>
    <t xml:space="preserve">uit te wisselen. Daarbij is bepaald dat deze gegevens bij publicatie niet herleidbaar zijn op het niveau van de individuele instelling </t>
  </si>
  <si>
    <t xml:space="preserve">en dat de uitgewisselde gegevens niet verder aan andere personen of organisaties zullen worden doorgeleverd.  </t>
  </si>
  <si>
    <t xml:space="preserve">Het CTG wil de door u op dit formulier ingevulde gegevens betrekken bij de hierboven genoemde gegevensuitwisseling.  </t>
  </si>
  <si>
    <t xml:space="preserve">Bij toestemming levert u een bijdrage aan het verminderen van uw eigen administratieve lasten. </t>
  </si>
  <si>
    <t>ja</t>
  </si>
  <si>
    <t>nee</t>
  </si>
  <si>
    <t xml:space="preserve">Bij bezwaar tegen genoemde gegevensuitwisseling,  </t>
  </si>
  <si>
    <t>verzoeken wij u dit vak aan te kruisen.</t>
  </si>
  <si>
    <t>Opgenomen in rekenstaat als DBC-toeslag</t>
  </si>
  <si>
    <t>Dagverpleging I: normaal</t>
  </si>
  <si>
    <t>Dagverpleging II: zwaar</t>
  </si>
  <si>
    <t>Overeen-</t>
  </si>
  <si>
    <t>gekomen</t>
  </si>
  <si>
    <t>nacalculatie</t>
  </si>
  <si>
    <t>** inclusief deel van de toeslag dat betrekking heeft op specialisten in loondienst</t>
  </si>
  <si>
    <t>Totaal ziekenhuisdeel DBC-toeslag voor de genoemde DBC-types**</t>
  </si>
  <si>
    <t>stents, zonder aftrek aantal 1998</t>
  </si>
  <si>
    <t>normaal</t>
  </si>
  <si>
    <t xml:space="preserve">dagverpleging I: </t>
  </si>
  <si>
    <t>dagverpleging II:</t>
  </si>
  <si>
    <t>zwaar</t>
  </si>
  <si>
    <r>
      <t xml:space="preserve">**  U dient in alle kolommen het totaal aantal 24-uurs beademingsdagen </t>
    </r>
    <r>
      <rPr>
        <b/>
        <sz val="10"/>
        <rFont val="Arial"/>
        <family val="2"/>
      </rPr>
      <t>inclusief</t>
    </r>
    <r>
      <rPr>
        <sz val="10"/>
        <rFont val="Arial"/>
        <family val="0"/>
      </rPr>
      <t xml:space="preserve"> de eerste 1000 op te nemen conform de definitie </t>
    </r>
  </si>
  <si>
    <t xml:space="preserve">     onder code A 106 in de Tarieflijst Instellingen.  Ook indien het totaal aantal beademingsdagen lager is dan 1000, dient u deze hier op te geven.</t>
  </si>
  <si>
    <t xml:space="preserve">     separate budgettoeslag te kunnen berekenen. Voor de toeslagen krijgen al deze aantallen het gewicht 1.</t>
  </si>
  <si>
    <t>overeengekomen nacalculatie experiment-dbc´s</t>
  </si>
  <si>
    <t>overeengekomen voorlopige nacalculatie productieafspraken</t>
  </si>
  <si>
    <t>*bij een positieve nacalculatie kunnen partijen eventueel een lager bedrag overeenkomen. Een negatieve nacalculatie kan niet worden beperkt.</t>
  </si>
  <si>
    <t>opnamen (zie blad 10) ongewogen**</t>
  </si>
  <si>
    <t>opnamen (zie blad 10) gewogen**</t>
  </si>
  <si>
    <t>verpleegdagen (zie blad 10)**</t>
  </si>
  <si>
    <t>eerste polikl.bezoeken (zie blad 11) ongewogen**</t>
  </si>
  <si>
    <t>eerste polikl.bezoeken (zie blad 11) gewogen**</t>
  </si>
  <si>
    <t>dagverpleging I: normaal (zie blad 11)**</t>
  </si>
  <si>
    <t>dagverpleging II: zwaar (zie blad 11)**</t>
  </si>
  <si>
    <t>totale knie**</t>
  </si>
  <si>
    <t>totale heup**</t>
  </si>
  <si>
    <t>hemodialyse**</t>
  </si>
  <si>
    <t>CAPD**</t>
  </si>
  <si>
    <t>hemodialyse met EPO**</t>
  </si>
  <si>
    <t>CAPD met EPO**</t>
  </si>
  <si>
    <t>thuisdialyse**</t>
  </si>
  <si>
    <t>idem met EPO**</t>
  </si>
  <si>
    <t>idem met VDA**</t>
  </si>
  <si>
    <t>idem met EPO + VDA**</t>
  </si>
  <si>
    <t>CCPD met dialysemiddelen**</t>
  </si>
  <si>
    <t>CCPD met dialysemiddelen met EPO**</t>
  </si>
  <si>
    <t>** De aantallen moeten worden opgenomen inclusief aantallen voor de experiment DBC´s</t>
  </si>
  <si>
    <t xml:space="preserve">Nacalculatie op toeslag en zorgprofiel DBC-productie: totaal van DBC-types waarover lokaal prijsafspraken zijn gemaakt. </t>
  </si>
  <si>
    <t>A</t>
  </si>
  <si>
    <t>B</t>
  </si>
  <si>
    <t>A201</t>
  </si>
  <si>
    <t>A202</t>
  </si>
  <si>
    <t>A203</t>
  </si>
  <si>
    <t>productie afspraken 2005</t>
  </si>
  <si>
    <t xml:space="preserve">            prijspeil ult. 2004</t>
  </si>
  <si>
    <t>N.b. Voor de kolom rekenstaat 2004 zie het productieafsprakenformulier 2004 aangevuld met eventuele latere aanvragen</t>
  </si>
  <si>
    <t>voorlopige nacalculatie 2004</t>
  </si>
  <si>
    <t>voorlopige nacalculatie 2004 totaal*</t>
  </si>
  <si>
    <t>afschrijvingskosten dub.debiteuren 2005</t>
  </si>
  <si>
    <t>in budget 2004</t>
  </si>
  <si>
    <t>werkelijk 2004</t>
  </si>
  <si>
    <t>Adherentie 2003 (volgens opgave Prismant)</t>
  </si>
  <si>
    <t>klinische adherentie 2003</t>
  </si>
  <si>
    <t>poliklinische adherentie 2003</t>
  </si>
  <si>
    <t>U wordt verzocht een opgave te doen van het aantal leerlingen dat op 1 oktober 2004 aan uw</t>
  </si>
  <si>
    <r>
      <t>Hiervoor kon in 2004 maximaal 5</t>
    </r>
    <r>
      <rPr>
        <sz val="10"/>
        <rFont val="Arial"/>
        <family val="2"/>
      </rPr>
      <t>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van het variabele FB-deel van 2004 (incl. 1e lijn)</t>
    </r>
  </si>
  <si>
    <t>verantwoording kunt u hieronder het definitief overeengekomen bedrag 2004 opgeven.</t>
  </si>
  <si>
    <t>definitief overeengekomen bedrag voor 2004 :</t>
  </si>
  <si>
    <t>in rekenstaat 2004 opgenomen:</t>
  </si>
  <si>
    <t>afspraak 2005</t>
  </si>
  <si>
    <t>2005</t>
  </si>
  <si>
    <t xml:space="preserve">                nacalculatie 2004</t>
  </si>
  <si>
    <t xml:space="preserve">    Prod.afspraken 2005</t>
  </si>
  <si>
    <t>*     Voor rekenstaat 2004 zie productieafsprakenformulier 2004 eventueel aangevuld met latere afspraken</t>
  </si>
  <si>
    <t>Productieaantallen 2005 / 2004</t>
  </si>
  <si>
    <t xml:space="preserve">        jaar 2004</t>
  </si>
  <si>
    <t xml:space="preserve">       jaar 2005</t>
  </si>
  <si>
    <t>trend 2005</t>
  </si>
  <si>
    <t>Productieafspraken 2005 en realisatie 2004</t>
  </si>
  <si>
    <t>Afschr.kosten dub.debiteuren, adherentie 2003, scholingsmiddelen,</t>
  </si>
  <si>
    <t>Budgetaanpassingen per 1 januari 2005 op grond van voorlopige nacalculatie productie 2004</t>
  </si>
  <si>
    <t>en productieafspraken 2005</t>
  </si>
  <si>
    <t xml:space="preserve">Partijen verzoeken u op grond van artikel 4 lid 1 / 8 lid 2* van de WTG de aanvaardbare kosten 2004 en 2005 aan te passen </t>
  </si>
  <si>
    <t>Voorlopig overeengekomen bedrag voor 2005 :</t>
  </si>
  <si>
    <t>U wordt verzocht afspraken 2005 op basis van tarieven 2004 te maken</t>
  </si>
  <si>
    <t>gewogen spec.eenheden volgens laatste rekenstaat 2004 (kasbasis)</t>
  </si>
  <si>
    <t>mutatie</t>
  </si>
  <si>
    <t>Voorlopige budgetaanpassingen / Opbrengstverrekening 2004</t>
  </si>
  <si>
    <t>Ondertekening namens Zorgverzekeraars Nederland:</t>
  </si>
  <si>
    <t>of opbrengstresultaten in de tarieven te verwerken.</t>
  </si>
  <si>
    <t>Te verwerken voorlopige budgetmutaties</t>
  </si>
  <si>
    <t>Te verwerken voorlopige opbrengstverschillen</t>
  </si>
  <si>
    <t>Totaal te verrekenen</t>
  </si>
  <si>
    <t>Toelichting:</t>
  </si>
  <si>
    <t>Op deze pagina kunt u de kosten en opbrengstmutaties invullen, waarover in het plaatselijk overleg is afgesproken dat die,</t>
  </si>
  <si>
    <t>vooruitlopend op de reguliere overeenkomst inzake de nacalculatie 2004, in de tarieven verrekend zullen worden.</t>
  </si>
  <si>
    <t>de mutaties zijn berekend. Indien er na die datum nog rekenstaten zijn afgegeven verzoeken wij u de hierin opgenomen mutaties in de</t>
  </si>
  <si>
    <t>nog te verrekenen aanpassingen mee te nemen.</t>
  </si>
  <si>
    <t>van de experimenten specialistenhonorering.</t>
  </si>
  <si>
    <r>
      <t>N.B.</t>
    </r>
    <r>
      <rPr>
        <sz val="10"/>
        <rFont val="Arial"/>
        <family val="0"/>
      </rPr>
      <t xml:space="preserve"> U kunt dit formulier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gebruiken voor het aanvragen van toeslagen in verband met de verrekening van tekorten in het kader</t>
    </r>
  </si>
  <si>
    <t>Overzicht verwachte budgetmutaties</t>
  </si>
  <si>
    <t>datum rekenstaat</t>
  </si>
  <si>
    <t>(niet later dan 31 januari 2005)</t>
  </si>
  <si>
    <t>2002-</t>
  </si>
  <si>
    <t>d.d.</t>
  </si>
  <si>
    <t>2003-</t>
  </si>
  <si>
    <t>2004-</t>
  </si>
  <si>
    <t>Aanvaardbare kosten</t>
  </si>
  <si>
    <t>Waarvan voorlopige aanpassingen</t>
  </si>
  <si>
    <t>Rekenstaatnummer</t>
  </si>
  <si>
    <t>Aanvaardbare kosten exclusief Voorlopige aanpassingen</t>
  </si>
  <si>
    <t>Nog te verwerken mutaties</t>
  </si>
  <si>
    <t>A. Nacalculatie op productiegebonden budget</t>
  </si>
  <si>
    <t>B. Aanpassing capaciteitsgebonden kosten specialistenplaatsen</t>
  </si>
  <si>
    <t>C. Aanpassing capaciteitsgebonden kosten (agio's)</t>
  </si>
  <si>
    <t>D. Nacalculatie zorgvernieuwing / lokale productiegebonden toeslag</t>
  </si>
  <si>
    <t>E. Nacalculatie geneesmiddelen</t>
  </si>
  <si>
    <t>G. Afschrijvingen</t>
  </si>
  <si>
    <t>H. Rente</t>
  </si>
  <si>
    <t>Verwacht definitief budget</t>
  </si>
  <si>
    <t>Specificatie overige budgetmutaties</t>
  </si>
  <si>
    <t>Overzicht Opbrengstverschillen ziekenhuis</t>
  </si>
  <si>
    <t>A. Verrekend in opbrengsten</t>
  </si>
  <si>
    <t>B. Nevenopbrengsten</t>
  </si>
  <si>
    <t>C. Opbrengsten vaste tarieven</t>
  </si>
  <si>
    <t>D. Opbrengst verpleegdagen*</t>
  </si>
  <si>
    <t>* Inclusief tijdelijke toeslagen/aftrekken, exclusief toeslagen in verband met de verrekening</t>
  </si>
  <si>
    <t>van bedragen in het kader van de experimenten specialistenhonorering. Opbrengsten A003, A004, A005 en A006</t>
  </si>
  <si>
    <r>
      <t xml:space="preserve">dient u bij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in te vullen.</t>
    </r>
  </si>
  <si>
    <t>Verpleegdagen / Verrekeneenheden voor de tariefberekening</t>
  </si>
  <si>
    <t>Verpleegdagen</t>
  </si>
  <si>
    <t>Klasse / Omschrijving</t>
  </si>
  <si>
    <t>A204</t>
  </si>
  <si>
    <t>A205</t>
  </si>
  <si>
    <t>A206</t>
  </si>
  <si>
    <t>A221</t>
  </si>
  <si>
    <t>A222</t>
  </si>
  <si>
    <t>Afwezigheidsdag A006</t>
  </si>
  <si>
    <t>Totaal verpleegdagen</t>
  </si>
  <si>
    <t>Verkeerde bed A003 / 190031</t>
  </si>
  <si>
    <t>Gezonde kraamvrouwen A004 / 190032</t>
  </si>
  <si>
    <t>Gezonde zuigelingen A005 / 190033</t>
  </si>
  <si>
    <t>2005-</t>
  </si>
  <si>
    <t>Klassenverpleging A-segment 190203</t>
  </si>
  <si>
    <t>Alleen voor DBC´s die zijn afgesloten in 2004.</t>
  </si>
  <si>
    <t>twee onafgeronde bedragen opgeteld</t>
  </si>
  <si>
    <t>opbrengst van gerealiseerde/afgesprokenproductie</t>
  </si>
  <si>
    <t>opbrengst van gerealiserde/afgesproken productie</t>
  </si>
  <si>
    <t>opbrengst van gerealiseerde/afgesproken productie</t>
  </si>
  <si>
    <t>Overig ; het afgesproken budget vermelden , LOON**</t>
  </si>
  <si>
    <t>Overig ; het afgesproken budget vermelden , MAT.**</t>
  </si>
  <si>
    <t>**  Specificeren s.v.p. Zie ook onderstaande toelichting.</t>
  </si>
  <si>
    <t xml:space="preserve">     Voor de berekeningen van de budgetmutatie 2004 geldt alleen het aantal dagen boven 1.000, in de formules is hiermee rekening gehouden.</t>
  </si>
  <si>
    <t>naar blad B</t>
  </si>
  <si>
    <t>De nacalculatie op het zorgprofiel van de ultimo 2004 onderhanden DBC´s wordt bij de nacalculatie 2005 meegenomen.</t>
  </si>
  <si>
    <t>Dieetadvisering</t>
  </si>
  <si>
    <t>G. Overig (specificeren s.v.p.)</t>
  </si>
  <si>
    <t>F. Nacalculatie dieetadvisering</t>
  </si>
  <si>
    <t>Inclusief 'Voorlopige budgetaanpassingen / Opbrengstverrekening 2004'</t>
  </si>
  <si>
    <t>(D450) hemofilie</t>
  </si>
  <si>
    <t>(C151) docetaxel *</t>
  </si>
  <si>
    <t>(C152) irinotecan *</t>
  </si>
  <si>
    <t>(C153) gemcitabine *</t>
  </si>
  <si>
    <t>(C154) oxaliplatine *</t>
  </si>
  <si>
    <t>(C155) paclitaxel *</t>
  </si>
  <si>
    <t>(C156) rituximab *</t>
  </si>
  <si>
    <t>(C158) immunoglobuline IV *</t>
  </si>
  <si>
    <t>(C159) trastuzumab *</t>
  </si>
  <si>
    <t>(C160) botulinetoxine *</t>
  </si>
  <si>
    <t>(C162) doxorubicine liposomal*</t>
  </si>
  <si>
    <t>Totaal A t/m G</t>
  </si>
  <si>
    <t>met de kostenmutaties die resulteren op basis van de in het formulier aangegeven verrichtingen (blad 1 t/m 12)</t>
  </si>
  <si>
    <t>gedeclareerd</t>
  </si>
  <si>
    <t>aantal 2004</t>
  </si>
  <si>
    <r>
      <t>Overeengekomen</t>
    </r>
    <r>
      <rPr>
        <sz val="10"/>
        <rFont val="Arial"/>
        <family val="0"/>
      </rPr>
      <t xml:space="preserve"> voorlopige budget-/opbrengstmutaties</t>
    </r>
  </si>
  <si>
    <t>tarieven mee te nemen. U vult dan hieronder (regel 1) € 400.000 in en bij de verwachte budgetmutaties € 500.000.</t>
  </si>
  <si>
    <t xml:space="preserve">Voorbeeld: u verwacht voor 2004 een mutatie van € 500.000 op de rente en u komt met verzekeraars overeen € 400.000 vast in de </t>
  </si>
  <si>
    <r>
      <t xml:space="preserve">Partijen verzoeken u op grond van artikel 4 lid 1  van de WTG de op blad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vermelde </t>
    </r>
    <r>
      <rPr>
        <sz val="10"/>
        <rFont val="Arial"/>
        <family val="2"/>
      </rPr>
      <t>voorlopige</t>
    </r>
    <r>
      <rPr>
        <sz val="10"/>
        <rFont val="Arial"/>
        <family val="0"/>
      </rPr>
      <t xml:space="preserve"> budgetaanpassingen  </t>
    </r>
  </si>
  <si>
    <t>blad A en B</t>
  </si>
  <si>
    <t>lokale productiegebonden toeslag en dieetadvisering</t>
  </si>
  <si>
    <t>blad 10, 11, 3, 4, 5, 6, 7,  8 , 9</t>
  </si>
  <si>
    <r>
      <t xml:space="preserve">blad 1 </t>
    </r>
    <r>
      <rPr>
        <sz val="10"/>
        <rFont val="Arial"/>
        <family val="2"/>
      </rPr>
      <t>(ondertekening)</t>
    </r>
  </si>
  <si>
    <r>
      <t xml:space="preserve">Hieronder kunt u de </t>
    </r>
    <r>
      <rPr>
        <b/>
        <sz val="10"/>
        <rFont val="Arial"/>
        <family val="2"/>
      </rPr>
      <t>verwachte</t>
    </r>
    <r>
      <rPr>
        <sz val="10"/>
        <rFont val="Arial"/>
        <family val="0"/>
      </rPr>
      <t xml:space="preserve"> mutaties invullen. </t>
    </r>
  </si>
  <si>
    <t>Dit blad maakt geen onderdeel uit van de overeenkomst.</t>
  </si>
  <si>
    <r>
      <t xml:space="preserve">Bij de mutaties op dit blad </t>
    </r>
    <r>
      <rPr>
        <sz val="10"/>
        <rFont val="Arial"/>
        <family val="0"/>
      </rPr>
      <t>verzoeken wij u aan te geven ten opzichte van welke rekenstaat (dagtekening: niet later dan 31 januari 2005)</t>
    </r>
  </si>
  <si>
    <t xml:space="preserve">afgesproken bedrag per uur </t>
  </si>
  <si>
    <t>uren dieetadvisering 2005</t>
  </si>
  <si>
    <t>een negatieve nacalculatie kan niet worden beperkt.</t>
  </si>
  <si>
    <t>Inzenden voor 1 april 2005</t>
  </si>
  <si>
    <r>
      <t>A-segment</t>
    </r>
    <r>
      <rPr>
        <b/>
        <vertAlign val="superscript"/>
        <sz val="9"/>
        <rFont val="Arial"/>
        <family val="2"/>
      </rPr>
      <t>1</t>
    </r>
  </si>
  <si>
    <t xml:space="preserve">     verrichtingen te vermelden. De beleidsregelbedragen treft u aan op pagina12,</t>
  </si>
  <si>
    <t>verrichtingen te vermelden. De beleidsregelbedragen treft u aan op pagina 12.</t>
  </si>
  <si>
    <r>
      <t>In 2005 kan maximaal 5%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van het variabele (geschoonde) FB-deel van 2005 (incl. 1e lijn)</t>
    </r>
  </si>
  <si>
    <t>verwijzen naar de beleidsregel Lokale productiegebonden toeslag (I-613)</t>
  </si>
  <si>
    <t xml:space="preserve">(1)*(2). </t>
  </si>
  <si>
    <t>overeengekomen bedrag voor 2004**</t>
  </si>
  <si>
    <t>Voorlopig overeengekomen bedrag voor 2005:</t>
  </si>
  <si>
    <t>bedrag in rekenstaat 2004 opgenomen:</t>
  </si>
  <si>
    <t xml:space="preserve">** bij een positieve nacalculatie kunnen partijen eventueel een lager bedrag overeenkomen; </t>
  </si>
  <si>
    <t>voorlopige nacalculatie dieetadvisering</t>
  </si>
  <si>
    <t>E. Subtotaal opbrengsten (B+C+D)</t>
  </si>
  <si>
    <t>Verschil (A-E)</t>
  </si>
  <si>
    <t>uren dieetadvisering en voedingsvoorlichting, realisatie 2004</t>
  </si>
  <si>
    <r>
      <t>1</t>
    </r>
    <r>
      <rPr>
        <b/>
        <sz val="9"/>
        <rFont val="Arial"/>
        <family val="2"/>
      </rPr>
      <t>: alle DBC's uit het A-segment die in 2005 geopend worden + de DBC's uit het A- en B-segment die ultimo 2004 onderhanden waren + de DBC's uit het B-segment die in de maand januari 2005 zijn geopend</t>
    </r>
  </si>
  <si>
    <r>
      <t>1</t>
    </r>
    <r>
      <rPr>
        <b/>
        <sz val="9"/>
        <rFont val="Arial"/>
        <family val="2"/>
      </rPr>
      <t xml:space="preserve">: alle DBC's uit het A-segment die in 2005 geopend worden + de DBC's uit het A- en B-segment die ultimo 2004 onderhanden waren + de DBC's uit het B-segment </t>
    </r>
  </si>
  <si>
    <t>die in de maand januari 2005 zijn geopend</t>
  </si>
  <si>
    <t xml:space="preserve">         eerste polikliniekbezoeken </t>
  </si>
  <si>
    <t>afgesproken bedrag per uur 2005 (max. € 63,90)</t>
  </si>
  <si>
    <t>(C157) infliximab (bij M. Crohn)*</t>
  </si>
  <si>
    <t>(C150) remicade (bij reuma) (tijdelijke regeling)**</t>
  </si>
  <si>
    <t>(C161) verteporfin *</t>
  </si>
  <si>
    <t>(C150) remicade (bij reuma) * **</t>
  </si>
  <si>
    <t>*  maximaal 75% van de werkelijke kosten (netto inkoopkosten)</t>
  </si>
  <si>
    <t xml:space="preserve">** de tijdelijke regeling Remicade is per 1 mei 2004 vervallen. Het middel is toegevoegd aan de stofnamenlijst beleidsregel dure geneesmiddelen. </t>
  </si>
  <si>
    <t>Netto</t>
  </si>
  <si>
    <t>inkoopkosten</t>
  </si>
  <si>
    <t xml:space="preserve">   Voor patienten die vóór 1 mei 2004 al werden behandeld met dit middel blijft de 100% budgettaire vergoedingsregeling bestaan.</t>
  </si>
  <si>
    <t xml:space="preserve">   Voor patienten die na 1 mei 2004 beginnen met het middel kan de 75% budgettaire vergoeding worden overeengekomen.</t>
  </si>
  <si>
    <t xml:space="preserve">    </t>
  </si>
  <si>
    <t xml:space="preserve">    Bij de voorlopige afspraak 2005 kunnen dus alleen netto inkoopkosten voor die patienten die al vóór 1 mei 2004 met Remicade werden behandeld worden ingevuld.  </t>
  </si>
  <si>
    <t xml:space="preserve">    Voor een verdere toelichting mogen wij u verwijzen naar onze circulaire AGOB/cwoe/I/04/27c d.d. 29 april 2004.</t>
  </si>
  <si>
    <t>Zie ook circulaires DEVN/ehor/A/04/18c d.d. 30 december 2004 en EKEP/ihot/A/05/3c (wordt binnenkort verzonden)</t>
  </si>
  <si>
    <t>Versie 28 februari 2005</t>
  </si>
</sst>
</file>

<file path=xl/styles.xml><?xml version="1.0" encoding="utf-8"?>
<styleSheet xmlns="http://schemas.openxmlformats.org/spreadsheetml/2006/main">
  <numFmts count="4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0_ ;[Red]\-#,##0.00\ "/>
    <numFmt numFmtId="171" formatCode="#,##0_ ;[Red]\-#,##0\ "/>
    <numFmt numFmtId="172" formatCode="General_)"/>
    <numFmt numFmtId="173" formatCode="#,##0_ ;\-#,##0\ "/>
    <numFmt numFmtId="174" formatCode="0.000"/>
    <numFmt numFmtId="175" formatCode="0.0"/>
    <numFmt numFmtId="176" formatCode="d\ mmmm\ yyyy"/>
    <numFmt numFmtId="177" formatCode="#,##0.0000_ ;[Red]\-#,##0.0000\ "/>
    <numFmt numFmtId="178" formatCode="0.0%"/>
    <numFmt numFmtId="179" formatCode="_-\€\ * #,##0_-;_-\€\ * #,##0\-;_-\€\ * &quot;-&quot;??_-;_-@_-"/>
    <numFmt numFmtId="180" formatCode="#,##0.00_-"/>
    <numFmt numFmtId="181" formatCode="dd/mmm/yy"/>
    <numFmt numFmtId="182" formatCode="#,##0.0_ ;[Red]\-#,##0.0\ "/>
    <numFmt numFmtId="183" formatCode="#,##0.000_ ;[Red]\-#,##0.000\ "/>
    <numFmt numFmtId="184" formatCode="_-\€\ * #,##0.00_-;_-\€\ * #,##0.00\-;_-\€\ * &quot;-&quot;??_-;_-@_-"/>
    <numFmt numFmtId="185" formatCode="_-\€\ * #,##0.0_-;_-\€\ * #,##0.0\-;_-\€\ * &quot;-&quot;??_-;_-@_-"/>
    <numFmt numFmtId="186" formatCode="0.000%"/>
    <numFmt numFmtId="187" formatCode="0\ ;"/>
    <numFmt numFmtId="188" formatCode="#,##0.00000_ ;[Red]\-#,##0.00000\ "/>
    <numFmt numFmtId="189" formatCode="#,##0.000000_ ;[Red]\-#,##0.000000\ "/>
    <numFmt numFmtId="190" formatCode="0.000000"/>
    <numFmt numFmtId="191" formatCode="0.0000000"/>
    <numFmt numFmtId="192" formatCode="0.00000000"/>
    <numFmt numFmtId="193" formatCode="0.00000"/>
    <numFmt numFmtId="194" formatCode="#,##0.0000000_ ;[Red]\-#,##0.0000000\ "/>
    <numFmt numFmtId="195" formatCode="0.0000"/>
    <numFmt numFmtId="196" formatCode="&quot;Ja&quot;;&quot;Ja&quot;;&quot;Nee&quot;"/>
    <numFmt numFmtId="197" formatCode="&quot;Waar&quot;;&quot;Waar&quot;;&quot;Niet waar&quot;"/>
    <numFmt numFmtId="198" formatCode="&quot;Aan&quot;;&quot;Aan&quot;;&quot;Uit&quot;"/>
    <numFmt numFmtId="199" formatCode="[$€-2]\ #.##000_);[Red]\([$€-2]\ #.##000\)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6" xfId="0" applyBorder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171" fontId="1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2" xfId="0" applyNumberFormat="1" applyBorder="1" applyAlignment="1">
      <alignment horizontal="center"/>
    </xf>
    <xf numFmtId="171" fontId="0" fillId="2" borderId="0" xfId="0" applyNumberFormat="1" applyFill="1" applyAlignment="1">
      <alignment/>
    </xf>
    <xf numFmtId="171" fontId="0" fillId="2" borderId="2" xfId="0" applyNumberFormat="1" applyFill="1" applyBorder="1" applyAlignment="1">
      <alignment/>
    </xf>
    <xf numFmtId="171" fontId="0" fillId="0" borderId="2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2" fillId="0" borderId="2" xfId="0" applyFont="1" applyBorder="1" applyAlignment="1">
      <alignment/>
    </xf>
    <xf numFmtId="170" fontId="0" fillId="0" borderId="6" xfId="0" applyNumberFormat="1" applyBorder="1" applyAlignment="1">
      <alignment/>
    </xf>
    <xf numFmtId="170" fontId="0" fillId="0" borderId="3" xfId="0" applyNumberFormat="1" applyBorder="1" applyAlignment="1">
      <alignment/>
    </xf>
    <xf numFmtId="171" fontId="0" fillId="2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171" fontId="0" fillId="0" borderId="4" xfId="0" applyNumberFormat="1" applyBorder="1" applyAlignment="1">
      <alignment/>
    </xf>
    <xf numFmtId="171" fontId="0" fillId="0" borderId="6" xfId="0" applyNumberFormat="1" applyBorder="1" applyAlignment="1">
      <alignment horizontal="center"/>
    </xf>
    <xf numFmtId="171" fontId="0" fillId="3" borderId="2" xfId="0" applyNumberFormat="1" applyFill="1" applyBorder="1" applyAlignment="1" applyProtection="1">
      <alignment/>
      <protection locked="0"/>
    </xf>
    <xf numFmtId="171" fontId="0" fillId="0" borderId="9" xfId="0" applyNumberFormat="1" applyBorder="1" applyAlignment="1">
      <alignment/>
    </xf>
    <xf numFmtId="171" fontId="0" fillId="0" borderId="7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1" fillId="0" borderId="6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Fill="1" applyBorder="1" applyAlignment="1" applyProtection="1">
      <alignment/>
      <protection locked="0"/>
    </xf>
    <xf numFmtId="0" fontId="1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right"/>
    </xf>
    <xf numFmtId="171" fontId="0" fillId="0" borderId="0" xfId="0" applyNumberFormat="1" applyBorder="1" applyAlignment="1">
      <alignment horizontal="center"/>
    </xf>
    <xf numFmtId="171" fontId="0" fillId="0" borderId="2" xfId="0" applyNumberFormat="1" applyBorder="1" applyAlignment="1" quotePrefix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 quotePrefix="1">
      <alignment/>
    </xf>
    <xf numFmtId="171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0" fontId="0" fillId="3" borderId="2" xfId="0" applyNumberFormat="1" applyFill="1" applyBorder="1" applyAlignment="1" applyProtection="1" quotePrefix="1">
      <alignment/>
      <protection locked="0"/>
    </xf>
    <xf numFmtId="0" fontId="5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0" fillId="3" borderId="2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171" fontId="0" fillId="0" borderId="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71" fontId="1" fillId="2" borderId="10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171" fontId="0" fillId="2" borderId="2" xfId="0" applyNumberFormat="1" applyFill="1" applyBorder="1" applyAlignment="1" applyProtection="1">
      <alignment/>
      <protection/>
    </xf>
    <xf numFmtId="37" fontId="0" fillId="0" borderId="0" xfId="0" applyNumberFormat="1" applyAlignment="1" applyProtection="1" quotePrefix="1">
      <alignment/>
      <protection/>
    </xf>
    <xf numFmtId="0" fontId="0" fillId="0" borderId="4" xfId="0" applyBorder="1" applyAlignment="1">
      <alignment horizontal="left"/>
    </xf>
    <xf numFmtId="171" fontId="0" fillId="0" borderId="0" xfId="0" applyNumberFormat="1" applyAlignment="1" applyProtection="1">
      <alignment/>
      <protection/>
    </xf>
    <xf numFmtId="171" fontId="1" fillId="0" borderId="0" xfId="0" applyNumberFormat="1" applyFont="1" applyBorder="1" applyAlignment="1" applyProtection="1">
      <alignment/>
      <protection/>
    </xf>
    <xf numFmtId="171" fontId="0" fillId="2" borderId="0" xfId="0" applyNumberFormat="1" applyFill="1" applyAlignment="1" applyProtection="1">
      <alignment/>
      <protection/>
    </xf>
    <xf numFmtId="171" fontId="1" fillId="0" borderId="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1" fontId="1" fillId="0" borderId="4" xfId="0" applyNumberFormat="1" applyFont="1" applyBorder="1" applyAlignment="1" applyProtection="1">
      <alignment horizontal="center"/>
      <protection/>
    </xf>
    <xf numFmtId="171" fontId="1" fillId="0" borderId="9" xfId="0" applyNumberFormat="1" applyFont="1" applyBorder="1" applyAlignment="1" applyProtection="1">
      <alignment horizontal="center"/>
      <protection/>
    </xf>
    <xf numFmtId="171" fontId="1" fillId="2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171" fontId="1" fillId="0" borderId="2" xfId="0" applyNumberFormat="1" applyFont="1" applyBorder="1" applyAlignment="1" applyProtection="1">
      <alignment horizontal="center"/>
      <protection/>
    </xf>
    <xf numFmtId="0" fontId="1" fillId="0" borderId="2" xfId="0" applyNumberFormat="1" applyFont="1" applyBorder="1" applyAlignment="1">
      <alignment horizontal="center"/>
    </xf>
    <xf numFmtId="170" fontId="0" fillId="2" borderId="2" xfId="0" applyNumberFormat="1" applyFill="1" applyBorder="1" applyAlignment="1" applyProtection="1">
      <alignment/>
      <protection/>
    </xf>
    <xf numFmtId="170" fontId="0" fillId="0" borderId="2" xfId="0" applyNumberFormat="1" applyFont="1" applyFill="1" applyBorder="1" applyAlignment="1" applyProtection="1" quotePrefix="1">
      <alignment horizontal="right"/>
      <protection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1" fontId="1" fillId="2" borderId="4" xfId="0" applyNumberFormat="1" applyFont="1" applyFill="1" applyBorder="1" applyAlignment="1">
      <alignment horizontal="center"/>
    </xf>
    <xf numFmtId="171" fontId="1" fillId="2" borderId="6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71" fontId="0" fillId="2" borderId="2" xfId="0" applyNumberFormat="1" applyFont="1" applyFill="1" applyBorder="1" applyAlignment="1" applyProtection="1">
      <alignment/>
      <protection/>
    </xf>
    <xf numFmtId="171" fontId="1" fillId="0" borderId="0" xfId="0" applyNumberFormat="1" applyFont="1" applyBorder="1" applyAlignment="1" applyProtection="1">
      <alignment horizontal="center"/>
      <protection/>
    </xf>
    <xf numFmtId="17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171" fontId="0" fillId="0" borderId="0" xfId="0" applyNumberFormat="1" applyFill="1" applyAlignment="1" applyProtection="1">
      <alignment/>
      <protection/>
    </xf>
    <xf numFmtId="170" fontId="0" fillId="0" borderId="2" xfId="0" applyNumberFormat="1" applyFill="1" applyBorder="1" applyAlignment="1" applyProtection="1">
      <alignment/>
      <protection/>
    </xf>
    <xf numFmtId="9" fontId="0" fillId="0" borderId="2" xfId="0" applyNumberFormat="1" applyFill="1" applyBorder="1" applyAlignment="1" applyProtection="1">
      <alignment/>
      <protection/>
    </xf>
    <xf numFmtId="170" fontId="0" fillId="2" borderId="4" xfId="0" applyNumberForma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170" fontId="0" fillId="0" borderId="4" xfId="0" applyNumberFormat="1" applyFill="1" applyBorder="1" applyAlignment="1" applyProtection="1">
      <alignment/>
      <protection/>
    </xf>
    <xf numFmtId="171" fontId="0" fillId="0" borderId="2" xfId="0" applyNumberFormat="1" applyFill="1" applyBorder="1" applyAlignment="1">
      <alignment/>
    </xf>
    <xf numFmtId="174" fontId="0" fillId="0" borderId="2" xfId="0" applyNumberFormat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0" xfId="17" applyFont="1" applyAlignment="1">
      <alignment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9" fillId="3" borderId="6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1" fillId="0" borderId="7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2" borderId="0" xfId="0" applyFont="1" applyFill="1" applyAlignment="1">
      <alignment/>
    </xf>
    <xf numFmtId="171" fontId="0" fillId="0" borderId="4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1" fontId="0" fillId="0" borderId="17" xfId="0" applyNumberFormat="1" applyFont="1" applyBorder="1" applyAlignment="1">
      <alignment/>
    </xf>
    <xf numFmtId="171" fontId="0" fillId="2" borderId="4" xfId="0" applyNumberFormat="1" applyFill="1" applyBorder="1" applyAlignment="1">
      <alignment/>
    </xf>
    <xf numFmtId="171" fontId="0" fillId="2" borderId="10" xfId="0" applyNumberFormat="1" applyFill="1" applyBorder="1" applyAlignment="1">
      <alignment/>
    </xf>
    <xf numFmtId="170" fontId="0" fillId="0" borderId="2" xfId="0" applyNumberFormat="1" applyFill="1" applyBorder="1" applyAlignment="1" applyProtection="1" quotePrefix="1">
      <alignment/>
      <protection/>
    </xf>
    <xf numFmtId="170" fontId="0" fillId="0" borderId="2" xfId="0" applyNumberForma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8" fillId="4" borderId="18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4" xfId="0" applyFont="1" applyFill="1" applyBorder="1" applyAlignment="1">
      <alignment/>
    </xf>
    <xf numFmtId="187" fontId="10" fillId="0" borderId="0" xfId="0" applyNumberFormat="1" applyFont="1" applyBorder="1" applyAlignment="1" applyProtection="1">
      <alignment horizontal="right" vertical="center"/>
      <protection/>
    </xf>
    <xf numFmtId="0" fontId="9" fillId="3" borderId="14" xfId="0" applyFont="1" applyFill="1" applyBorder="1" applyAlignment="1">
      <alignment/>
    </xf>
    <xf numFmtId="0" fontId="8" fillId="0" borderId="0" xfId="0" applyNumberFormat="1" applyFont="1" applyAlignment="1" applyProtection="1">
      <alignment horizontal="left"/>
      <protection/>
    </xf>
    <xf numFmtId="171" fontId="0" fillId="2" borderId="2" xfId="0" applyNumberFormat="1" applyFill="1" applyBorder="1" applyAlignment="1" quotePrefix="1">
      <alignment/>
    </xf>
    <xf numFmtId="171" fontId="0" fillId="0" borderId="5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8" fillId="3" borderId="14" xfId="0" applyFont="1" applyFill="1" applyBorder="1" applyAlignment="1">
      <alignment/>
    </xf>
    <xf numFmtId="0" fontId="9" fillId="3" borderId="3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9" fillId="3" borderId="2" xfId="0" applyNumberFormat="1" applyFont="1" applyFill="1" applyBorder="1" applyAlignment="1">
      <alignment horizontal="right"/>
    </xf>
    <xf numFmtId="0" fontId="8" fillId="4" borderId="1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183" fontId="0" fillId="0" borderId="0" xfId="0" applyNumberFormat="1" applyFont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183" fontId="0" fillId="0" borderId="0" xfId="0" applyNumberFormat="1" applyFont="1" applyFill="1" applyAlignment="1" applyProtection="1">
      <alignment/>
      <protection/>
    </xf>
    <xf numFmtId="178" fontId="0" fillId="0" borderId="0" xfId="19" applyNumberFormat="1" applyFont="1" applyFill="1" applyAlignment="1" applyProtection="1">
      <alignment/>
      <protection/>
    </xf>
    <xf numFmtId="171" fontId="9" fillId="5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 applyProtection="1">
      <alignment/>
      <protection/>
    </xf>
    <xf numFmtId="171" fontId="0" fillId="6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3" borderId="0" xfId="0" applyFont="1" applyFill="1" applyAlignment="1">
      <alignment/>
    </xf>
    <xf numFmtId="188" fontId="0" fillId="3" borderId="0" xfId="0" applyNumberFormat="1" applyFont="1" applyFill="1" applyAlignment="1">
      <alignment/>
    </xf>
    <xf numFmtId="189" fontId="0" fillId="3" borderId="0" xfId="0" applyNumberFormat="1" applyFont="1" applyFill="1" applyAlignment="1">
      <alignment/>
    </xf>
    <xf numFmtId="190" fontId="0" fillId="3" borderId="0" xfId="0" applyNumberFormat="1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70" fontId="0" fillId="5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" fillId="0" borderId="17" xfId="0" applyFont="1" applyFill="1" applyBorder="1" applyAlignment="1">
      <alignment/>
    </xf>
    <xf numFmtId="0" fontId="1" fillId="0" borderId="5" xfId="0" applyFont="1" applyBorder="1" applyAlignment="1" applyProtection="1">
      <alignment/>
      <protection/>
    </xf>
    <xf numFmtId="15" fontId="3" fillId="0" borderId="5" xfId="0" applyNumberFormat="1" applyFont="1" applyFill="1" applyBorder="1" applyAlignment="1" applyProtection="1">
      <alignment/>
      <protection/>
    </xf>
    <xf numFmtId="15" fontId="3" fillId="0" borderId="0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70" fontId="0" fillId="0" borderId="0" xfId="0" applyNumberFormat="1" applyFill="1" applyBorder="1" applyAlignment="1" applyProtection="1" quotePrefix="1">
      <alignment/>
      <protection/>
    </xf>
    <xf numFmtId="171" fontId="0" fillId="3" borderId="2" xfId="0" applyNumberFormat="1" applyFill="1" applyBorder="1" applyAlignment="1" applyProtection="1" quotePrefix="1">
      <alignment/>
      <protection locked="0"/>
    </xf>
    <xf numFmtId="171" fontId="0" fillId="0" borderId="2" xfId="0" applyNumberFormat="1" applyFill="1" applyBorder="1" applyAlignment="1" applyProtection="1">
      <alignment/>
      <protection/>
    </xf>
    <xf numFmtId="171" fontId="0" fillId="0" borderId="2" xfId="0" applyNumberFormat="1" applyFont="1" applyFill="1" applyBorder="1" applyAlignment="1" applyProtection="1">
      <alignment/>
      <protection/>
    </xf>
    <xf numFmtId="171" fontId="0" fillId="0" borderId="2" xfId="0" applyNumberFormat="1" applyFont="1" applyBorder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171" fontId="1" fillId="0" borderId="11" xfId="0" applyNumberFormat="1" applyFont="1" applyBorder="1" applyAlignment="1" applyProtection="1">
      <alignment horizontal="center"/>
      <protection/>
    </xf>
    <xf numFmtId="171" fontId="1" fillId="2" borderId="9" xfId="0" applyNumberFormat="1" applyFont="1" applyFill="1" applyBorder="1" applyAlignment="1" applyProtection="1">
      <alignment horizontal="center"/>
      <protection/>
    </xf>
    <xf numFmtId="171" fontId="1" fillId="2" borderId="6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Border="1" applyAlignment="1" applyProtection="1">
      <alignment horizontal="center"/>
      <protection/>
    </xf>
    <xf numFmtId="171" fontId="1" fillId="2" borderId="2" xfId="0" applyNumberFormat="1" applyFont="1" applyFill="1" applyBorder="1" applyAlignment="1" applyProtection="1">
      <alignment horizontal="center"/>
      <protection/>
    </xf>
    <xf numFmtId="171" fontId="1" fillId="2" borderId="4" xfId="0" applyNumberFormat="1" applyFont="1" applyFill="1" applyBorder="1" applyAlignment="1" applyProtection="1">
      <alignment horizontal="center"/>
      <protection/>
    </xf>
    <xf numFmtId="0" fontId="1" fillId="2" borderId="3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171" fontId="0" fillId="0" borderId="2" xfId="0" applyNumberFormat="1" applyFont="1" applyBorder="1" applyAlignment="1" applyProtection="1">
      <alignment horizontal="center"/>
      <protection/>
    </xf>
    <xf numFmtId="171" fontId="0" fillId="0" borderId="0" xfId="0" applyNumberFormat="1" applyFont="1" applyFill="1" applyBorder="1" applyAlignment="1" applyProtection="1" quotePrefix="1">
      <alignment/>
      <protection/>
    </xf>
    <xf numFmtId="170" fontId="0" fillId="2" borderId="2" xfId="0" applyNumberFormat="1" applyFont="1" applyFill="1" applyBorder="1" applyAlignment="1" applyProtection="1">
      <alignment/>
      <protection/>
    </xf>
    <xf numFmtId="170" fontId="0" fillId="0" borderId="2" xfId="0" applyNumberFormat="1" applyFont="1" applyFill="1" applyBorder="1" applyAlignment="1" applyProtection="1">
      <alignment/>
      <protection/>
    </xf>
    <xf numFmtId="170" fontId="0" fillId="0" borderId="2" xfId="0" applyNumberFormat="1" applyFont="1" applyBorder="1" applyAlignment="1" applyProtection="1" quotePrefix="1">
      <alignment/>
      <protection/>
    </xf>
    <xf numFmtId="178" fontId="0" fillId="2" borderId="2" xfId="0" applyNumberFormat="1" applyFont="1" applyFill="1" applyBorder="1" applyAlignment="1" applyProtection="1">
      <alignment/>
      <protection/>
    </xf>
    <xf numFmtId="170" fontId="0" fillId="2" borderId="6" xfId="0" applyNumberFormat="1" applyFont="1" applyFill="1" applyBorder="1" applyAlignment="1" applyProtection="1">
      <alignment/>
      <protection/>
    </xf>
    <xf numFmtId="9" fontId="0" fillId="2" borderId="2" xfId="19" applyFont="1" applyFill="1" applyBorder="1" applyAlignment="1" applyProtection="1">
      <alignment/>
      <protection/>
    </xf>
    <xf numFmtId="171" fontId="0" fillId="2" borderId="4" xfId="0" applyNumberFormat="1" applyFont="1" applyFill="1" applyBorder="1" applyAlignment="1" applyProtection="1">
      <alignment/>
      <protection/>
    </xf>
    <xf numFmtId="171" fontId="0" fillId="0" borderId="0" xfId="0" applyNumberFormat="1" applyFont="1" applyBorder="1" applyAlignment="1" applyProtection="1">
      <alignment/>
      <protection/>
    </xf>
    <xf numFmtId="171" fontId="0" fillId="6" borderId="2" xfId="0" applyNumberFormat="1" applyFont="1" applyFill="1" applyBorder="1" applyAlignment="1" applyProtection="1">
      <alignment/>
      <protection/>
    </xf>
    <xf numFmtId="171" fontId="0" fillId="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10" fontId="0" fillId="0" borderId="6" xfId="0" applyNumberForma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10" fontId="0" fillId="0" borderId="8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10" fontId="0" fillId="0" borderId="3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49" fontId="0" fillId="0" borderId="3" xfId="0" applyNumberFormat="1" applyBorder="1" applyAlignment="1" applyProtection="1">
      <alignment horizontal="center"/>
      <protection/>
    </xf>
    <xf numFmtId="171" fontId="0" fillId="0" borderId="2" xfId="0" applyNumberFormat="1" applyBorder="1" applyAlignment="1" applyProtection="1">
      <alignment/>
      <protection/>
    </xf>
    <xf numFmtId="171" fontId="0" fillId="0" borderId="0" xfId="0" applyNumberFormat="1" applyBorder="1" applyAlignment="1" applyProtection="1">
      <alignment/>
      <protection/>
    </xf>
    <xf numFmtId="10" fontId="0" fillId="0" borderId="0" xfId="0" applyNumberFormat="1" applyBorder="1" applyAlignment="1" applyProtection="1">
      <alignment/>
      <protection/>
    </xf>
    <xf numFmtId="171" fontId="0" fillId="2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6" borderId="2" xfId="0" applyNumberFormat="1" applyFont="1" applyFill="1" applyBorder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>
      <alignment/>
    </xf>
    <xf numFmtId="171" fontId="0" fillId="0" borderId="0" xfId="0" applyNumberFormat="1" applyBorder="1" applyAlignment="1" applyProtection="1" quotePrefix="1">
      <alignment/>
      <protection/>
    </xf>
    <xf numFmtId="0" fontId="5" fillId="0" borderId="0" xfId="0" applyFont="1" applyAlignment="1" applyProtection="1">
      <alignment/>
      <protection/>
    </xf>
    <xf numFmtId="171" fontId="0" fillId="0" borderId="2" xfId="0" applyNumberFormat="1" applyBorder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1" fontId="0" fillId="0" borderId="2" xfId="0" applyNumberFormat="1" applyBorder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/>
      <protection/>
    </xf>
    <xf numFmtId="174" fontId="0" fillId="2" borderId="2" xfId="19" applyNumberFormat="1" applyFill="1" applyBorder="1" applyAlignment="1" applyProtection="1">
      <alignment/>
      <protection/>
    </xf>
    <xf numFmtId="183" fontId="0" fillId="2" borderId="2" xfId="0" applyNumberForma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1" fontId="1" fillId="0" borderId="6" xfId="0" applyNumberFormat="1" applyFont="1" applyBorder="1" applyAlignment="1" applyProtection="1">
      <alignment horizontal="center"/>
      <protection/>
    </xf>
    <xf numFmtId="171" fontId="1" fillId="0" borderId="7" xfId="0" applyNumberFormat="1" applyFont="1" applyBorder="1" applyAlignment="1" applyProtection="1">
      <alignment horizontal="center"/>
      <protection/>
    </xf>
    <xf numFmtId="0" fontId="1" fillId="0" borderId="3" xfId="0" applyNumberFormat="1" applyFont="1" applyBorder="1" applyAlignment="1" applyProtection="1">
      <alignment horizontal="center"/>
      <protection/>
    </xf>
    <xf numFmtId="0" fontId="1" fillId="0" borderId="13" xfId="0" applyNumberFormat="1" applyFont="1" applyBorder="1" applyAlignment="1" applyProtection="1">
      <alignment horizontal="center"/>
      <protection/>
    </xf>
    <xf numFmtId="171" fontId="9" fillId="5" borderId="0" xfId="0" applyNumberFormat="1" applyFont="1" applyFill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 quotePrefix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171" fontId="9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9" fontId="9" fillId="3" borderId="2" xfId="0" applyNumberFormat="1" applyFont="1" applyFill="1" applyBorder="1" applyAlignment="1" applyProtection="1">
      <alignment horizontal="center"/>
      <protection locked="0"/>
    </xf>
    <xf numFmtId="9" fontId="9" fillId="3" borderId="10" xfId="0" applyNumberFormat="1" applyFont="1" applyFill="1" applyBorder="1" applyAlignment="1" applyProtection="1">
      <alignment horizontal="center"/>
      <protection locked="0"/>
    </xf>
    <xf numFmtId="171" fontId="16" fillId="0" borderId="0" xfId="0" applyNumberFormat="1" applyFont="1" applyFill="1" applyAlignment="1">
      <alignment/>
    </xf>
    <xf numFmtId="0" fontId="0" fillId="0" borderId="1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2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17" fillId="0" borderId="0" xfId="0" applyFont="1" applyAlignment="1">
      <alignment/>
    </xf>
    <xf numFmtId="171" fontId="0" fillId="0" borderId="1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171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71" fontId="0" fillId="0" borderId="4" xfId="0" applyNumberFormat="1" applyBorder="1" applyAlignment="1">
      <alignment horizontal="center"/>
    </xf>
    <xf numFmtId="171" fontId="0" fillId="0" borderId="9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3" fontId="8" fillId="0" borderId="2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71" fontId="1" fillId="2" borderId="21" xfId="0" applyNumberFormat="1" applyFont="1" applyFill="1" applyBorder="1" applyAlignment="1" applyProtection="1">
      <alignment horizontal="center"/>
      <protection/>
    </xf>
    <xf numFmtId="171" fontId="1" fillId="2" borderId="13" xfId="0" applyNumberFormat="1" applyFont="1" applyFill="1" applyBorder="1" applyAlignment="1" applyProtection="1">
      <alignment horizontal="center"/>
      <protection/>
    </xf>
    <xf numFmtId="171" fontId="1" fillId="2" borderId="4" xfId="0" applyNumberFormat="1" applyFont="1" applyFill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71" fontId="1" fillId="2" borderId="14" xfId="0" applyNumberFormat="1" applyFont="1" applyFill="1" applyBorder="1" applyAlignment="1">
      <alignment horizontal="center"/>
    </xf>
    <xf numFmtId="171" fontId="1" fillId="2" borderId="7" xfId="0" applyNumberFormat="1" applyFont="1" applyFill="1" applyBorder="1" applyAlignment="1">
      <alignment horizontal="center"/>
    </xf>
    <xf numFmtId="0" fontId="1" fillId="3" borderId="4" xfId="0" applyFont="1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3" borderId="4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X:\Algemeen\Clipart\Ctg\LogoKop.ep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0</xdr:row>
      <xdr:rowOff>57150</xdr:rowOff>
    </xdr:from>
    <xdr:to>
      <xdr:col>3</xdr:col>
      <xdr:colOff>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95850" y="57150"/>
          <a:ext cx="2581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indexed="50"/>
    <pageSetUpPr fitToPage="1"/>
  </sheetPr>
  <dimension ref="A1:L91"/>
  <sheetViews>
    <sheetView workbookViewId="0" topLeftCell="A1">
      <selection activeCell="A97" sqref="A97"/>
    </sheetView>
  </sheetViews>
  <sheetFormatPr defaultColWidth="9.140625" defaultRowHeight="12.75"/>
  <cols>
    <col min="1" max="1" width="33.28125" style="30" customWidth="1"/>
    <col min="2" max="5" width="13.7109375" style="30" customWidth="1"/>
    <col min="6" max="6" width="9.140625" style="30" customWidth="1"/>
    <col min="7" max="7" width="12.28125" style="30" hidden="1" customWidth="1"/>
    <col min="8" max="8" width="12.7109375" style="30" hidden="1" customWidth="1"/>
    <col min="9" max="16384" width="9.140625" style="30" customWidth="1"/>
  </cols>
  <sheetData>
    <row r="1" ht="12.75">
      <c r="A1" s="30" t="s">
        <v>189</v>
      </c>
    </row>
    <row r="2" spans="2:5" ht="12.75">
      <c r="B2" s="66" t="s">
        <v>266</v>
      </c>
      <c r="C2" s="67"/>
      <c r="D2" s="66" t="s">
        <v>375</v>
      </c>
      <c r="E2" s="67"/>
    </row>
    <row r="3" spans="2:5" ht="12.75">
      <c r="B3" s="94" t="s">
        <v>267</v>
      </c>
      <c r="C3" s="95"/>
      <c r="D3" s="94" t="s">
        <v>376</v>
      </c>
      <c r="E3" s="95"/>
    </row>
    <row r="4" spans="1:5" ht="12.75">
      <c r="A4" s="11" t="s">
        <v>116</v>
      </c>
      <c r="B4" s="55" t="s">
        <v>127</v>
      </c>
      <c r="C4" s="55" t="s">
        <v>128</v>
      </c>
      <c r="D4" s="55" t="s">
        <v>127</v>
      </c>
      <c r="E4" s="55" t="s">
        <v>128</v>
      </c>
    </row>
    <row r="5" spans="1:5" ht="12.75">
      <c r="A5" s="51"/>
      <c r="B5" s="51"/>
      <c r="C5" s="51"/>
      <c r="D5" s="190">
        <v>1.0165</v>
      </c>
      <c r="E5" s="190">
        <v>1.0078</v>
      </c>
    </row>
    <row r="6" spans="4:5" ht="12.75">
      <c r="D6" s="65"/>
      <c r="E6" s="65"/>
    </row>
    <row r="7" spans="1:7" ht="12.75">
      <c r="A7" s="30" t="s">
        <v>222</v>
      </c>
      <c r="B7" s="96">
        <v>24.57</v>
      </c>
      <c r="C7" s="96">
        <v>6.78</v>
      </c>
      <c r="D7" s="195">
        <v>24.98</v>
      </c>
      <c r="E7" s="195">
        <v>6.83</v>
      </c>
      <c r="G7" s="65"/>
    </row>
    <row r="8" spans="1:5" ht="12.75">
      <c r="A8" s="30" t="s">
        <v>223</v>
      </c>
      <c r="B8" s="96">
        <v>10.22</v>
      </c>
      <c r="C8" s="96">
        <v>2.81</v>
      </c>
      <c r="D8" s="195">
        <v>10.39</v>
      </c>
      <c r="E8" s="195">
        <v>2.83</v>
      </c>
    </row>
    <row r="9" spans="1:7" ht="12.75">
      <c r="A9" s="30" t="s">
        <v>246</v>
      </c>
      <c r="B9" s="96">
        <v>178686</v>
      </c>
      <c r="C9" s="96">
        <v>6580</v>
      </c>
      <c r="D9" s="195">
        <v>181634</v>
      </c>
      <c r="E9" s="195">
        <v>6631</v>
      </c>
      <c r="G9" s="63"/>
    </row>
    <row r="10" spans="1:5" ht="12.75">
      <c r="A10" s="30" t="s">
        <v>221</v>
      </c>
      <c r="B10" s="96">
        <v>6602</v>
      </c>
      <c r="C10" s="96">
        <v>138</v>
      </c>
      <c r="D10" s="195">
        <v>6711</v>
      </c>
      <c r="E10" s="195">
        <v>139</v>
      </c>
    </row>
    <row r="11" spans="1:5" ht="12.75">
      <c r="A11" s="30" t="s">
        <v>235</v>
      </c>
      <c r="B11" s="96">
        <v>49</v>
      </c>
      <c r="C11" s="96">
        <v>0</v>
      </c>
      <c r="D11" s="195">
        <v>49</v>
      </c>
      <c r="E11" s="195">
        <v>0</v>
      </c>
    </row>
    <row r="12" spans="1:5" ht="12.75">
      <c r="A12" s="30" t="s">
        <v>236</v>
      </c>
      <c r="B12" s="96">
        <v>97</v>
      </c>
      <c r="C12" s="96">
        <v>0</v>
      </c>
      <c r="D12" s="195">
        <v>99</v>
      </c>
      <c r="E12" s="195">
        <v>0</v>
      </c>
    </row>
    <row r="13" spans="1:5" ht="12.75">
      <c r="A13" s="30" t="s">
        <v>237</v>
      </c>
      <c r="B13" s="96">
        <v>146</v>
      </c>
      <c r="C13" s="96">
        <v>0</v>
      </c>
      <c r="D13" s="195">
        <v>148</v>
      </c>
      <c r="E13" s="195">
        <v>0</v>
      </c>
    </row>
    <row r="14" spans="1:5" ht="12.75">
      <c r="A14" s="30" t="s">
        <v>238</v>
      </c>
      <c r="B14" s="96">
        <v>194</v>
      </c>
      <c r="C14" s="96">
        <v>0</v>
      </c>
      <c r="D14" s="195">
        <v>197</v>
      </c>
      <c r="E14" s="195">
        <v>0</v>
      </c>
    </row>
    <row r="15" spans="1:5" ht="12.75">
      <c r="A15" s="30" t="s">
        <v>239</v>
      </c>
      <c r="B15" s="96">
        <v>118823</v>
      </c>
      <c r="C15" s="96">
        <v>38910</v>
      </c>
      <c r="D15" s="195">
        <v>120784</v>
      </c>
      <c r="E15" s="195">
        <v>39213</v>
      </c>
    </row>
    <row r="16" spans="1:5" ht="12.75">
      <c r="A16" s="30" t="s">
        <v>240</v>
      </c>
      <c r="B16" s="96">
        <v>72754</v>
      </c>
      <c r="C16" s="96">
        <v>1660</v>
      </c>
      <c r="D16" s="195">
        <v>73954</v>
      </c>
      <c r="E16" s="195">
        <v>1673</v>
      </c>
    </row>
    <row r="17" spans="1:5" ht="12.75">
      <c r="A17" s="30" t="s">
        <v>233</v>
      </c>
      <c r="B17" s="96">
        <v>43218</v>
      </c>
      <c r="C17" s="96">
        <v>4109</v>
      </c>
      <c r="D17" s="195">
        <v>43931</v>
      </c>
      <c r="E17" s="195">
        <v>4141</v>
      </c>
    </row>
    <row r="18" spans="1:5" ht="12.75">
      <c r="A18" s="30" t="s">
        <v>234</v>
      </c>
      <c r="B18" s="96">
        <v>0</v>
      </c>
      <c r="C18" s="96">
        <v>0</v>
      </c>
      <c r="D18" s="195">
        <v>0</v>
      </c>
      <c r="E18" s="195">
        <v>0</v>
      </c>
    </row>
    <row r="19" spans="1:5" ht="12.75">
      <c r="A19" s="30" t="s">
        <v>232</v>
      </c>
      <c r="B19" s="96">
        <v>9114</v>
      </c>
      <c r="C19" s="96">
        <v>16636</v>
      </c>
      <c r="D19" s="195">
        <v>9264</v>
      </c>
      <c r="E19" s="195">
        <v>16766</v>
      </c>
    </row>
    <row r="20" spans="1:12" ht="12.75">
      <c r="A20" s="30" t="s">
        <v>18</v>
      </c>
      <c r="B20" s="96">
        <v>2694.84</v>
      </c>
      <c r="C20" s="96">
        <v>4194.51</v>
      </c>
      <c r="D20" s="195">
        <v>2739.3</v>
      </c>
      <c r="E20" s="195">
        <v>4227.23</v>
      </c>
      <c r="F20" s="60"/>
      <c r="H20" s="63"/>
      <c r="I20" s="63"/>
      <c r="K20" s="63"/>
      <c r="L20" s="63"/>
    </row>
    <row r="21" spans="1:12" ht="12.75">
      <c r="A21" s="30" t="s">
        <v>166</v>
      </c>
      <c r="B21" s="96">
        <v>0</v>
      </c>
      <c r="C21" s="96">
        <v>4083.07</v>
      </c>
      <c r="D21" s="195">
        <v>0</v>
      </c>
      <c r="E21" s="195">
        <v>4114.92</v>
      </c>
      <c r="F21" s="60"/>
      <c r="H21" s="63"/>
      <c r="I21" s="63"/>
      <c r="K21" s="63"/>
      <c r="L21" s="63"/>
    </row>
    <row r="22" spans="1:12" ht="12.75">
      <c r="A22" s="30" t="s">
        <v>20</v>
      </c>
      <c r="B22" s="96">
        <v>0</v>
      </c>
      <c r="C22" s="96">
        <v>832.7</v>
      </c>
      <c r="D22" s="195">
        <v>0</v>
      </c>
      <c r="E22" s="195">
        <v>839.2</v>
      </c>
      <c r="F22" s="60"/>
      <c r="H22" s="63"/>
      <c r="I22" s="63"/>
      <c r="K22" s="63"/>
      <c r="L22" s="63"/>
    </row>
    <row r="23" spans="1:12" ht="12.75">
      <c r="A23" s="30" t="s">
        <v>167</v>
      </c>
      <c r="B23" s="96">
        <v>0</v>
      </c>
      <c r="C23" s="96">
        <v>34814.58</v>
      </c>
      <c r="D23" s="195">
        <v>0</v>
      </c>
      <c r="E23" s="195">
        <v>35086.13</v>
      </c>
      <c r="F23" s="60"/>
      <c r="H23" s="63"/>
      <c r="I23" s="63"/>
      <c r="K23" s="63"/>
      <c r="L23" s="63"/>
    </row>
    <row r="24" spans="1:12" ht="12.75">
      <c r="A24" s="30" t="s">
        <v>168</v>
      </c>
      <c r="B24" s="96">
        <v>0</v>
      </c>
      <c r="C24" s="96">
        <v>3764.73</v>
      </c>
      <c r="D24" s="195">
        <v>0</v>
      </c>
      <c r="E24" s="195">
        <v>3794.09</v>
      </c>
      <c r="F24" s="60"/>
      <c r="H24" s="63"/>
      <c r="I24" s="63"/>
      <c r="K24" s="63"/>
      <c r="L24" s="63"/>
    </row>
    <row r="25" spans="1:12" ht="12.75">
      <c r="A25" s="30" t="s">
        <v>129</v>
      </c>
      <c r="B25" s="96">
        <v>24025.16</v>
      </c>
      <c r="C25" s="96">
        <v>15601.38</v>
      </c>
      <c r="D25" s="195">
        <v>24421.57</v>
      </c>
      <c r="E25" s="195">
        <v>15723.07</v>
      </c>
      <c r="F25" s="60"/>
      <c r="G25" s="63"/>
      <c r="H25" s="63"/>
      <c r="I25" s="63"/>
      <c r="J25" s="63"/>
      <c r="K25" s="63"/>
      <c r="L25" s="63"/>
    </row>
    <row r="26" spans="1:12" ht="12.75">
      <c r="A26" s="30" t="s">
        <v>205</v>
      </c>
      <c r="B26" s="96">
        <v>0</v>
      </c>
      <c r="C26" s="96">
        <v>14235</v>
      </c>
      <c r="D26" s="195">
        <v>0</v>
      </c>
      <c r="E26" s="195">
        <v>14346</v>
      </c>
      <c r="F26" s="60"/>
      <c r="G26" s="63"/>
      <c r="H26" s="63"/>
      <c r="I26" s="63"/>
      <c r="J26" s="63"/>
      <c r="K26" s="63"/>
      <c r="L26" s="63"/>
    </row>
    <row r="27" spans="1:12" ht="12.75">
      <c r="A27" s="30" t="s">
        <v>206</v>
      </c>
      <c r="B27" s="96">
        <v>0</v>
      </c>
      <c r="C27" s="96">
        <v>12174</v>
      </c>
      <c r="D27" s="195">
        <v>0</v>
      </c>
      <c r="E27" s="195">
        <v>12268.96</v>
      </c>
      <c r="F27" s="60"/>
      <c r="G27" s="63" t="s">
        <v>265</v>
      </c>
      <c r="H27" s="63"/>
      <c r="I27" s="63"/>
      <c r="J27" s="63"/>
      <c r="K27" s="63"/>
      <c r="L27" s="63"/>
    </row>
    <row r="28" spans="1:12" ht="12.75">
      <c r="A28" s="30" t="s">
        <v>207</v>
      </c>
      <c r="B28" s="96">
        <v>0</v>
      </c>
      <c r="C28" s="96">
        <v>20331</v>
      </c>
      <c r="D28" s="195">
        <v>0</v>
      </c>
      <c r="E28" s="195">
        <v>20489.58</v>
      </c>
      <c r="F28" s="60"/>
      <c r="G28" s="63"/>
      <c r="H28" s="63"/>
      <c r="I28" s="63"/>
      <c r="J28" s="63"/>
      <c r="K28" s="63"/>
      <c r="L28" s="63"/>
    </row>
    <row r="29" spans="1:12" ht="12.75">
      <c r="A29" s="30" t="s">
        <v>208</v>
      </c>
      <c r="B29" s="96">
        <v>0</v>
      </c>
      <c r="C29" s="96">
        <v>9739</v>
      </c>
      <c r="D29" s="195">
        <v>0</v>
      </c>
      <c r="E29" s="195">
        <v>9814.96</v>
      </c>
      <c r="F29" s="60"/>
      <c r="G29" s="63"/>
      <c r="H29" s="63"/>
      <c r="I29" s="63"/>
      <c r="J29" s="63"/>
      <c r="K29" s="63"/>
      <c r="L29" s="63"/>
    </row>
    <row r="30" spans="1:12" ht="12.75">
      <c r="A30" s="30" t="s">
        <v>209</v>
      </c>
      <c r="B30" s="96">
        <v>0</v>
      </c>
      <c r="C30" s="96">
        <v>15339</v>
      </c>
      <c r="D30" s="195">
        <v>0</v>
      </c>
      <c r="E30" s="195">
        <v>15458.64</v>
      </c>
      <c r="F30" s="60"/>
      <c r="G30" s="63"/>
      <c r="H30" s="63"/>
      <c r="I30" s="63"/>
      <c r="J30" s="63"/>
      <c r="K30" s="63"/>
      <c r="L30" s="63"/>
    </row>
    <row r="31" spans="1:12" ht="12.75">
      <c r="A31" s="30" t="s">
        <v>269</v>
      </c>
      <c r="B31" s="96">
        <v>0</v>
      </c>
      <c r="C31" s="96">
        <v>11887.18</v>
      </c>
      <c r="D31" s="195">
        <v>0</v>
      </c>
      <c r="E31" s="195">
        <v>11979.9</v>
      </c>
      <c r="F31" s="60"/>
      <c r="G31" s="63"/>
      <c r="H31" s="63"/>
      <c r="I31" s="63"/>
      <c r="J31" s="63"/>
      <c r="K31" s="63"/>
      <c r="L31" s="63"/>
    </row>
    <row r="32" spans="1:12" ht="12.75">
      <c r="A32" s="30" t="s">
        <v>270</v>
      </c>
      <c r="B32" s="96">
        <v>0</v>
      </c>
      <c r="C32" s="96">
        <v>9589.66</v>
      </c>
      <c r="D32" s="195">
        <v>0</v>
      </c>
      <c r="E32" s="195">
        <v>9664.46</v>
      </c>
      <c r="F32" s="60"/>
      <c r="G32" s="63"/>
      <c r="H32" s="63"/>
      <c r="I32" s="63"/>
      <c r="J32" s="63"/>
      <c r="K32" s="63"/>
      <c r="L32" s="63"/>
    </row>
    <row r="33" spans="1:12" ht="12.75">
      <c r="A33" s="30" t="s">
        <v>203</v>
      </c>
      <c r="B33" s="96">
        <v>9578</v>
      </c>
      <c r="C33" s="96">
        <v>5351</v>
      </c>
      <c r="D33" s="195">
        <v>9736.04</v>
      </c>
      <c r="E33" s="195">
        <v>5392.74</v>
      </c>
      <c r="F33" s="60"/>
      <c r="G33" s="63"/>
      <c r="H33" s="63"/>
      <c r="I33" s="63"/>
      <c r="J33" s="63"/>
      <c r="K33" s="63"/>
      <c r="L33" s="63"/>
    </row>
    <row r="34" spans="1:12" ht="12.75">
      <c r="A34" s="30" t="s">
        <v>204</v>
      </c>
      <c r="B34" s="96">
        <v>641.19</v>
      </c>
      <c r="C34" s="96">
        <v>67.47</v>
      </c>
      <c r="D34" s="195">
        <v>651.77</v>
      </c>
      <c r="E34" s="195">
        <v>68</v>
      </c>
      <c r="F34" s="60"/>
      <c r="G34" s="63"/>
      <c r="H34" s="63"/>
      <c r="I34" s="63"/>
      <c r="J34" s="63"/>
      <c r="K34" s="63"/>
      <c r="L34" s="63"/>
    </row>
    <row r="35" spans="1:12" ht="12.75">
      <c r="A35" s="30" t="s">
        <v>111</v>
      </c>
      <c r="B35" s="96">
        <v>0</v>
      </c>
      <c r="C35" s="96">
        <v>0</v>
      </c>
      <c r="D35" s="195">
        <v>0</v>
      </c>
      <c r="E35" s="195">
        <v>0</v>
      </c>
      <c r="F35" s="60"/>
      <c r="H35" s="63"/>
      <c r="I35" s="63"/>
      <c r="K35" s="63"/>
      <c r="L35" s="63"/>
    </row>
    <row r="36" spans="1:12" ht="12.75">
      <c r="A36" s="30" t="s">
        <v>169</v>
      </c>
      <c r="B36" s="96">
        <v>0</v>
      </c>
      <c r="C36" s="96">
        <v>4768.11</v>
      </c>
      <c r="D36" s="195">
        <v>0</v>
      </c>
      <c r="E36" s="195">
        <v>4805.3</v>
      </c>
      <c r="F36" s="60"/>
      <c r="H36" s="63"/>
      <c r="I36" s="63"/>
      <c r="K36" s="63"/>
      <c r="L36" s="63"/>
    </row>
    <row r="37" spans="1:12" ht="12.75">
      <c r="A37" s="30" t="s">
        <v>110</v>
      </c>
      <c r="B37" s="96">
        <v>0</v>
      </c>
      <c r="C37" s="96">
        <v>2944.5</v>
      </c>
      <c r="D37" s="195">
        <v>0</v>
      </c>
      <c r="E37" s="195">
        <v>2967.47</v>
      </c>
      <c r="F37" s="60"/>
      <c r="H37" s="63"/>
      <c r="I37" s="63"/>
      <c r="K37" s="63"/>
      <c r="L37" s="63"/>
    </row>
    <row r="38" spans="1:12" ht="12.75">
      <c r="A38" s="30" t="s">
        <v>130</v>
      </c>
      <c r="B38" s="96">
        <v>318.7</v>
      </c>
      <c r="C38" s="96">
        <v>53.45</v>
      </c>
      <c r="D38" s="195">
        <v>323.96</v>
      </c>
      <c r="E38" s="195">
        <v>53.87</v>
      </c>
      <c r="F38" s="60"/>
      <c r="H38" s="63"/>
      <c r="I38" s="63"/>
      <c r="K38" s="63"/>
      <c r="L38" s="63"/>
    </row>
    <row r="39" spans="1:12" ht="12.75">
      <c r="A39" s="30" t="s">
        <v>131</v>
      </c>
      <c r="B39" s="96">
        <v>1020.88</v>
      </c>
      <c r="C39" s="96">
        <v>170.02</v>
      </c>
      <c r="D39" s="195">
        <v>1037.72</v>
      </c>
      <c r="E39" s="195">
        <v>171.35</v>
      </c>
      <c r="F39" s="60"/>
      <c r="H39" s="63"/>
      <c r="I39" s="63"/>
      <c r="K39" s="63"/>
      <c r="L39" s="63"/>
    </row>
    <row r="40" spans="1:12" ht="12.75">
      <c r="A40" s="30" t="s">
        <v>132</v>
      </c>
      <c r="B40" s="96">
        <v>1749.07</v>
      </c>
      <c r="C40" s="96">
        <v>291.18</v>
      </c>
      <c r="D40" s="195">
        <v>1777.93</v>
      </c>
      <c r="E40" s="195">
        <v>293.45</v>
      </c>
      <c r="F40" s="60"/>
      <c r="H40" s="63"/>
      <c r="I40" s="63"/>
      <c r="K40" s="63"/>
      <c r="L40" s="63"/>
    </row>
    <row r="41" spans="1:12" ht="12.75">
      <c r="A41" s="30" t="s">
        <v>133</v>
      </c>
      <c r="B41" s="96">
        <v>2938.27</v>
      </c>
      <c r="C41" s="96">
        <v>488.7</v>
      </c>
      <c r="D41" s="195">
        <v>2986.75</v>
      </c>
      <c r="E41" s="195">
        <v>492.51</v>
      </c>
      <c r="F41" s="60"/>
      <c r="H41" s="63"/>
      <c r="I41" s="63"/>
      <c r="K41" s="63"/>
      <c r="L41" s="63"/>
    </row>
    <row r="42" spans="1:12" ht="12.75">
      <c r="A42" s="30" t="s">
        <v>134</v>
      </c>
      <c r="B42" s="96">
        <v>155.01</v>
      </c>
      <c r="C42" s="96">
        <v>25.96</v>
      </c>
      <c r="D42" s="195">
        <v>157.57</v>
      </c>
      <c r="E42" s="195">
        <v>26.16</v>
      </c>
      <c r="F42" s="60"/>
      <c r="H42" s="63"/>
      <c r="I42" s="63"/>
      <c r="K42" s="63"/>
      <c r="L42" s="63"/>
    </row>
    <row r="43" spans="1:12" ht="12.75">
      <c r="A43" s="30" t="s">
        <v>135</v>
      </c>
      <c r="B43" s="96">
        <v>265.08</v>
      </c>
      <c r="C43" s="96">
        <v>39.2</v>
      </c>
      <c r="D43" s="195">
        <v>269.45</v>
      </c>
      <c r="E43" s="195">
        <v>39.51</v>
      </c>
      <c r="F43" s="60"/>
      <c r="H43" s="63"/>
      <c r="I43" s="63"/>
      <c r="K43" s="63"/>
      <c r="L43" s="63"/>
    </row>
    <row r="44" spans="1:12" ht="12.75">
      <c r="A44" s="30" t="s">
        <v>136</v>
      </c>
      <c r="B44" s="96">
        <v>539.64</v>
      </c>
      <c r="C44" s="96">
        <v>89.59</v>
      </c>
      <c r="D44" s="195">
        <v>548.54</v>
      </c>
      <c r="E44" s="195">
        <v>90.29</v>
      </c>
      <c r="F44" s="60"/>
      <c r="H44" s="63"/>
      <c r="I44" s="63"/>
      <c r="K44" s="63"/>
      <c r="L44" s="63"/>
    </row>
    <row r="45" spans="1:12" ht="12.75">
      <c r="A45" s="30" t="s">
        <v>137</v>
      </c>
      <c r="B45" s="96">
        <v>1909.87</v>
      </c>
      <c r="C45" s="96">
        <v>318.17</v>
      </c>
      <c r="D45" s="195">
        <v>1941.38</v>
      </c>
      <c r="E45" s="195">
        <v>320.65</v>
      </c>
      <c r="F45" s="60"/>
      <c r="H45" s="63"/>
      <c r="I45" s="63"/>
      <c r="K45" s="63"/>
      <c r="L45" s="63"/>
    </row>
    <row r="46" spans="1:12" ht="12.75">
      <c r="A46" s="30" t="s">
        <v>268</v>
      </c>
      <c r="B46" s="96">
        <v>1909.87</v>
      </c>
      <c r="C46" s="96">
        <v>4397.77</v>
      </c>
      <c r="D46" s="195">
        <v>1941.38</v>
      </c>
      <c r="E46" s="195">
        <v>4432.07</v>
      </c>
      <c r="F46" s="60"/>
      <c r="H46" s="63"/>
      <c r="I46" s="63"/>
      <c r="K46" s="63"/>
      <c r="L46" s="63"/>
    </row>
    <row r="47" spans="1:12" ht="12.75">
      <c r="A47" s="30" t="s">
        <v>138</v>
      </c>
      <c r="B47" s="96">
        <v>402.08</v>
      </c>
      <c r="C47" s="96">
        <v>262.75</v>
      </c>
      <c r="D47" s="195">
        <v>408.71</v>
      </c>
      <c r="E47" s="195">
        <v>264.8</v>
      </c>
      <c r="F47" s="60"/>
      <c r="H47" s="63"/>
      <c r="I47" s="63"/>
      <c r="K47" s="63"/>
      <c r="L47" s="63"/>
    </row>
    <row r="48" spans="1:12" ht="12.75">
      <c r="A48" s="30" t="s">
        <v>194</v>
      </c>
      <c r="B48" s="96">
        <v>1029.8</v>
      </c>
      <c r="C48" s="96">
        <v>66.5</v>
      </c>
      <c r="D48" s="195">
        <v>1046.79</v>
      </c>
      <c r="E48" s="195">
        <v>67.02</v>
      </c>
      <c r="F48" s="60"/>
      <c r="H48" s="63"/>
      <c r="I48" s="63"/>
      <c r="K48" s="63"/>
      <c r="L48" s="63"/>
    </row>
    <row r="49" spans="1:12" ht="12.75">
      <c r="A49" s="30" t="s">
        <v>195</v>
      </c>
      <c r="B49" s="96">
        <v>34.9</v>
      </c>
      <c r="C49" s="96">
        <v>19.25</v>
      </c>
      <c r="D49" s="195">
        <v>35.48</v>
      </c>
      <c r="E49" s="195">
        <v>19.4</v>
      </c>
      <c r="F49" s="60"/>
      <c r="H49" s="63"/>
      <c r="I49" s="63"/>
      <c r="K49" s="63"/>
      <c r="L49" s="63"/>
    </row>
    <row r="50" spans="1:12" ht="12.75">
      <c r="A50" s="30" t="s">
        <v>196</v>
      </c>
      <c r="B50" s="96">
        <v>2287.7</v>
      </c>
      <c r="C50" s="96">
        <v>1073.79</v>
      </c>
      <c r="D50" s="195">
        <v>2325.45</v>
      </c>
      <c r="E50" s="195">
        <v>1082.17</v>
      </c>
      <c r="F50" s="60"/>
      <c r="H50" s="63"/>
      <c r="I50" s="63"/>
      <c r="K50" s="63"/>
      <c r="L50" s="63"/>
    </row>
    <row r="51" spans="1:12" ht="12.75">
      <c r="A51" s="30" t="s">
        <v>197</v>
      </c>
      <c r="B51" s="96">
        <v>577.41</v>
      </c>
      <c r="C51" s="96">
        <v>106.12</v>
      </c>
      <c r="D51" s="195">
        <v>586.94</v>
      </c>
      <c r="E51" s="195">
        <v>106.95</v>
      </c>
      <c r="F51" s="60"/>
      <c r="H51" s="63"/>
      <c r="I51" s="63"/>
      <c r="K51" s="63"/>
      <c r="L51" s="63"/>
    </row>
    <row r="52" spans="1:12" ht="12.75">
      <c r="A52" s="30" t="s">
        <v>139</v>
      </c>
      <c r="B52" s="96">
        <v>171.49</v>
      </c>
      <c r="C52" s="96">
        <v>135.49</v>
      </c>
      <c r="D52" s="195">
        <v>174.32</v>
      </c>
      <c r="E52" s="195">
        <v>136.55</v>
      </c>
      <c r="F52" s="60"/>
      <c r="H52" s="63"/>
      <c r="I52" s="63"/>
      <c r="K52" s="63"/>
      <c r="L52" s="63"/>
    </row>
    <row r="53" spans="1:12" ht="12.75">
      <c r="A53" s="30" t="s">
        <v>140</v>
      </c>
      <c r="B53" s="96">
        <v>17.51</v>
      </c>
      <c r="C53" s="96">
        <v>79.26</v>
      </c>
      <c r="D53" s="195">
        <v>17.8</v>
      </c>
      <c r="E53" s="195">
        <v>79.88</v>
      </c>
      <c r="F53" s="60"/>
      <c r="H53" s="63"/>
      <c r="I53" s="63"/>
      <c r="K53" s="63"/>
      <c r="L53" s="63"/>
    </row>
    <row r="54" spans="1:12" ht="12.75">
      <c r="A54" s="30" t="s">
        <v>141</v>
      </c>
      <c r="B54" s="96">
        <v>171.49</v>
      </c>
      <c r="C54" s="96">
        <v>195</v>
      </c>
      <c r="D54" s="195">
        <v>174.32</v>
      </c>
      <c r="E54" s="195">
        <v>196.52</v>
      </c>
      <c r="F54" s="60"/>
      <c r="H54" s="63"/>
      <c r="I54" s="63"/>
      <c r="K54" s="63"/>
      <c r="L54" s="63"/>
    </row>
    <row r="55" spans="1:12" ht="12.75">
      <c r="A55" s="30" t="s">
        <v>142</v>
      </c>
      <c r="B55" s="96">
        <v>17.51</v>
      </c>
      <c r="C55" s="96">
        <v>99.52</v>
      </c>
      <c r="D55" s="195">
        <v>17.8</v>
      </c>
      <c r="E55" s="195">
        <v>100.3</v>
      </c>
      <c r="F55" s="60"/>
      <c r="H55" s="63"/>
      <c r="I55" s="63"/>
      <c r="K55" s="63"/>
      <c r="L55" s="63"/>
    </row>
    <row r="56" spans="1:12" ht="12.75">
      <c r="A56" s="30" t="s">
        <v>143</v>
      </c>
      <c r="B56" s="96">
        <v>104.35</v>
      </c>
      <c r="C56" s="96">
        <v>110.16</v>
      </c>
      <c r="D56" s="195">
        <v>106.07</v>
      </c>
      <c r="E56" s="195">
        <v>111.02</v>
      </c>
      <c r="F56" s="60"/>
      <c r="H56" s="63"/>
      <c r="I56" s="63"/>
      <c r="K56" s="63"/>
      <c r="L56" s="63"/>
    </row>
    <row r="57" spans="1:12" ht="12.75">
      <c r="A57" s="30" t="s">
        <v>144</v>
      </c>
      <c r="B57" s="96">
        <v>104.35</v>
      </c>
      <c r="C57" s="96">
        <v>170.95</v>
      </c>
      <c r="D57" s="195">
        <v>106.07</v>
      </c>
      <c r="E57" s="195">
        <v>172.28</v>
      </c>
      <c r="F57" s="60"/>
      <c r="H57" s="63"/>
      <c r="I57" s="63"/>
      <c r="K57" s="63"/>
      <c r="L57" s="63"/>
    </row>
    <row r="58" spans="1:12" ht="12.75">
      <c r="A58" s="30" t="s">
        <v>145</v>
      </c>
      <c r="B58" s="96">
        <v>244.66</v>
      </c>
      <c r="C58" s="96">
        <v>110.16</v>
      </c>
      <c r="D58" s="195">
        <v>248.7</v>
      </c>
      <c r="E58" s="195">
        <v>111.02</v>
      </c>
      <c r="F58" s="60"/>
      <c r="H58" s="63"/>
      <c r="I58" s="63"/>
      <c r="K58" s="63"/>
      <c r="L58" s="63"/>
    </row>
    <row r="59" spans="1:12" ht="12.75">
      <c r="A59" s="30" t="s">
        <v>146</v>
      </c>
      <c r="B59" s="96">
        <v>244.66</v>
      </c>
      <c r="C59" s="96">
        <v>170.95</v>
      </c>
      <c r="D59" s="195">
        <v>248.7</v>
      </c>
      <c r="E59" s="195">
        <v>172.28</v>
      </c>
      <c r="F59" s="60"/>
      <c r="G59" s="63"/>
      <c r="H59" s="63"/>
      <c r="I59" s="63"/>
      <c r="J59" s="63"/>
      <c r="K59" s="63"/>
      <c r="L59" s="63"/>
    </row>
    <row r="60" spans="1:12" ht="12.75">
      <c r="A60" s="30" t="s">
        <v>147</v>
      </c>
      <c r="B60" s="96">
        <v>17.51</v>
      </c>
      <c r="C60" s="96">
        <v>88.94</v>
      </c>
      <c r="D60" s="195">
        <v>17.8</v>
      </c>
      <c r="E60" s="195">
        <v>89.63</v>
      </c>
      <c r="F60" s="60"/>
      <c r="G60" s="63"/>
      <c r="H60" s="63"/>
      <c r="I60" s="63"/>
      <c r="J60" s="63"/>
      <c r="K60" s="63"/>
      <c r="L60" s="63"/>
    </row>
    <row r="61" spans="1:11" ht="12.75">
      <c r="A61" s="30" t="s">
        <v>148</v>
      </c>
      <c r="B61" s="96">
        <v>17.51</v>
      </c>
      <c r="C61" s="96">
        <v>109.19</v>
      </c>
      <c r="D61" s="195">
        <v>17.8</v>
      </c>
      <c r="E61" s="195">
        <v>110.04</v>
      </c>
      <c r="F61" s="60"/>
      <c r="H61" s="63"/>
      <c r="K61" s="63"/>
    </row>
    <row r="62" spans="1:10" ht="12.75">
      <c r="A62" s="30" t="s">
        <v>25</v>
      </c>
      <c r="B62" s="96">
        <v>62.71</v>
      </c>
      <c r="C62" s="96">
        <v>9.85</v>
      </c>
      <c r="D62" s="195">
        <v>63.74</v>
      </c>
      <c r="E62" s="195">
        <v>9.93</v>
      </c>
      <c r="F62" s="60"/>
      <c r="H62" s="63"/>
      <c r="J62" s="63"/>
    </row>
    <row r="63" spans="1:10" ht="12.75">
      <c r="A63" s="30" t="s">
        <v>198</v>
      </c>
      <c r="B63" s="194">
        <v>1.028</v>
      </c>
      <c r="C63" s="194">
        <v>0.243</v>
      </c>
      <c r="D63" s="196">
        <v>1.028</v>
      </c>
      <c r="E63" s="196">
        <v>0.243</v>
      </c>
      <c r="F63" s="60"/>
      <c r="G63" s="192" t="s">
        <v>467</v>
      </c>
      <c r="H63" s="213"/>
      <c r="J63" s="63"/>
    </row>
    <row r="64" spans="1:10" ht="12.75">
      <c r="A64" s="30" t="s">
        <v>149</v>
      </c>
      <c r="B64" s="96">
        <v>405.26</v>
      </c>
      <c r="C64" s="96">
        <v>479.62</v>
      </c>
      <c r="D64" s="195">
        <v>411.95</v>
      </c>
      <c r="E64" s="195">
        <v>483.36</v>
      </c>
      <c r="F64" s="60"/>
      <c r="G64" s="63"/>
      <c r="J64" s="63"/>
    </row>
    <row r="65" spans="1:10" ht="12.75">
      <c r="A65" s="30" t="s">
        <v>150</v>
      </c>
      <c r="B65" s="195">
        <v>420.89</v>
      </c>
      <c r="C65" s="195">
        <v>527.77</v>
      </c>
      <c r="D65" s="195">
        <v>427.83</v>
      </c>
      <c r="E65" s="195">
        <v>531.89</v>
      </c>
      <c r="F65" s="61"/>
      <c r="G65" s="207">
        <f>411.942805+15.892774</f>
        <v>427.835579</v>
      </c>
      <c r="H65" s="208">
        <f>483.359196+48.525045</f>
        <v>531.884241</v>
      </c>
      <c r="J65" s="63"/>
    </row>
    <row r="66" spans="1:12" ht="12.75">
      <c r="A66" s="30" t="s">
        <v>151</v>
      </c>
      <c r="B66" s="195">
        <v>37.93</v>
      </c>
      <c r="C66" s="195">
        <v>8.74</v>
      </c>
      <c r="D66" s="195">
        <v>38.56</v>
      </c>
      <c r="E66" s="195">
        <v>8.81</v>
      </c>
      <c r="F66" s="61"/>
      <c r="G66" s="200"/>
      <c r="H66" s="63"/>
      <c r="I66" s="63"/>
      <c r="K66" s="63"/>
      <c r="L66" s="63"/>
    </row>
    <row r="67" spans="1:12" ht="12.75">
      <c r="A67" s="30" t="s">
        <v>152</v>
      </c>
      <c r="B67" s="195">
        <v>39.17</v>
      </c>
      <c r="C67" s="195">
        <v>8.95</v>
      </c>
      <c r="D67" s="195">
        <v>39.82</v>
      </c>
      <c r="E67" s="195">
        <v>9.02</v>
      </c>
      <c r="F67" s="61"/>
      <c r="G67" s="208">
        <f>38.551779+1.265541</f>
        <v>39.81732</v>
      </c>
      <c r="H67" s="205">
        <f>8.808719+0.21585</f>
        <v>9.024569</v>
      </c>
      <c r="I67" s="63"/>
      <c r="L67" s="63"/>
    </row>
    <row r="68" spans="1:12" ht="12.75">
      <c r="A68" s="30" t="s">
        <v>170</v>
      </c>
      <c r="B68" s="195">
        <v>75.14</v>
      </c>
      <c r="C68" s="195">
        <v>37.58</v>
      </c>
      <c r="D68" s="195">
        <v>76.38</v>
      </c>
      <c r="E68" s="195">
        <v>37.87</v>
      </c>
      <c r="F68" s="61"/>
      <c r="G68" s="65"/>
      <c r="H68" s="63"/>
      <c r="I68" s="63"/>
      <c r="K68" s="63"/>
      <c r="L68" s="63"/>
    </row>
    <row r="69" spans="1:12" ht="12.75">
      <c r="A69" s="30" t="s">
        <v>171</v>
      </c>
      <c r="B69" s="195">
        <v>78.23</v>
      </c>
      <c r="C69" s="195">
        <v>41.21</v>
      </c>
      <c r="D69" s="195">
        <v>79.52</v>
      </c>
      <c r="E69" s="195">
        <v>41.53</v>
      </c>
      <c r="F69" s="61"/>
      <c r="G69" s="208">
        <f>76.379729+3.136594</f>
        <v>79.516323</v>
      </c>
      <c r="H69" s="206">
        <f>37.876465+3.659165</f>
        <v>41.535630000000005</v>
      </c>
      <c r="I69" s="63"/>
      <c r="K69" s="63"/>
      <c r="L69" s="63"/>
    </row>
    <row r="70" spans="1:12" ht="12.75">
      <c r="A70" s="30" t="s">
        <v>153</v>
      </c>
      <c r="B70" s="195">
        <v>211.47</v>
      </c>
      <c r="C70" s="195">
        <v>103.25</v>
      </c>
      <c r="D70" s="195">
        <v>214.96</v>
      </c>
      <c r="E70" s="195">
        <v>104.06</v>
      </c>
      <c r="F70" s="61"/>
      <c r="G70" s="199"/>
      <c r="H70" s="63"/>
      <c r="I70" s="63"/>
      <c r="J70" s="63"/>
      <c r="K70" s="63"/>
      <c r="L70" s="63"/>
    </row>
    <row r="71" spans="1:12" ht="12.75">
      <c r="A71" s="30" t="s">
        <v>154</v>
      </c>
      <c r="B71" s="195">
        <v>215.55</v>
      </c>
      <c r="C71" s="195">
        <v>109.17</v>
      </c>
      <c r="D71" s="195">
        <v>219.11</v>
      </c>
      <c r="E71" s="195">
        <v>110.02</v>
      </c>
      <c r="F71" s="61"/>
      <c r="G71" s="205">
        <f>214.956327+4.152401</f>
        <v>219.10872799999999</v>
      </c>
      <c r="H71" s="207">
        <f>104.060062+5.96156</f>
        <v>110.02162200000001</v>
      </c>
      <c r="I71" s="63"/>
      <c r="J71" s="63"/>
      <c r="K71" s="63"/>
      <c r="L71" s="63"/>
    </row>
    <row r="72" spans="1:12" ht="12.75">
      <c r="A72" s="30" t="s">
        <v>201</v>
      </c>
      <c r="B72" s="195">
        <v>481.11</v>
      </c>
      <c r="C72" s="195">
        <v>497.1</v>
      </c>
      <c r="D72" s="195">
        <v>489.05</v>
      </c>
      <c r="E72" s="195">
        <v>500.98</v>
      </c>
      <c r="F72" s="61"/>
      <c r="G72" s="65"/>
      <c r="H72" s="63"/>
      <c r="I72" s="63"/>
      <c r="J72" s="63"/>
      <c r="K72" s="63"/>
      <c r="L72" s="63"/>
    </row>
    <row r="73" spans="1:12" ht="12.75">
      <c r="A73" s="30" t="s">
        <v>202</v>
      </c>
      <c r="B73" s="195">
        <v>499.24</v>
      </c>
      <c r="C73" s="195">
        <v>545.68</v>
      </c>
      <c r="D73" s="195">
        <v>507.48</v>
      </c>
      <c r="E73" s="195">
        <v>549.94</v>
      </c>
      <c r="F73" s="61"/>
      <c r="G73" s="205">
        <f>489.046363+18.431422</f>
        <v>507.477785</v>
      </c>
      <c r="H73" s="207">
        <f>500.976634+48.956744</f>
        <v>549.933378</v>
      </c>
      <c r="I73" s="63"/>
      <c r="J73" s="63"/>
      <c r="K73" s="63"/>
      <c r="L73" s="63"/>
    </row>
    <row r="74" spans="1:12" ht="12.75">
      <c r="A74" s="30" t="s">
        <v>155</v>
      </c>
      <c r="B74" s="195">
        <v>211.47</v>
      </c>
      <c r="C74" s="195">
        <v>103.25</v>
      </c>
      <c r="D74" s="195">
        <v>214.96</v>
      </c>
      <c r="E74" s="195">
        <v>104.06</v>
      </c>
      <c r="F74" s="61"/>
      <c r="G74" s="65"/>
      <c r="H74" s="63"/>
      <c r="I74" s="63"/>
      <c r="J74" s="63"/>
      <c r="K74" s="63"/>
      <c r="L74" s="63"/>
    </row>
    <row r="75" spans="1:12" ht="12.75">
      <c r="A75" s="30" t="s">
        <v>156</v>
      </c>
      <c r="B75" s="195">
        <v>215.55</v>
      </c>
      <c r="C75" s="195">
        <v>109.17</v>
      </c>
      <c r="D75" s="195">
        <v>219.11</v>
      </c>
      <c r="E75" s="195">
        <v>110.02</v>
      </c>
      <c r="F75" s="61"/>
      <c r="G75" s="205">
        <f>214.956327+4.152401</f>
        <v>219.10872799999999</v>
      </c>
      <c r="H75" s="207">
        <f>104.060062+5.96156</f>
        <v>110.02162200000001</v>
      </c>
      <c r="I75" s="63"/>
      <c r="J75" s="63"/>
      <c r="K75" s="63"/>
      <c r="L75" s="63"/>
    </row>
    <row r="76" spans="1:12" ht="12.75">
      <c r="A76" s="30" t="s">
        <v>172</v>
      </c>
      <c r="B76" s="195">
        <v>211.47</v>
      </c>
      <c r="C76" s="195">
        <v>103.25</v>
      </c>
      <c r="D76" s="195">
        <v>214.96</v>
      </c>
      <c r="E76" s="195">
        <v>104.06</v>
      </c>
      <c r="F76" s="61"/>
      <c r="G76" s="65"/>
      <c r="H76" s="63"/>
      <c r="I76" s="63"/>
      <c r="J76" s="63"/>
      <c r="K76" s="63"/>
      <c r="L76" s="63"/>
    </row>
    <row r="77" spans="1:12" ht="12.75">
      <c r="A77" s="30" t="s">
        <v>173</v>
      </c>
      <c r="B77" s="195">
        <v>215.55</v>
      </c>
      <c r="C77" s="195">
        <v>109.17</v>
      </c>
      <c r="D77" s="195">
        <v>219.11</v>
      </c>
      <c r="E77" s="195">
        <v>110.02</v>
      </c>
      <c r="F77" s="61"/>
      <c r="G77" s="205">
        <f>214.956327+4.152401</f>
        <v>219.10872799999999</v>
      </c>
      <c r="H77" s="207">
        <f>104.060062+5.96156</f>
        <v>110.02162200000001</v>
      </c>
      <c r="I77" s="63"/>
      <c r="J77" s="63"/>
      <c r="K77" s="63"/>
      <c r="L77" s="63"/>
    </row>
    <row r="78" spans="1:12" ht="12.75">
      <c r="A78" s="30" t="s">
        <v>157</v>
      </c>
      <c r="B78" s="96">
        <v>9.55</v>
      </c>
      <c r="C78" s="96">
        <v>5.27</v>
      </c>
      <c r="D78" s="195">
        <v>9.71</v>
      </c>
      <c r="E78" s="195">
        <v>5.31</v>
      </c>
      <c r="F78" s="60"/>
      <c r="H78" s="63"/>
      <c r="I78" s="63"/>
      <c r="J78" s="63"/>
      <c r="K78" s="63"/>
      <c r="L78" s="63"/>
    </row>
    <row r="79" spans="1:12" ht="12.75">
      <c r="A79" s="30" t="s">
        <v>158</v>
      </c>
      <c r="B79" s="96">
        <v>5.84</v>
      </c>
      <c r="C79" s="96">
        <v>2.15</v>
      </c>
      <c r="D79" s="195">
        <v>5.94</v>
      </c>
      <c r="E79" s="195">
        <v>2.17</v>
      </c>
      <c r="F79" s="60"/>
      <c r="G79" s="63"/>
      <c r="H79" s="63"/>
      <c r="I79" s="63"/>
      <c r="J79" s="63"/>
      <c r="K79" s="63"/>
      <c r="L79" s="63"/>
    </row>
    <row r="80" spans="1:12" ht="12.75">
      <c r="A80" s="30" t="s">
        <v>159</v>
      </c>
      <c r="B80" s="96">
        <v>3.67</v>
      </c>
      <c r="C80" s="96">
        <v>1.36</v>
      </c>
      <c r="D80" s="195">
        <v>3.73</v>
      </c>
      <c r="E80" s="195">
        <v>1.37</v>
      </c>
      <c r="F80" s="60"/>
      <c r="G80" s="63"/>
      <c r="H80" s="63"/>
      <c r="I80" s="63"/>
      <c r="J80" s="63"/>
      <c r="K80" s="63"/>
      <c r="L80" s="63"/>
    </row>
    <row r="81" spans="1:12" ht="12.75">
      <c r="A81" s="30" t="s">
        <v>160</v>
      </c>
      <c r="B81" s="96">
        <v>9.12</v>
      </c>
      <c r="C81" s="96">
        <v>3.36</v>
      </c>
      <c r="D81" s="195">
        <v>9.27</v>
      </c>
      <c r="E81" s="195">
        <v>3.39</v>
      </c>
      <c r="F81" s="60"/>
      <c r="G81" s="63"/>
      <c r="H81" s="63"/>
      <c r="I81" s="63"/>
      <c r="J81" s="63"/>
      <c r="K81" s="63"/>
      <c r="L81" s="63"/>
    </row>
    <row r="82" spans="1:5" ht="12.75">
      <c r="A82" s="30" t="s">
        <v>161</v>
      </c>
      <c r="B82" s="96">
        <v>0.63</v>
      </c>
      <c r="C82" s="96">
        <v>0.561</v>
      </c>
      <c r="D82" s="195">
        <v>0.64</v>
      </c>
      <c r="E82" s="196">
        <v>0.57</v>
      </c>
    </row>
    <row r="83" spans="1:5" ht="12.75">
      <c r="A83" s="30" t="s">
        <v>162</v>
      </c>
      <c r="B83" s="96">
        <v>6.92</v>
      </c>
      <c r="C83" s="96">
        <v>1.95</v>
      </c>
      <c r="D83" s="195">
        <v>7.03</v>
      </c>
      <c r="E83" s="195">
        <v>1.97</v>
      </c>
    </row>
    <row r="84" spans="1:5" ht="12.75">
      <c r="A84" s="30" t="s">
        <v>199</v>
      </c>
      <c r="B84" s="96">
        <v>234.26</v>
      </c>
      <c r="C84" s="96">
        <v>198.88</v>
      </c>
      <c r="D84" s="195">
        <v>238.13</v>
      </c>
      <c r="E84" s="195">
        <v>200.43</v>
      </c>
    </row>
    <row r="85" spans="1:5" ht="12.75">
      <c r="A85" s="30" t="s">
        <v>200</v>
      </c>
      <c r="B85" s="96">
        <v>199.18</v>
      </c>
      <c r="C85" s="96">
        <v>627.24</v>
      </c>
      <c r="D85" s="195">
        <v>202.47</v>
      </c>
      <c r="E85" s="195">
        <v>632.13</v>
      </c>
    </row>
    <row r="86" spans="1:5" ht="12.75">
      <c r="A86" s="30" t="s">
        <v>163</v>
      </c>
      <c r="B86" s="97">
        <v>0.413</v>
      </c>
      <c r="C86" s="97">
        <v>0.085</v>
      </c>
      <c r="D86" s="197">
        <v>0.413</v>
      </c>
      <c r="E86" s="197">
        <v>0.085</v>
      </c>
    </row>
    <row r="87" spans="1:5" ht="12.75">
      <c r="A87" s="30" t="s">
        <v>164</v>
      </c>
      <c r="B87" s="97">
        <v>0.463</v>
      </c>
      <c r="C87" s="97">
        <v>0.108</v>
      </c>
      <c r="D87" s="197">
        <v>0.463</v>
      </c>
      <c r="E87" s="197">
        <v>0.108</v>
      </c>
    </row>
    <row r="88" spans="1:5" ht="12.75">
      <c r="A88" s="30" t="s">
        <v>190</v>
      </c>
      <c r="B88" s="97">
        <v>0.849</v>
      </c>
      <c r="C88" s="97">
        <v>0.17</v>
      </c>
      <c r="D88" s="197">
        <v>0.849</v>
      </c>
      <c r="E88" s="197">
        <v>0.17</v>
      </c>
    </row>
    <row r="89" spans="1:5" ht="12.75">
      <c r="A89" s="30" t="s">
        <v>165</v>
      </c>
      <c r="B89" s="97">
        <v>0.849</v>
      </c>
      <c r="C89" s="97">
        <v>0.17</v>
      </c>
      <c r="D89" s="197">
        <v>0.849</v>
      </c>
      <c r="E89" s="197">
        <v>0.17</v>
      </c>
    </row>
    <row r="91" ht="12.75">
      <c r="A91" s="59"/>
    </row>
  </sheetData>
  <sheetProtection password="CDFB" sheet="1" objects="1" scenarios="1"/>
  <printOptions/>
  <pageMargins left="0.75" right="0.75" top="1" bottom="1" header="0.5" footer="0.5"/>
  <pageSetup fitToHeight="1" fitToWidth="1" horizontalDpi="300" verticalDpi="300" orientation="portrait" paperSize="9" scale="60" r:id="rId1"/>
  <headerFooter alignWithMargins="0">
    <oddFooter>&amp;Rblad 12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1">
    <tabColor indexed="50"/>
    <pageSetUpPr fitToPage="1"/>
  </sheetPr>
  <dimension ref="A1:AW118"/>
  <sheetViews>
    <sheetView view="pageBreakPreview" zoomScale="75" zoomScaleNormal="75" zoomScaleSheetLayoutView="75" workbookViewId="0" topLeftCell="A1">
      <pane xSplit="1" ySplit="8" topLeftCell="J9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M30" sqref="M30"/>
    </sheetView>
  </sheetViews>
  <sheetFormatPr defaultColWidth="9.140625" defaultRowHeight="12.75"/>
  <cols>
    <col min="1" max="1" width="40.140625" style="0" customWidth="1"/>
    <col min="2" max="2" width="9.140625" style="5" customWidth="1"/>
    <col min="3" max="6" width="10.7109375" style="17" customWidth="1"/>
    <col min="7" max="8" width="12.421875" style="17" customWidth="1"/>
    <col min="9" max="10" width="10.7109375" style="80" customWidth="1"/>
    <col min="11" max="16" width="12.140625" style="17" customWidth="1"/>
    <col min="17" max="18" width="15.28125" style="17" customWidth="1"/>
    <col min="20" max="20" width="20.57421875" style="0" bestFit="1" customWidth="1"/>
    <col min="25" max="25" width="9.7109375" style="0" bestFit="1" customWidth="1"/>
  </cols>
  <sheetData>
    <row r="1" spans="1:24" ht="15" customHeight="1">
      <c r="A1" s="223" t="s">
        <v>396</v>
      </c>
      <c r="U1" s="74" t="s">
        <v>214</v>
      </c>
      <c r="V1" s="73"/>
      <c r="W1" s="74" t="s">
        <v>217</v>
      </c>
      <c r="X1" s="73"/>
    </row>
    <row r="2" spans="1:24" ht="15" customHeight="1">
      <c r="A2" s="2"/>
      <c r="U2" s="79" t="s">
        <v>397</v>
      </c>
      <c r="V2" s="73"/>
      <c r="W2" s="79" t="s">
        <v>398</v>
      </c>
      <c r="X2" s="73"/>
    </row>
    <row r="3" spans="2:24" ht="15" customHeight="1">
      <c r="B3" s="56" t="s">
        <v>54</v>
      </c>
      <c r="C3" s="37" t="s">
        <v>10</v>
      </c>
      <c r="D3" s="53" t="s">
        <v>210</v>
      </c>
      <c r="E3" s="37" t="s">
        <v>408</v>
      </c>
      <c r="F3" s="83" t="s">
        <v>210</v>
      </c>
      <c r="G3" s="37" t="s">
        <v>180</v>
      </c>
      <c r="H3" s="53" t="s">
        <v>408</v>
      </c>
      <c r="I3" s="85"/>
      <c r="J3" s="86" t="s">
        <v>393</v>
      </c>
      <c r="K3" s="87"/>
      <c r="L3" s="87"/>
      <c r="M3" s="99" t="s">
        <v>245</v>
      </c>
      <c r="N3" s="372" t="s">
        <v>394</v>
      </c>
      <c r="O3" s="373"/>
      <c r="P3" s="373"/>
      <c r="Q3" s="69"/>
      <c r="R3" s="99" t="s">
        <v>245</v>
      </c>
      <c r="T3" t="s">
        <v>213</v>
      </c>
      <c r="U3" s="5" t="s">
        <v>215</v>
      </c>
      <c r="V3" s="5" t="s">
        <v>216</v>
      </c>
      <c r="W3" s="5" t="s">
        <v>215</v>
      </c>
      <c r="X3" s="5" t="s">
        <v>216</v>
      </c>
    </row>
    <row r="4" spans="2:27" ht="15" customHeight="1">
      <c r="B4" s="57" t="s">
        <v>55</v>
      </c>
      <c r="C4" s="42">
        <v>2004</v>
      </c>
      <c r="D4" s="54">
        <v>2004</v>
      </c>
      <c r="E4" s="54">
        <v>2004</v>
      </c>
      <c r="F4" s="84">
        <v>2005</v>
      </c>
      <c r="G4" s="42">
        <v>2005</v>
      </c>
      <c r="H4" s="54">
        <v>2005</v>
      </c>
      <c r="I4" s="88" t="s">
        <v>218</v>
      </c>
      <c r="J4" s="89"/>
      <c r="K4" s="70" t="s">
        <v>408</v>
      </c>
      <c r="L4" s="98" t="s">
        <v>408</v>
      </c>
      <c r="M4" s="100">
        <v>2004</v>
      </c>
      <c r="N4" s="88" t="s">
        <v>218</v>
      </c>
      <c r="O4" s="89"/>
      <c r="P4" s="70" t="s">
        <v>219</v>
      </c>
      <c r="Q4" s="98" t="s">
        <v>219</v>
      </c>
      <c r="R4" s="100">
        <v>2005</v>
      </c>
      <c r="T4" t="s">
        <v>149</v>
      </c>
      <c r="U4" s="14">
        <f>Blad12!B64</f>
        <v>405.26</v>
      </c>
      <c r="V4" s="14">
        <f>Blad12!C64</f>
        <v>479.62</v>
      </c>
      <c r="W4" s="14">
        <f>Blad12!D64</f>
        <v>411.95</v>
      </c>
      <c r="X4" s="14">
        <f>Blad12!E64</f>
        <v>483.36</v>
      </c>
      <c r="Y4" t="s">
        <v>264</v>
      </c>
      <c r="Z4" s="204">
        <v>1.0165</v>
      </c>
      <c r="AA4" s="204">
        <v>1.0078</v>
      </c>
    </row>
    <row r="5" spans="2:29" ht="15" customHeight="1">
      <c r="B5" s="7" t="s">
        <v>56</v>
      </c>
      <c r="C5" s="39"/>
      <c r="D5" s="39"/>
      <c r="E5" s="39"/>
      <c r="F5" s="39"/>
      <c r="G5" s="198" t="s">
        <v>511</v>
      </c>
      <c r="H5" s="201"/>
      <c r="I5" s="90" t="s">
        <v>108</v>
      </c>
      <c r="J5" s="90" t="s">
        <v>109</v>
      </c>
      <c r="K5" s="91" t="s">
        <v>108</v>
      </c>
      <c r="L5" s="91" t="s">
        <v>109</v>
      </c>
      <c r="M5" s="68"/>
      <c r="N5" s="70" t="s">
        <v>108</v>
      </c>
      <c r="O5" s="69" t="s">
        <v>109</v>
      </c>
      <c r="P5" s="91" t="s">
        <v>108</v>
      </c>
      <c r="Q5" s="91" t="s">
        <v>109</v>
      </c>
      <c r="R5" s="68"/>
      <c r="T5" t="s">
        <v>150</v>
      </c>
      <c r="U5" s="14">
        <f>Blad12!B65</f>
        <v>420.89</v>
      </c>
      <c r="V5" s="14">
        <f>Blad12!C65</f>
        <v>527.77</v>
      </c>
      <c r="W5" s="14">
        <f>Blad12!D65</f>
        <v>427.83</v>
      </c>
      <c r="X5" s="14">
        <f>Blad12!E65</f>
        <v>531.89</v>
      </c>
      <c r="Y5" t="s">
        <v>399</v>
      </c>
      <c r="AB5" s="118">
        <v>1</v>
      </c>
      <c r="AC5" s="118">
        <v>1</v>
      </c>
    </row>
    <row r="6" spans="1:24" ht="15" customHeight="1">
      <c r="A6" s="1"/>
      <c r="B6" s="40"/>
      <c r="C6" s="38"/>
      <c r="D6" s="38"/>
      <c r="E6" s="38"/>
      <c r="F6" s="38"/>
      <c r="G6" s="38"/>
      <c r="H6" s="38"/>
      <c r="I6" s="81"/>
      <c r="J6" s="81"/>
      <c r="K6" s="38"/>
      <c r="L6" s="38"/>
      <c r="M6" s="38"/>
      <c r="N6" s="38"/>
      <c r="O6" s="38"/>
      <c r="P6" s="38"/>
      <c r="Q6" s="38"/>
      <c r="R6" s="38"/>
      <c r="T6" t="s">
        <v>151</v>
      </c>
      <c r="U6" s="14">
        <f>Blad12!B66</f>
        <v>37.93</v>
      </c>
      <c r="V6" s="14">
        <f>Blad12!C66</f>
        <v>8.74</v>
      </c>
      <c r="W6" s="14">
        <f>Blad12!D66</f>
        <v>38.56</v>
      </c>
      <c r="X6" s="14">
        <f>Blad12!E66</f>
        <v>8.81</v>
      </c>
    </row>
    <row r="7" spans="1:24" ht="15" customHeight="1">
      <c r="A7" s="1" t="s">
        <v>407</v>
      </c>
      <c r="B7" s="40"/>
      <c r="D7" s="58"/>
      <c r="F7" s="224"/>
      <c r="L7" s="17" t="s">
        <v>265</v>
      </c>
      <c r="T7" t="s">
        <v>152</v>
      </c>
      <c r="U7" s="14">
        <f>Blad12!B67</f>
        <v>39.17</v>
      </c>
      <c r="V7" s="14">
        <f>Blad12!C67</f>
        <v>8.95</v>
      </c>
      <c r="W7" s="14">
        <f>Blad12!D67</f>
        <v>39.82</v>
      </c>
      <c r="X7" s="14">
        <f>Blad12!E67</f>
        <v>9.02</v>
      </c>
    </row>
    <row r="8" spans="2:24" ht="15" customHeight="1">
      <c r="B8" s="40"/>
      <c r="T8" t="s">
        <v>170</v>
      </c>
      <c r="U8" s="14">
        <f>Blad12!B68</f>
        <v>75.14</v>
      </c>
      <c r="V8" s="14">
        <f>Blad12!C68</f>
        <v>37.58</v>
      </c>
      <c r="W8" s="14">
        <f>Blad12!D68</f>
        <v>76.38</v>
      </c>
      <c r="X8" s="14">
        <f>Blad12!E68</f>
        <v>37.87</v>
      </c>
    </row>
    <row r="9" spans="2:24" ht="15" customHeight="1">
      <c r="B9" s="40"/>
      <c r="K9" s="78"/>
      <c r="T9" t="s">
        <v>171</v>
      </c>
      <c r="U9" s="14">
        <f>Blad12!B69</f>
        <v>78.23</v>
      </c>
      <c r="V9" s="14">
        <f>Blad12!C69</f>
        <v>41.21</v>
      </c>
      <c r="W9" s="14">
        <f>Blad12!D69</f>
        <v>79.52</v>
      </c>
      <c r="X9" s="14">
        <f>Blad12!E69</f>
        <v>41.53</v>
      </c>
    </row>
    <row r="10" spans="1:24" ht="15" customHeight="1">
      <c r="A10" s="104" t="s">
        <v>349</v>
      </c>
      <c r="B10" s="210"/>
      <c r="C10" s="20">
        <f>+Blad10!B37</f>
        <v>0</v>
      </c>
      <c r="D10" s="20">
        <f>Blad10!C37</f>
        <v>0</v>
      </c>
      <c r="E10" s="20">
        <f aca="true" t="shared" si="0" ref="E10:E16">C10-D10</f>
        <v>0</v>
      </c>
      <c r="F10" s="145"/>
      <c r="G10" s="20">
        <f>Blad10!D37</f>
        <v>0</v>
      </c>
      <c r="H10" s="20">
        <f>G10-F10-E10</f>
        <v>0</v>
      </c>
      <c r="I10" s="110"/>
      <c r="J10" s="110"/>
      <c r="K10" s="103"/>
      <c r="L10" s="103"/>
      <c r="M10" s="103"/>
      <c r="N10" s="103"/>
      <c r="O10" s="103"/>
      <c r="P10" s="103"/>
      <c r="Q10" s="103"/>
      <c r="R10" s="103"/>
      <c r="T10" t="s">
        <v>153</v>
      </c>
      <c r="U10" s="14">
        <f>Blad12!B70</f>
        <v>211.47</v>
      </c>
      <c r="V10" s="14">
        <f>Blad12!C70</f>
        <v>103.25</v>
      </c>
      <c r="W10" s="14">
        <f>Blad12!D70</f>
        <v>214.96</v>
      </c>
      <c r="X10" s="14">
        <f>Blad12!E70</f>
        <v>104.06</v>
      </c>
    </row>
    <row r="11" spans="1:24" ht="15" customHeight="1">
      <c r="A11" s="104" t="s">
        <v>350</v>
      </c>
      <c r="B11" s="210"/>
      <c r="C11" s="21">
        <f>Blad10!F37</f>
        <v>0</v>
      </c>
      <c r="D11" s="21">
        <f>Blad10!G37</f>
        <v>0</v>
      </c>
      <c r="E11" s="20">
        <f t="shared" si="0"/>
        <v>0</v>
      </c>
      <c r="F11" s="225"/>
      <c r="G11" s="21">
        <f>Blad10!H37</f>
        <v>0</v>
      </c>
      <c r="H11" s="20">
        <f aca="true" t="shared" si="1" ref="H11:H34">G11-F11-E11</f>
        <v>0</v>
      </c>
      <c r="I11" s="112">
        <f>IF($D$7=0,0,ROUND(IF($D$7&lt;62.5,U4,IF($D$7&gt;=88,U5,U4+($D$7-62.5)/25.5*(U5-U4))),2))</f>
        <v>0</v>
      </c>
      <c r="J11" s="112">
        <f>IF($D$7=0,0,ROUND(IF($D$7&lt;62.5,V4,IF($D$7&gt;=88,V5,V4+($D$7-62.5)/25.5*(V5-V4))),2))</f>
        <v>0</v>
      </c>
      <c r="K11" s="50">
        <f>ROUND($E11*ROUND(I11*$Z$4,2),0)</f>
        <v>0</v>
      </c>
      <c r="L11" s="50">
        <f>ROUND($E11*ROUND(J11*$AA$4,2),0)</f>
        <v>0</v>
      </c>
      <c r="M11" s="50">
        <f>ROUND(C11*ROUND(I11*$Z$4,2),0)+ROUND(C11*ROUND(J11*$AA$4,2),0)</f>
        <v>0</v>
      </c>
      <c r="N11" s="112">
        <f>IF($D$7=0,0,ROUND(IF($D$7&lt;62.5,W4,IF($D$7&gt;=88,W5,W4+($D$7-62.5)/25.5*(W5-W4))),2))</f>
        <v>0</v>
      </c>
      <c r="O11" s="112">
        <f>IF($D$7=0,0,ROUND(IF($D$7&lt;62.5,X4,IF($D$7&gt;=88,X5,X4+($D$7-62.5)/25.5*(X5-X4))),2))</f>
        <v>0</v>
      </c>
      <c r="P11" s="117">
        <f>ROUND(G11*ROUND(N11*$AB$5,2),0)</f>
        <v>0</v>
      </c>
      <c r="Q11" s="20">
        <f>ROUND(G11*ROUND(O11*$AC$5,2),0)</f>
        <v>0</v>
      </c>
      <c r="R11" s="50">
        <f>ROUND(G11*ROUND(N11*$AB$5,2),0)+ROUND(G11*ROUND(O11*$AC$5,2),0)</f>
        <v>0</v>
      </c>
      <c r="T11" t="s">
        <v>154</v>
      </c>
      <c r="U11" s="14">
        <f>Blad12!B71</f>
        <v>215.55</v>
      </c>
      <c r="V11" s="14">
        <f>Blad12!C71</f>
        <v>109.17</v>
      </c>
      <c r="W11" s="14">
        <f>Blad12!D71</f>
        <v>219.11</v>
      </c>
      <c r="X11" s="14">
        <f>Blad12!E71</f>
        <v>110.02</v>
      </c>
    </row>
    <row r="12" spans="1:24" ht="15" customHeight="1">
      <c r="A12" s="104" t="s">
        <v>351</v>
      </c>
      <c r="B12" s="210"/>
      <c r="C12" s="20">
        <f>Blad10!J37</f>
        <v>0</v>
      </c>
      <c r="D12" s="20">
        <f>Blad10!K37</f>
        <v>0</v>
      </c>
      <c r="E12" s="20">
        <f t="shared" si="0"/>
        <v>0</v>
      </c>
      <c r="F12" s="225"/>
      <c r="G12" s="20">
        <f>Blad10!L37</f>
        <v>0</v>
      </c>
      <c r="H12" s="20">
        <f t="shared" si="1"/>
        <v>0</v>
      </c>
      <c r="I12" s="112">
        <f>IF($D$7=0,0,ROUND(IF($D$7&lt;62.5,U6,IF($D$7&gt;=88,U7,U6+($D$7-62.5)/25.5*(U7-U6))),2))</f>
        <v>0</v>
      </c>
      <c r="J12" s="112">
        <f>IF($D$7=0,0,ROUND(IF($D$7&lt;62.5,V6,IF($D$7&gt;=88,V7,V6+($D$7-62.5)/25.5*(V7-V6))),2))</f>
        <v>0</v>
      </c>
      <c r="K12" s="50">
        <f>ROUND($E12*ROUND(I12*$Z$4,2),0)</f>
        <v>0</v>
      </c>
      <c r="L12" s="50">
        <f>ROUND($E12*ROUND(J12*$AA$4,2),0)</f>
        <v>0</v>
      </c>
      <c r="M12" s="50">
        <f>ROUND(C12*ROUND(I12*$Z$4,2),0)+ROUND(C12*ROUND(J12*$AA$4,2),0)</f>
        <v>0</v>
      </c>
      <c r="N12" s="112">
        <f>IF($D$7=0,0,ROUND(IF($D$7&lt;62.5,W6,IF($D$7&gt;=88,W7,W6+($D$7-62.5)/25.5*(W7-W6))),2))</f>
        <v>0</v>
      </c>
      <c r="O12" s="112">
        <f>IF($D$7=0,0,ROUND(IF($D$7&lt;62.5,X6,IF($D$7&gt;=88,X7,X6+($D$7-62.5)/25.5*(X7-X6))),2))</f>
        <v>0</v>
      </c>
      <c r="P12" s="117">
        <f aca="true" t="shared" si="2" ref="P12:P34">ROUND(G12*ROUND(N12*$AB$5,2),0)</f>
        <v>0</v>
      </c>
      <c r="Q12" s="20">
        <f aca="true" t="shared" si="3" ref="Q12:Q34">ROUND(G12*ROUND(O12*$AC$5,2),0)</f>
        <v>0</v>
      </c>
      <c r="R12" s="50">
        <f aca="true" t="shared" si="4" ref="R12:R34">ROUND(G12*ROUND(N12*$AB$5,2),0)+ROUND(G12*ROUND(O12*$AC$5,2),0)</f>
        <v>0</v>
      </c>
      <c r="T12" t="s">
        <v>201</v>
      </c>
      <c r="U12" s="14">
        <f>Blad12!B72</f>
        <v>481.11</v>
      </c>
      <c r="V12" s="14">
        <f>Blad12!C72</f>
        <v>497.1</v>
      </c>
      <c r="W12" s="14">
        <f>Blad12!D72</f>
        <v>489.05</v>
      </c>
      <c r="X12" s="14">
        <f>Blad12!E72</f>
        <v>500.98</v>
      </c>
    </row>
    <row r="13" spans="1:49" ht="15" customHeight="1">
      <c r="A13" s="104" t="s">
        <v>352</v>
      </c>
      <c r="B13" s="210"/>
      <c r="C13" s="20">
        <f>Blad11!B37</f>
        <v>0</v>
      </c>
      <c r="D13" s="20">
        <f>Blad11!C37</f>
        <v>0</v>
      </c>
      <c r="E13" s="20">
        <f t="shared" si="0"/>
        <v>0</v>
      </c>
      <c r="F13" s="145"/>
      <c r="G13" s="20">
        <f>Blad11!D37</f>
        <v>0</v>
      </c>
      <c r="H13" s="20">
        <f t="shared" si="1"/>
        <v>0</v>
      </c>
      <c r="I13" s="110"/>
      <c r="J13" s="110"/>
      <c r="K13" s="103"/>
      <c r="L13" s="103"/>
      <c r="M13" s="103"/>
      <c r="N13" s="103"/>
      <c r="O13" s="103"/>
      <c r="P13" s="103"/>
      <c r="Q13" s="26"/>
      <c r="R13" s="52"/>
      <c r="S13" s="106"/>
      <c r="T13" s="104" t="s">
        <v>202</v>
      </c>
      <c r="U13" s="14">
        <f>Blad12!B73</f>
        <v>499.24</v>
      </c>
      <c r="V13" s="14">
        <f>Blad12!C73</f>
        <v>545.68</v>
      </c>
      <c r="W13" s="14">
        <f>Blad12!D73</f>
        <v>507.48</v>
      </c>
      <c r="X13" s="14">
        <f>Blad12!E73</f>
        <v>549.94</v>
      </c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</row>
    <row r="14" spans="1:24" ht="15" customHeight="1">
      <c r="A14" s="104" t="s">
        <v>353</v>
      </c>
      <c r="B14" s="210"/>
      <c r="C14" s="21">
        <f>Blad11!F37</f>
        <v>0</v>
      </c>
      <c r="D14" s="21">
        <f>Blad11!G37</f>
        <v>0</v>
      </c>
      <c r="E14" s="20">
        <f t="shared" si="0"/>
        <v>0</v>
      </c>
      <c r="F14" s="225"/>
      <c r="G14" s="21">
        <f>Blad11!H37</f>
        <v>0</v>
      </c>
      <c r="H14" s="20">
        <f t="shared" si="1"/>
        <v>0</v>
      </c>
      <c r="I14" s="112">
        <f>IF($D$7=0,0,ROUND(IF($D$7&lt;62.5,U8,IF($D$7&gt;=88,U9,U8+($D$7-62.5)/25.5*(U9-U8))),2))</f>
        <v>0</v>
      </c>
      <c r="J14" s="112">
        <f>IF($D$7=0,0,ROUND(IF($D$7&lt;62.5,V8,IF($D$7&gt;=88,V9,V8+($D$7-62.5)/25.5*(V9-V8))),2))</f>
        <v>0</v>
      </c>
      <c r="K14" s="50">
        <f aca="true" t="shared" si="5" ref="K14:K34">ROUND($E14*ROUND(I14*$Z$4,2),0)</f>
        <v>0</v>
      </c>
      <c r="L14" s="50">
        <f aca="true" t="shared" si="6" ref="L14:L34">ROUND($E14*ROUND(J14*$AA$4,2),0)</f>
        <v>0</v>
      </c>
      <c r="M14" s="50">
        <f aca="true" t="shared" si="7" ref="M14:M34">ROUND(C14*ROUND(I14*$Z$4,2),0)+ROUND(C14*ROUND(J14*$AA$4,2),0)</f>
        <v>0</v>
      </c>
      <c r="N14" s="112">
        <f>IF($D$7=0,0,ROUND(IF($D$7&lt;62.5,W8,IF($D$7&gt;=88,W9,W8+($D$7-62.5)/25.5*(W9-W8))),2))</f>
        <v>0</v>
      </c>
      <c r="O14" s="112">
        <f>IF($D$7=0,0,ROUND(IF($D$7&lt;62.5,X8,IF($D$7&gt;=88,X9,X8+($D$7-62.5)/25.5*(X9-X8))),2))</f>
        <v>0</v>
      </c>
      <c r="P14" s="117">
        <f t="shared" si="2"/>
        <v>0</v>
      </c>
      <c r="Q14" s="20">
        <f t="shared" si="3"/>
        <v>0</v>
      </c>
      <c r="R14" s="50">
        <f t="shared" si="4"/>
        <v>0</v>
      </c>
      <c r="T14" t="s">
        <v>155</v>
      </c>
      <c r="U14" s="14">
        <f>Blad12!B74</f>
        <v>211.47</v>
      </c>
      <c r="V14" s="14">
        <f>Blad12!C74</f>
        <v>103.25</v>
      </c>
      <c r="W14" s="14">
        <f>Blad12!D74</f>
        <v>214.96</v>
      </c>
      <c r="X14" s="14">
        <f>Blad12!E74</f>
        <v>104.06</v>
      </c>
    </row>
    <row r="15" spans="1:24" ht="15" customHeight="1">
      <c r="A15" s="104" t="s">
        <v>354</v>
      </c>
      <c r="B15" s="210"/>
      <c r="C15" s="20">
        <f>Blad11!J37</f>
        <v>0</v>
      </c>
      <c r="D15" s="20">
        <f>Blad11!K37</f>
        <v>0</v>
      </c>
      <c r="E15" s="20">
        <f t="shared" si="0"/>
        <v>0</v>
      </c>
      <c r="F15" s="225"/>
      <c r="G15" s="117">
        <f>Blad11!L37</f>
        <v>0</v>
      </c>
      <c r="H15" s="20">
        <f t="shared" si="1"/>
        <v>0</v>
      </c>
      <c r="I15" s="145">
        <f>IF($D$7=0,0,ROUND(IF($D$7&lt;62.5,U10,IF($D$7&gt;=88,U11,U10+($D$7-62.5)/25.5*(U11-U10))),2))</f>
        <v>0</v>
      </c>
      <c r="J15" s="112">
        <f>IF($D$7=0,0,ROUND(IF($D$7&lt;62.5,V10,IF($D$7&gt;=88,V11,V10+($D$7-62.5)/25.5*(V11-V10))),2))</f>
        <v>0</v>
      </c>
      <c r="K15" s="50">
        <f t="shared" si="5"/>
        <v>0</v>
      </c>
      <c r="L15" s="50">
        <f t="shared" si="6"/>
        <v>0</v>
      </c>
      <c r="M15" s="50">
        <f t="shared" si="7"/>
        <v>0</v>
      </c>
      <c r="N15" s="112">
        <f>IF($D$7=0,0,ROUND(IF($D$7&lt;62.5,W10,IF($D$7&gt;=88,W11,W10+($D$7-62.5)/25.5*(W11-W10))),2))</f>
        <v>0</v>
      </c>
      <c r="O15" s="112">
        <f>IF($D$7=0,0,ROUND(IF($D$7&lt;62.5,X10,IF($D$7&gt;=88,X11,X10+($D$7-62.5)/25.5*(X11-X10))),2))</f>
        <v>0</v>
      </c>
      <c r="P15" s="117">
        <f t="shared" si="2"/>
        <v>0</v>
      </c>
      <c r="Q15" s="20">
        <f t="shared" si="3"/>
        <v>0</v>
      </c>
      <c r="R15" s="50">
        <f t="shared" si="4"/>
        <v>0</v>
      </c>
      <c r="T15" t="s">
        <v>156</v>
      </c>
      <c r="U15" s="14">
        <f>Blad12!B75</f>
        <v>215.55</v>
      </c>
      <c r="V15" s="14">
        <f>Blad12!C75</f>
        <v>109.17</v>
      </c>
      <c r="W15" s="14">
        <f>Blad12!D75</f>
        <v>219.11</v>
      </c>
      <c r="X15" s="14">
        <f>Blad12!E75</f>
        <v>110.02</v>
      </c>
    </row>
    <row r="16" spans="1:24" ht="15" customHeight="1">
      <c r="A16" s="104" t="s">
        <v>355</v>
      </c>
      <c r="B16" s="210"/>
      <c r="C16" s="20">
        <f>Blad11!M37</f>
        <v>0</v>
      </c>
      <c r="D16" s="20">
        <f>Blad11!N37</f>
        <v>0</v>
      </c>
      <c r="E16" s="20">
        <f t="shared" si="0"/>
        <v>0</v>
      </c>
      <c r="F16" s="225"/>
      <c r="G16" s="20">
        <f>Blad11!O37</f>
        <v>0</v>
      </c>
      <c r="H16" s="20">
        <f t="shared" si="1"/>
        <v>0</v>
      </c>
      <c r="I16" s="112">
        <f>IF($D$7=0,0,ROUND(IF($D$7&lt;62.5,U12,IF($D$7&gt;=88,U13,U12+($D$7-62.5)/25.5*(U13-U12))),2))</f>
        <v>0</v>
      </c>
      <c r="J16" s="112">
        <f>IF($D$7=0,0,ROUND(IF($D$7&lt;62.5,V12,IF($D$7&gt;=88,V13,V12+($D$7-62.5)/25.5*(V13-V12))),2))</f>
        <v>0</v>
      </c>
      <c r="K16" s="50">
        <f t="shared" si="5"/>
        <v>0</v>
      </c>
      <c r="L16" s="50">
        <f t="shared" si="6"/>
        <v>0</v>
      </c>
      <c r="M16" s="50">
        <f t="shared" si="7"/>
        <v>0</v>
      </c>
      <c r="N16" s="112">
        <f>IF($D$7=0,0,ROUND(IF($D$7&lt;62.5,W12,IF($D$7&gt;=88,W13,W12+($D$7-62.5)/25.5*(W13-W12))),2))</f>
        <v>0</v>
      </c>
      <c r="O16" s="112">
        <f>IF($D$7=0,0,ROUND(IF($D$7&lt;62.5,X12,IF($D$7&gt;=88,X13,X12+($D$7-62.5)/25.5*(X13-X12))),2))</f>
        <v>0</v>
      </c>
      <c r="P16" s="117">
        <f t="shared" si="2"/>
        <v>0</v>
      </c>
      <c r="Q16" s="20">
        <f t="shared" si="3"/>
        <v>0</v>
      </c>
      <c r="R16" s="50">
        <f t="shared" si="4"/>
        <v>0</v>
      </c>
      <c r="T16" t="s">
        <v>172</v>
      </c>
      <c r="U16" s="14">
        <f>Blad12!B76</f>
        <v>211.47</v>
      </c>
      <c r="V16" s="14">
        <f>Blad12!C76</f>
        <v>103.25</v>
      </c>
      <c r="W16" s="14">
        <f>Blad12!D76</f>
        <v>214.96</v>
      </c>
      <c r="X16" s="14">
        <f>Blad12!E76</f>
        <v>104.06</v>
      </c>
    </row>
    <row r="17" spans="1:26" ht="15" customHeight="1">
      <c r="A17" s="104" t="s">
        <v>356</v>
      </c>
      <c r="B17" s="209" t="s">
        <v>124</v>
      </c>
      <c r="C17" s="58"/>
      <c r="D17" s="58"/>
      <c r="E17" s="20">
        <f aca="true" t="shared" si="8" ref="E17:E31">C17-D17</f>
        <v>0</v>
      </c>
      <c r="F17" s="225"/>
      <c r="G17" s="58"/>
      <c r="H17" s="20">
        <f t="shared" si="1"/>
        <v>0</v>
      </c>
      <c r="I17" s="77">
        <f>Blad12!B36</f>
        <v>0</v>
      </c>
      <c r="J17" s="92">
        <f>Blad12!C36</f>
        <v>4768.11</v>
      </c>
      <c r="K17" s="50">
        <f t="shared" si="5"/>
        <v>0</v>
      </c>
      <c r="L17" s="50">
        <f t="shared" si="6"/>
        <v>0</v>
      </c>
      <c r="M17" s="50">
        <f t="shared" si="7"/>
        <v>0</v>
      </c>
      <c r="N17" s="77">
        <f>Blad12!D36</f>
        <v>0</v>
      </c>
      <c r="O17" s="92">
        <f>Blad12!E36</f>
        <v>4805.3</v>
      </c>
      <c r="P17" s="117">
        <f t="shared" si="2"/>
        <v>0</v>
      </c>
      <c r="Q17" s="20">
        <f t="shared" si="3"/>
        <v>0</v>
      </c>
      <c r="R17" s="50">
        <f t="shared" si="4"/>
        <v>0</v>
      </c>
      <c r="T17" t="s">
        <v>173</v>
      </c>
      <c r="U17" s="14">
        <f>Blad12!B77</f>
        <v>215.55</v>
      </c>
      <c r="V17" s="14">
        <f>Blad12!C77</f>
        <v>109.17</v>
      </c>
      <c r="W17" s="14">
        <f>Blad12!D77</f>
        <v>219.11</v>
      </c>
      <c r="X17" s="14">
        <f>Blad12!E77</f>
        <v>110.02</v>
      </c>
      <c r="Z17" t="s">
        <v>265</v>
      </c>
    </row>
    <row r="18" spans="1:24" ht="15" customHeight="1">
      <c r="A18" s="104" t="s">
        <v>357</v>
      </c>
      <c r="B18" s="209" t="s">
        <v>125</v>
      </c>
      <c r="C18" s="58"/>
      <c r="D18" s="58"/>
      <c r="E18" s="20">
        <f t="shared" si="8"/>
        <v>0</v>
      </c>
      <c r="F18" s="225"/>
      <c r="G18" s="58"/>
      <c r="H18" s="20">
        <f t="shared" si="1"/>
        <v>0</v>
      </c>
      <c r="I18" s="77">
        <f>Blad12!B37</f>
        <v>0</v>
      </c>
      <c r="J18" s="92">
        <f>Blad12!C37</f>
        <v>2944.5</v>
      </c>
      <c r="K18" s="50">
        <f t="shared" si="5"/>
        <v>0</v>
      </c>
      <c r="L18" s="50">
        <f t="shared" si="6"/>
        <v>0</v>
      </c>
      <c r="M18" s="50">
        <f t="shared" si="7"/>
        <v>0</v>
      </c>
      <c r="N18" s="77">
        <f>Blad12!D37</f>
        <v>0</v>
      </c>
      <c r="O18" s="92">
        <f>Blad12!E37</f>
        <v>2967.47</v>
      </c>
      <c r="P18" s="117">
        <f t="shared" si="2"/>
        <v>0</v>
      </c>
      <c r="Q18" s="20">
        <f t="shared" si="3"/>
        <v>0</v>
      </c>
      <c r="R18" s="50">
        <f t="shared" si="4"/>
        <v>0</v>
      </c>
      <c r="T18" t="s">
        <v>159</v>
      </c>
      <c r="U18" s="14">
        <f>Blad12!B80</f>
        <v>3.67</v>
      </c>
      <c r="V18" s="14">
        <f>Blad12!C80</f>
        <v>1.36</v>
      </c>
      <c r="W18" s="14">
        <f>Blad12!D80</f>
        <v>3.73</v>
      </c>
      <c r="X18" s="14">
        <f>Blad12!E80</f>
        <v>1.37</v>
      </c>
    </row>
    <row r="19" spans="1:24" ht="15" customHeight="1">
      <c r="A19" s="104" t="s">
        <v>358</v>
      </c>
      <c r="B19" s="209" t="s">
        <v>11</v>
      </c>
      <c r="C19" s="58"/>
      <c r="D19" s="58"/>
      <c r="E19" s="20">
        <f t="shared" si="8"/>
        <v>0</v>
      </c>
      <c r="F19" s="225"/>
      <c r="G19" s="58"/>
      <c r="H19" s="20">
        <f t="shared" si="1"/>
        <v>0</v>
      </c>
      <c r="I19" s="92">
        <f>Blad12!B52</f>
        <v>171.49</v>
      </c>
      <c r="J19" s="92">
        <f>Blad12!C52</f>
        <v>135.49</v>
      </c>
      <c r="K19" s="50">
        <f t="shared" si="5"/>
        <v>0</v>
      </c>
      <c r="L19" s="50">
        <f t="shared" si="6"/>
        <v>0</v>
      </c>
      <c r="M19" s="50">
        <f t="shared" si="7"/>
        <v>0</v>
      </c>
      <c r="N19" s="92">
        <f>Blad12!D52</f>
        <v>174.32</v>
      </c>
      <c r="O19" s="92">
        <f>Blad12!E52</f>
        <v>136.55</v>
      </c>
      <c r="P19" s="117">
        <f t="shared" si="2"/>
        <v>0</v>
      </c>
      <c r="Q19" s="20">
        <f t="shared" si="3"/>
        <v>0</v>
      </c>
      <c r="R19" s="50">
        <f t="shared" si="4"/>
        <v>0</v>
      </c>
      <c r="T19" t="s">
        <v>160</v>
      </c>
      <c r="U19" s="14">
        <f>Blad12!B81</f>
        <v>9.12</v>
      </c>
      <c r="V19" s="14">
        <f>Blad12!C81</f>
        <v>3.36</v>
      </c>
      <c r="W19" s="14">
        <f>Blad12!D81</f>
        <v>9.27</v>
      </c>
      <c r="X19" s="14">
        <f>Blad12!E81</f>
        <v>3.39</v>
      </c>
    </row>
    <row r="20" spans="1:18" ht="15" customHeight="1">
      <c r="A20" s="104" t="s">
        <v>359</v>
      </c>
      <c r="B20" s="209" t="s">
        <v>13</v>
      </c>
      <c r="C20" s="58"/>
      <c r="D20" s="58"/>
      <c r="E20" s="20">
        <f t="shared" si="8"/>
        <v>0</v>
      </c>
      <c r="F20" s="225"/>
      <c r="G20" s="58"/>
      <c r="H20" s="20">
        <f t="shared" si="1"/>
        <v>0</v>
      </c>
      <c r="I20" s="92">
        <f>Blad12!B53</f>
        <v>17.51</v>
      </c>
      <c r="J20" s="92">
        <f>Blad12!C53</f>
        <v>79.26</v>
      </c>
      <c r="K20" s="50">
        <f t="shared" si="5"/>
        <v>0</v>
      </c>
      <c r="L20" s="50">
        <f t="shared" si="6"/>
        <v>0</v>
      </c>
      <c r="M20" s="50">
        <f t="shared" si="7"/>
        <v>0</v>
      </c>
      <c r="N20" s="92">
        <f>Blad12!D53</f>
        <v>17.8</v>
      </c>
      <c r="O20" s="92">
        <f>Blad12!E53</f>
        <v>79.88</v>
      </c>
      <c r="P20" s="117">
        <f t="shared" si="2"/>
        <v>0</v>
      </c>
      <c r="Q20" s="20">
        <f t="shared" si="3"/>
        <v>0</v>
      </c>
      <c r="R20" s="50">
        <f t="shared" si="4"/>
        <v>0</v>
      </c>
    </row>
    <row r="21" spans="1:18" ht="15" customHeight="1">
      <c r="A21" s="104" t="s">
        <v>360</v>
      </c>
      <c r="B21" s="209" t="s">
        <v>14</v>
      </c>
      <c r="C21" s="58"/>
      <c r="D21" s="58"/>
      <c r="E21" s="20">
        <f t="shared" si="8"/>
        <v>0</v>
      </c>
      <c r="F21" s="225"/>
      <c r="G21" s="58"/>
      <c r="H21" s="20">
        <f t="shared" si="1"/>
        <v>0</v>
      </c>
      <c r="I21" s="92">
        <f>Blad12!B54</f>
        <v>171.49</v>
      </c>
      <c r="J21" s="92">
        <f>Blad12!C54</f>
        <v>195</v>
      </c>
      <c r="K21" s="50">
        <f t="shared" si="5"/>
        <v>0</v>
      </c>
      <c r="L21" s="50">
        <f t="shared" si="6"/>
        <v>0</v>
      </c>
      <c r="M21" s="50">
        <f t="shared" si="7"/>
        <v>0</v>
      </c>
      <c r="N21" s="92">
        <f>Blad12!D54</f>
        <v>174.32</v>
      </c>
      <c r="O21" s="92">
        <f>Blad12!E54</f>
        <v>196.52</v>
      </c>
      <c r="P21" s="117">
        <f t="shared" si="2"/>
        <v>0</v>
      </c>
      <c r="Q21" s="20">
        <f t="shared" si="3"/>
        <v>0</v>
      </c>
      <c r="R21" s="50">
        <f t="shared" si="4"/>
        <v>0</v>
      </c>
    </row>
    <row r="22" spans="1:18" ht="15" customHeight="1">
      <c r="A22" s="104" t="s">
        <v>361</v>
      </c>
      <c r="B22" s="209" t="s">
        <v>48</v>
      </c>
      <c r="C22" s="58"/>
      <c r="D22" s="58"/>
      <c r="E22" s="20">
        <f t="shared" si="8"/>
        <v>0</v>
      </c>
      <c r="F22" s="225"/>
      <c r="G22" s="58"/>
      <c r="H22" s="20">
        <f t="shared" si="1"/>
        <v>0</v>
      </c>
      <c r="I22" s="92">
        <f>Blad12!B55</f>
        <v>17.51</v>
      </c>
      <c r="J22" s="92">
        <f>Blad12!C55</f>
        <v>99.52</v>
      </c>
      <c r="K22" s="50">
        <f t="shared" si="5"/>
        <v>0</v>
      </c>
      <c r="L22" s="50">
        <f t="shared" si="6"/>
        <v>0</v>
      </c>
      <c r="M22" s="50">
        <f t="shared" si="7"/>
        <v>0</v>
      </c>
      <c r="N22" s="92">
        <f>Blad12!D55</f>
        <v>17.8</v>
      </c>
      <c r="O22" s="92">
        <f>Blad12!E55</f>
        <v>100.3</v>
      </c>
      <c r="P22" s="117">
        <f t="shared" si="2"/>
        <v>0</v>
      </c>
      <c r="Q22" s="20">
        <f t="shared" si="3"/>
        <v>0</v>
      </c>
      <c r="R22" s="50">
        <f t="shared" si="4"/>
        <v>0</v>
      </c>
    </row>
    <row r="23" spans="1:18" ht="15" customHeight="1">
      <c r="A23" s="104" t="s">
        <v>362</v>
      </c>
      <c r="B23" s="209" t="s">
        <v>47</v>
      </c>
      <c r="C23" s="58"/>
      <c r="D23" s="58"/>
      <c r="E23" s="20">
        <f t="shared" si="8"/>
        <v>0</v>
      </c>
      <c r="F23" s="225"/>
      <c r="G23" s="58"/>
      <c r="H23" s="20">
        <f t="shared" si="1"/>
        <v>0</v>
      </c>
      <c r="I23" s="92">
        <f>Blad12!B56</f>
        <v>104.35</v>
      </c>
      <c r="J23" s="92">
        <f>Blad12!C56</f>
        <v>110.16</v>
      </c>
      <c r="K23" s="50">
        <f t="shared" si="5"/>
        <v>0</v>
      </c>
      <c r="L23" s="50">
        <f t="shared" si="6"/>
        <v>0</v>
      </c>
      <c r="M23" s="50">
        <f t="shared" si="7"/>
        <v>0</v>
      </c>
      <c r="N23" s="92">
        <f>Blad12!D56</f>
        <v>106.07</v>
      </c>
      <c r="O23" s="92">
        <f>Blad12!E56</f>
        <v>111.02</v>
      </c>
      <c r="P23" s="117">
        <f t="shared" si="2"/>
        <v>0</v>
      </c>
      <c r="Q23" s="20">
        <f t="shared" si="3"/>
        <v>0</v>
      </c>
      <c r="R23" s="50">
        <f t="shared" si="4"/>
        <v>0</v>
      </c>
    </row>
    <row r="24" spans="1:18" ht="15" customHeight="1">
      <c r="A24" s="104" t="s">
        <v>363</v>
      </c>
      <c r="B24" s="209" t="s">
        <v>49</v>
      </c>
      <c r="C24" s="58"/>
      <c r="D24" s="58"/>
      <c r="E24" s="20">
        <f t="shared" si="8"/>
        <v>0</v>
      </c>
      <c r="F24" s="225"/>
      <c r="G24" s="58"/>
      <c r="H24" s="20">
        <f t="shared" si="1"/>
        <v>0</v>
      </c>
      <c r="I24" s="92">
        <f>Blad12!B57</f>
        <v>104.35</v>
      </c>
      <c r="J24" s="92">
        <f>Blad12!C57</f>
        <v>170.95</v>
      </c>
      <c r="K24" s="50">
        <f t="shared" si="5"/>
        <v>0</v>
      </c>
      <c r="L24" s="50">
        <f t="shared" si="6"/>
        <v>0</v>
      </c>
      <c r="M24" s="50">
        <f t="shared" si="7"/>
        <v>0</v>
      </c>
      <c r="N24" s="92">
        <f>Blad12!D57</f>
        <v>106.07</v>
      </c>
      <c r="O24" s="92">
        <f>Blad12!E57</f>
        <v>172.28</v>
      </c>
      <c r="P24" s="117">
        <f t="shared" si="2"/>
        <v>0</v>
      </c>
      <c r="Q24" s="20">
        <f t="shared" si="3"/>
        <v>0</v>
      </c>
      <c r="R24" s="50">
        <f t="shared" si="4"/>
        <v>0</v>
      </c>
    </row>
    <row r="25" spans="1:18" ht="15" customHeight="1">
      <c r="A25" s="104" t="s">
        <v>364</v>
      </c>
      <c r="B25" s="209" t="s">
        <v>50</v>
      </c>
      <c r="C25" s="58"/>
      <c r="D25" s="58"/>
      <c r="E25" s="20">
        <f t="shared" si="8"/>
        <v>0</v>
      </c>
      <c r="F25" s="225"/>
      <c r="G25" s="58"/>
      <c r="H25" s="20">
        <f t="shared" si="1"/>
        <v>0</v>
      </c>
      <c r="I25" s="92">
        <f>Blad12!B58</f>
        <v>244.66</v>
      </c>
      <c r="J25" s="92">
        <f>Blad12!C58</f>
        <v>110.16</v>
      </c>
      <c r="K25" s="50">
        <f t="shared" si="5"/>
        <v>0</v>
      </c>
      <c r="L25" s="50">
        <f t="shared" si="6"/>
        <v>0</v>
      </c>
      <c r="M25" s="50">
        <f t="shared" si="7"/>
        <v>0</v>
      </c>
      <c r="N25" s="92">
        <f>Blad12!D58</f>
        <v>248.7</v>
      </c>
      <c r="O25" s="92">
        <f>Blad12!E58</f>
        <v>111.02</v>
      </c>
      <c r="P25" s="117">
        <f t="shared" si="2"/>
        <v>0</v>
      </c>
      <c r="Q25" s="20">
        <f t="shared" si="3"/>
        <v>0</v>
      </c>
      <c r="R25" s="50">
        <f t="shared" si="4"/>
        <v>0</v>
      </c>
    </row>
    <row r="26" spans="1:18" ht="15" customHeight="1">
      <c r="A26" s="104" t="s">
        <v>365</v>
      </c>
      <c r="B26" s="209" t="s">
        <v>51</v>
      </c>
      <c r="C26" s="58"/>
      <c r="D26" s="58"/>
      <c r="E26" s="20">
        <f t="shared" si="8"/>
        <v>0</v>
      </c>
      <c r="F26" s="225"/>
      <c r="G26" s="58"/>
      <c r="H26" s="20">
        <f t="shared" si="1"/>
        <v>0</v>
      </c>
      <c r="I26" s="92">
        <f>Blad12!B59</f>
        <v>244.66</v>
      </c>
      <c r="J26" s="92">
        <f>Blad12!C59</f>
        <v>170.95</v>
      </c>
      <c r="K26" s="50">
        <f t="shared" si="5"/>
        <v>0</v>
      </c>
      <c r="L26" s="50">
        <f t="shared" si="6"/>
        <v>0</v>
      </c>
      <c r="M26" s="50">
        <f t="shared" si="7"/>
        <v>0</v>
      </c>
      <c r="N26" s="92">
        <f>Blad12!D59</f>
        <v>248.7</v>
      </c>
      <c r="O26" s="92">
        <f>Blad12!E59</f>
        <v>172.28</v>
      </c>
      <c r="P26" s="117">
        <f t="shared" si="2"/>
        <v>0</v>
      </c>
      <c r="Q26" s="20">
        <f t="shared" si="3"/>
        <v>0</v>
      </c>
      <c r="R26" s="50">
        <f t="shared" si="4"/>
        <v>0</v>
      </c>
    </row>
    <row r="27" spans="1:18" ht="15" customHeight="1">
      <c r="A27" s="104" t="s">
        <v>366</v>
      </c>
      <c r="B27" s="209" t="s">
        <v>52</v>
      </c>
      <c r="C27" s="58"/>
      <c r="D27" s="58"/>
      <c r="E27" s="20">
        <f t="shared" si="8"/>
        <v>0</v>
      </c>
      <c r="F27" s="225"/>
      <c r="G27" s="58"/>
      <c r="H27" s="20">
        <f t="shared" si="1"/>
        <v>0</v>
      </c>
      <c r="I27" s="92">
        <f>Blad12!B60</f>
        <v>17.51</v>
      </c>
      <c r="J27" s="92">
        <f>Blad12!C60</f>
        <v>88.94</v>
      </c>
      <c r="K27" s="50">
        <f t="shared" si="5"/>
        <v>0</v>
      </c>
      <c r="L27" s="50">
        <f t="shared" si="6"/>
        <v>0</v>
      </c>
      <c r="M27" s="50">
        <f t="shared" si="7"/>
        <v>0</v>
      </c>
      <c r="N27" s="92">
        <f>Blad12!D60</f>
        <v>17.8</v>
      </c>
      <c r="O27" s="92">
        <f>Blad12!E60</f>
        <v>89.63</v>
      </c>
      <c r="P27" s="117">
        <f t="shared" si="2"/>
        <v>0</v>
      </c>
      <c r="Q27" s="20">
        <f t="shared" si="3"/>
        <v>0</v>
      </c>
      <c r="R27" s="50">
        <f t="shared" si="4"/>
        <v>0</v>
      </c>
    </row>
    <row r="28" spans="1:18" ht="15" customHeight="1">
      <c r="A28" s="104" t="s">
        <v>367</v>
      </c>
      <c r="B28" s="209" t="s">
        <v>53</v>
      </c>
      <c r="C28" s="58"/>
      <c r="D28" s="58"/>
      <c r="E28" s="20">
        <f t="shared" si="8"/>
        <v>0</v>
      </c>
      <c r="F28" s="225"/>
      <c r="G28" s="58"/>
      <c r="H28" s="20">
        <f t="shared" si="1"/>
        <v>0</v>
      </c>
      <c r="I28" s="92">
        <f>Blad12!B61</f>
        <v>17.51</v>
      </c>
      <c r="J28" s="92">
        <f>Blad12!C61</f>
        <v>109.19</v>
      </c>
      <c r="K28" s="50">
        <f t="shared" si="5"/>
        <v>0</v>
      </c>
      <c r="L28" s="50">
        <f t="shared" si="6"/>
        <v>0</v>
      </c>
      <c r="M28" s="50">
        <f t="shared" si="7"/>
        <v>0</v>
      </c>
      <c r="N28" s="92">
        <f>Blad12!D61</f>
        <v>17.8</v>
      </c>
      <c r="O28" s="92">
        <f>Blad12!E61</f>
        <v>110.04</v>
      </c>
      <c r="P28" s="117">
        <f t="shared" si="2"/>
        <v>0</v>
      </c>
      <c r="Q28" s="20">
        <f t="shared" si="3"/>
        <v>0</v>
      </c>
      <c r="R28" s="50">
        <f t="shared" si="4"/>
        <v>0</v>
      </c>
    </row>
    <row r="29" spans="1:18" ht="15" customHeight="1">
      <c r="A29" s="104" t="s">
        <v>18</v>
      </c>
      <c r="B29" s="209" t="s">
        <v>117</v>
      </c>
      <c r="C29" s="58"/>
      <c r="D29" s="58"/>
      <c r="E29" s="20">
        <f t="shared" si="8"/>
        <v>0</v>
      </c>
      <c r="F29" s="225"/>
      <c r="G29" s="58"/>
      <c r="H29" s="20">
        <f t="shared" si="1"/>
        <v>0</v>
      </c>
      <c r="I29" s="92">
        <f>Blad12!B20</f>
        <v>2694.84</v>
      </c>
      <c r="J29" s="92">
        <f>Blad12!C20</f>
        <v>4194.51</v>
      </c>
      <c r="K29" s="50">
        <f t="shared" si="5"/>
        <v>0</v>
      </c>
      <c r="L29" s="50">
        <f t="shared" si="6"/>
        <v>0</v>
      </c>
      <c r="M29" s="50">
        <f t="shared" si="7"/>
        <v>0</v>
      </c>
      <c r="N29" s="92">
        <f>Blad12!D20</f>
        <v>2739.3</v>
      </c>
      <c r="O29" s="92">
        <f>Blad12!E20</f>
        <v>4227.23</v>
      </c>
      <c r="P29" s="117">
        <f t="shared" si="2"/>
        <v>0</v>
      </c>
      <c r="Q29" s="20">
        <f t="shared" si="3"/>
        <v>0</v>
      </c>
      <c r="R29" s="50">
        <f t="shared" si="4"/>
        <v>0</v>
      </c>
    </row>
    <row r="30" spans="1:18" ht="15" customHeight="1">
      <c r="A30" s="104" t="s">
        <v>19</v>
      </c>
      <c r="B30" s="209" t="s">
        <v>118</v>
      </c>
      <c r="C30" s="58"/>
      <c r="D30" s="58"/>
      <c r="E30" s="20">
        <f t="shared" si="8"/>
        <v>0</v>
      </c>
      <c r="F30" s="225"/>
      <c r="G30" s="58"/>
      <c r="H30" s="20">
        <f t="shared" si="1"/>
        <v>0</v>
      </c>
      <c r="I30" s="92">
        <f>Blad12!B21</f>
        <v>0</v>
      </c>
      <c r="J30" s="92">
        <f>Blad12!C21</f>
        <v>4083.07</v>
      </c>
      <c r="K30" s="50">
        <f t="shared" si="5"/>
        <v>0</v>
      </c>
      <c r="L30" s="50">
        <f t="shared" si="6"/>
        <v>0</v>
      </c>
      <c r="M30" s="50">
        <f t="shared" si="7"/>
        <v>0</v>
      </c>
      <c r="N30" s="92">
        <f>Blad12!D21</f>
        <v>0</v>
      </c>
      <c r="O30" s="92">
        <f>Blad12!E21</f>
        <v>4114.92</v>
      </c>
      <c r="P30" s="117">
        <f t="shared" si="2"/>
        <v>0</v>
      </c>
      <c r="Q30" s="20">
        <f t="shared" si="3"/>
        <v>0</v>
      </c>
      <c r="R30" s="50">
        <f t="shared" si="4"/>
        <v>0</v>
      </c>
    </row>
    <row r="31" spans="1:18" ht="15" customHeight="1">
      <c r="A31" s="104" t="s">
        <v>338</v>
      </c>
      <c r="B31" s="209" t="s">
        <v>119</v>
      </c>
      <c r="C31" s="58"/>
      <c r="D31" s="58"/>
      <c r="E31" s="20">
        <f t="shared" si="8"/>
        <v>0</v>
      </c>
      <c r="F31" s="225"/>
      <c r="G31" s="58"/>
      <c r="H31" s="20">
        <f t="shared" si="1"/>
        <v>0</v>
      </c>
      <c r="I31" s="92">
        <f>Blad12!B22</f>
        <v>0</v>
      </c>
      <c r="J31" s="92">
        <f>Blad12!C22</f>
        <v>832.7</v>
      </c>
      <c r="K31" s="50">
        <f t="shared" si="5"/>
        <v>0</v>
      </c>
      <c r="L31" s="50">
        <f t="shared" si="6"/>
        <v>0</v>
      </c>
      <c r="M31" s="50">
        <f t="shared" si="7"/>
        <v>0</v>
      </c>
      <c r="N31" s="92">
        <f>Blad12!D22</f>
        <v>0</v>
      </c>
      <c r="O31" s="92">
        <f>Blad12!E22</f>
        <v>839.2</v>
      </c>
      <c r="P31" s="117">
        <f t="shared" si="2"/>
        <v>0</v>
      </c>
      <c r="Q31" s="20">
        <f t="shared" si="3"/>
        <v>0</v>
      </c>
      <c r="R31" s="50">
        <f t="shared" si="4"/>
        <v>0</v>
      </c>
    </row>
    <row r="32" spans="1:18" ht="15" customHeight="1">
      <c r="A32" s="104" t="s">
        <v>21</v>
      </c>
      <c r="B32" s="209" t="s">
        <v>121</v>
      </c>
      <c r="C32" s="58"/>
      <c r="D32" s="58"/>
      <c r="E32" s="20">
        <f>C32-D32</f>
        <v>0</v>
      </c>
      <c r="F32" s="225"/>
      <c r="G32" s="58"/>
      <c r="H32" s="20">
        <f t="shared" si="1"/>
        <v>0</v>
      </c>
      <c r="I32" s="77">
        <f>Blad12!B24</f>
        <v>0</v>
      </c>
      <c r="J32" s="77">
        <f>Blad12!C24</f>
        <v>3764.73</v>
      </c>
      <c r="K32" s="50">
        <f t="shared" si="5"/>
        <v>0</v>
      </c>
      <c r="L32" s="50">
        <f t="shared" si="6"/>
        <v>0</v>
      </c>
      <c r="M32" s="50">
        <f t="shared" si="7"/>
        <v>0</v>
      </c>
      <c r="N32" s="77">
        <f>Blad12!D24</f>
        <v>0</v>
      </c>
      <c r="O32" s="77">
        <f>Blad12!E24</f>
        <v>3794.09</v>
      </c>
      <c r="P32" s="117">
        <f t="shared" si="2"/>
        <v>0</v>
      </c>
      <c r="Q32" s="20">
        <f t="shared" si="3"/>
        <v>0</v>
      </c>
      <c r="R32" s="50">
        <f t="shared" si="4"/>
        <v>0</v>
      </c>
    </row>
    <row r="33" spans="1:18" ht="15" customHeight="1">
      <c r="A33" s="104" t="s">
        <v>22</v>
      </c>
      <c r="B33" s="209" t="s">
        <v>120</v>
      </c>
      <c r="C33" s="58"/>
      <c r="D33" s="58"/>
      <c r="E33" s="20">
        <f>C33-D33</f>
        <v>0</v>
      </c>
      <c r="F33" s="225"/>
      <c r="G33" s="58"/>
      <c r="H33" s="20">
        <f t="shared" si="1"/>
        <v>0</v>
      </c>
      <c r="I33" s="77">
        <f>Blad12!B23</f>
        <v>0</v>
      </c>
      <c r="J33" s="77">
        <f>Blad12!C23</f>
        <v>34814.58</v>
      </c>
      <c r="K33" s="50">
        <f t="shared" si="5"/>
        <v>0</v>
      </c>
      <c r="L33" s="50">
        <f t="shared" si="6"/>
        <v>0</v>
      </c>
      <c r="M33" s="50">
        <f t="shared" si="7"/>
        <v>0</v>
      </c>
      <c r="N33" s="77">
        <f>Blad12!D23</f>
        <v>0</v>
      </c>
      <c r="O33" s="77">
        <f>Blad12!E23</f>
        <v>35086.13</v>
      </c>
      <c r="P33" s="117">
        <f t="shared" si="2"/>
        <v>0</v>
      </c>
      <c r="Q33" s="20">
        <f t="shared" si="3"/>
        <v>0</v>
      </c>
      <c r="R33" s="50">
        <f t="shared" si="4"/>
        <v>0</v>
      </c>
    </row>
    <row r="34" spans="1:18" ht="15" customHeight="1">
      <c r="A34" s="104" t="s">
        <v>23</v>
      </c>
      <c r="B34" s="209" t="s">
        <v>249</v>
      </c>
      <c r="C34" s="58"/>
      <c r="D34" s="58"/>
      <c r="E34" s="20">
        <f>C34-D34</f>
        <v>0</v>
      </c>
      <c r="F34" s="225"/>
      <c r="G34" s="58"/>
      <c r="H34" s="20">
        <f t="shared" si="1"/>
        <v>0</v>
      </c>
      <c r="I34" s="92">
        <f>Blad12!B25</f>
        <v>24025.16</v>
      </c>
      <c r="J34" s="92">
        <f>Blad12!C25</f>
        <v>15601.38</v>
      </c>
      <c r="K34" s="50">
        <f t="shared" si="5"/>
        <v>0</v>
      </c>
      <c r="L34" s="50">
        <f t="shared" si="6"/>
        <v>0</v>
      </c>
      <c r="M34" s="50">
        <f t="shared" si="7"/>
        <v>0</v>
      </c>
      <c r="N34" s="92">
        <f>Blad12!D25</f>
        <v>24421.57</v>
      </c>
      <c r="O34" s="92">
        <f>Blad12!E25</f>
        <v>15723.07</v>
      </c>
      <c r="P34" s="117">
        <f t="shared" si="2"/>
        <v>0</v>
      </c>
      <c r="Q34" s="20">
        <f t="shared" si="3"/>
        <v>0</v>
      </c>
      <c r="R34" s="50">
        <f t="shared" si="4"/>
        <v>0</v>
      </c>
    </row>
    <row r="35" spans="16:19" ht="15" customHeight="1">
      <c r="P35" s="22"/>
      <c r="Q35" s="22"/>
      <c r="R35" s="52"/>
      <c r="S35" s="1"/>
    </row>
    <row r="36" spans="1:18" ht="15" customHeight="1">
      <c r="A36" t="s">
        <v>243</v>
      </c>
      <c r="K36" s="21">
        <f>SUM(K11:K34)</f>
        <v>0</v>
      </c>
      <c r="L36" s="21">
        <f>SUM(L11:L34)</f>
        <v>0</v>
      </c>
      <c r="M36" s="21">
        <f>SUM(M11:M34)</f>
        <v>0</v>
      </c>
      <c r="N36" s="21"/>
      <c r="O36" s="21"/>
      <c r="P36" s="21">
        <f>SUM(P11:P34)</f>
        <v>0</v>
      </c>
      <c r="Q36" s="21">
        <f>SUM(Q11:Q34)</f>
        <v>0</v>
      </c>
      <c r="R36" s="21">
        <f>SUM(R11:R34)</f>
        <v>0</v>
      </c>
    </row>
    <row r="37" ht="15" customHeight="1"/>
    <row r="38" spans="1:14" ht="15" customHeight="1">
      <c r="A38" s="313" t="s">
        <v>525</v>
      </c>
      <c r="B38" s="191"/>
      <c r="C38" s="108"/>
      <c r="D38" s="108"/>
      <c r="E38" s="108"/>
      <c r="F38" s="108"/>
      <c r="G38" s="108"/>
      <c r="H38" s="108"/>
      <c r="I38" s="111"/>
      <c r="J38" s="111"/>
      <c r="K38" s="108"/>
      <c r="L38" s="108"/>
      <c r="M38" s="108"/>
      <c r="N38" s="108"/>
    </row>
    <row r="39" spans="1:4" ht="15" customHeight="1">
      <c r="A39" s="104" t="s">
        <v>177</v>
      </c>
      <c r="B39" s="191"/>
      <c r="C39" s="108"/>
      <c r="D39" s="108"/>
    </row>
    <row r="40" ht="15" customHeight="1">
      <c r="A40" s="104" t="s">
        <v>513</v>
      </c>
    </row>
    <row r="41" ht="15" customHeight="1">
      <c r="A41" s="211" t="s">
        <v>368</v>
      </c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3" spans="9:18" ht="12.75">
      <c r="I83" s="82"/>
      <c r="J83" s="82"/>
      <c r="K83" s="19"/>
      <c r="L83" s="19"/>
      <c r="M83" s="19"/>
      <c r="N83" s="19"/>
      <c r="O83" s="19"/>
      <c r="P83" s="19"/>
      <c r="Q83" s="19"/>
      <c r="R83" s="19"/>
    </row>
    <row r="84" spans="9:18" ht="12.75">
      <c r="I84" s="82"/>
      <c r="J84" s="82"/>
      <c r="K84" s="19"/>
      <c r="L84" s="19"/>
      <c r="M84" s="19"/>
      <c r="N84" s="19"/>
      <c r="O84" s="19"/>
      <c r="P84" s="19"/>
      <c r="Q84" s="19"/>
      <c r="R84" s="19"/>
    </row>
    <row r="85" spans="9:18" ht="12.75">
      <c r="I85" s="82"/>
      <c r="J85" s="82"/>
      <c r="K85" s="19"/>
      <c r="L85" s="19"/>
      <c r="M85" s="19"/>
      <c r="N85" s="19"/>
      <c r="O85" s="19"/>
      <c r="P85" s="19"/>
      <c r="Q85" s="19"/>
      <c r="R85" s="19"/>
    </row>
    <row r="86" spans="9:18" ht="12.75">
      <c r="I86" s="82"/>
      <c r="J86" s="82"/>
      <c r="K86" s="19"/>
      <c r="L86" s="19"/>
      <c r="M86" s="19"/>
      <c r="N86" s="19"/>
      <c r="O86" s="19"/>
      <c r="P86" s="19"/>
      <c r="Q86" s="19"/>
      <c r="R86" s="19"/>
    </row>
    <row r="87" spans="11:18" ht="12.75">
      <c r="K87" s="19"/>
      <c r="L87" s="19"/>
      <c r="M87" s="19"/>
      <c r="N87" s="19"/>
      <c r="O87" s="19"/>
      <c r="P87" s="19"/>
      <c r="Q87" s="19"/>
      <c r="R87" s="19"/>
    </row>
    <row r="88" spans="11:18" ht="12.75">
      <c r="K88" s="19"/>
      <c r="L88" s="19"/>
      <c r="M88" s="19"/>
      <c r="N88" s="19"/>
      <c r="O88" s="19"/>
      <c r="P88" s="19"/>
      <c r="Q88" s="19"/>
      <c r="R88" s="19"/>
    </row>
    <row r="89" spans="11:18" ht="12.75">
      <c r="K89" s="19"/>
      <c r="L89" s="19"/>
      <c r="M89" s="19"/>
      <c r="N89" s="19"/>
      <c r="O89" s="19"/>
      <c r="P89" s="19"/>
      <c r="Q89" s="19"/>
      <c r="R89" s="19"/>
    </row>
    <row r="90" spans="11:18" ht="12.75">
      <c r="K90" s="19"/>
      <c r="L90" s="19"/>
      <c r="M90" s="19"/>
      <c r="N90" s="19"/>
      <c r="O90" s="19"/>
      <c r="P90" s="19"/>
      <c r="Q90" s="19"/>
      <c r="R90" s="19"/>
    </row>
    <row r="91" spans="11:18" ht="12.75">
      <c r="K91" s="19"/>
      <c r="L91" s="19"/>
      <c r="M91" s="19"/>
      <c r="N91" s="19"/>
      <c r="O91" s="19"/>
      <c r="P91" s="19"/>
      <c r="Q91" s="19"/>
      <c r="R91" s="19"/>
    </row>
    <row r="92" spans="11:18" ht="12.75">
      <c r="K92" s="19"/>
      <c r="L92" s="19"/>
      <c r="M92" s="19"/>
      <c r="N92" s="19"/>
      <c r="O92" s="19"/>
      <c r="P92" s="19"/>
      <c r="Q92" s="19"/>
      <c r="R92" s="19"/>
    </row>
    <row r="93" spans="11:18" ht="12.75">
      <c r="K93" s="19"/>
      <c r="L93" s="19"/>
      <c r="M93" s="19"/>
      <c r="N93" s="19"/>
      <c r="O93" s="19"/>
      <c r="P93" s="19"/>
      <c r="Q93" s="19"/>
      <c r="R93" s="19"/>
    </row>
    <row r="94" spans="11:18" ht="12.75">
      <c r="K94" s="19"/>
      <c r="L94" s="19"/>
      <c r="M94" s="19"/>
      <c r="N94" s="19"/>
      <c r="O94" s="19"/>
      <c r="P94" s="19"/>
      <c r="Q94" s="19"/>
      <c r="R94" s="19"/>
    </row>
    <row r="95" spans="11:18" ht="12.75">
      <c r="K95" s="19"/>
      <c r="L95" s="19"/>
      <c r="M95" s="19"/>
      <c r="N95" s="19"/>
      <c r="O95" s="19"/>
      <c r="P95" s="19"/>
      <c r="Q95" s="19"/>
      <c r="R95" s="19"/>
    </row>
    <row r="96" spans="11:18" ht="12.75">
      <c r="K96" s="19"/>
      <c r="L96" s="19"/>
      <c r="M96" s="19"/>
      <c r="N96" s="19"/>
      <c r="O96" s="19"/>
      <c r="P96" s="19"/>
      <c r="Q96" s="19"/>
      <c r="R96" s="19"/>
    </row>
    <row r="97" spans="11:18" ht="12.75">
      <c r="K97" s="19"/>
      <c r="L97" s="19"/>
      <c r="M97" s="19"/>
      <c r="N97" s="19"/>
      <c r="O97" s="19"/>
      <c r="P97" s="19"/>
      <c r="Q97" s="19"/>
      <c r="R97" s="19"/>
    </row>
    <row r="98" spans="11:18" ht="12.75">
      <c r="K98" s="19"/>
      <c r="L98" s="19"/>
      <c r="M98" s="19"/>
      <c r="N98" s="19"/>
      <c r="O98" s="19"/>
      <c r="P98" s="19"/>
      <c r="Q98" s="19"/>
      <c r="R98" s="19"/>
    </row>
    <row r="99" spans="11:18" ht="12.75">
      <c r="K99" s="19"/>
      <c r="L99" s="19"/>
      <c r="M99" s="19"/>
      <c r="N99" s="19"/>
      <c r="O99" s="19"/>
      <c r="P99" s="19"/>
      <c r="Q99" s="19"/>
      <c r="R99" s="19"/>
    </row>
    <row r="100" spans="11:18" ht="12.75">
      <c r="K100" s="19"/>
      <c r="L100" s="19"/>
      <c r="M100" s="19"/>
      <c r="N100" s="19"/>
      <c r="O100" s="19"/>
      <c r="P100" s="19"/>
      <c r="Q100" s="19"/>
      <c r="R100" s="19"/>
    </row>
    <row r="101" spans="11:18" ht="12.75">
      <c r="K101" s="19"/>
      <c r="L101" s="19"/>
      <c r="M101" s="19"/>
      <c r="N101" s="19"/>
      <c r="O101" s="19"/>
      <c r="P101" s="19"/>
      <c r="Q101" s="19"/>
      <c r="R101" s="19"/>
    </row>
    <row r="102" spans="11:18" ht="12.75">
      <c r="K102" s="19"/>
      <c r="L102" s="19"/>
      <c r="M102" s="19"/>
      <c r="N102" s="19"/>
      <c r="O102" s="19"/>
      <c r="P102" s="19"/>
      <c r="Q102" s="19"/>
      <c r="R102" s="19"/>
    </row>
    <row r="103" spans="11:18" ht="12.75">
      <c r="K103" s="19"/>
      <c r="L103" s="19"/>
      <c r="M103" s="19"/>
      <c r="N103" s="19"/>
      <c r="O103" s="19"/>
      <c r="P103" s="19"/>
      <c r="Q103" s="19"/>
      <c r="R103" s="19"/>
    </row>
    <row r="104" spans="11:18" ht="12.75">
      <c r="K104" s="19"/>
      <c r="L104" s="19"/>
      <c r="M104" s="19"/>
      <c r="N104" s="19"/>
      <c r="O104" s="19"/>
      <c r="P104" s="19"/>
      <c r="Q104" s="19"/>
      <c r="R104" s="19"/>
    </row>
    <row r="105" spans="11:18" ht="12.75">
      <c r="K105" s="19"/>
      <c r="L105" s="19"/>
      <c r="M105" s="19"/>
      <c r="N105" s="19"/>
      <c r="O105" s="19"/>
      <c r="P105" s="19"/>
      <c r="Q105" s="19"/>
      <c r="R105" s="19"/>
    </row>
    <row r="106" spans="11:18" ht="12.75">
      <c r="K106" s="19"/>
      <c r="L106" s="19"/>
      <c r="M106" s="19"/>
      <c r="N106" s="19"/>
      <c r="O106" s="19"/>
      <c r="P106" s="19"/>
      <c r="Q106" s="19"/>
      <c r="R106" s="19"/>
    </row>
    <row r="107" spans="11:18" ht="12.75">
      <c r="K107" s="19"/>
      <c r="L107" s="19"/>
      <c r="M107" s="19"/>
      <c r="N107" s="19"/>
      <c r="O107" s="19"/>
      <c r="P107" s="19"/>
      <c r="Q107" s="19"/>
      <c r="R107" s="19"/>
    </row>
    <row r="108" spans="11:18" ht="12.75">
      <c r="K108" s="19"/>
      <c r="L108" s="19"/>
      <c r="M108" s="19"/>
      <c r="N108" s="19"/>
      <c r="O108" s="19"/>
      <c r="P108" s="19"/>
      <c r="Q108" s="19"/>
      <c r="R108" s="19"/>
    </row>
    <row r="109" spans="11:18" ht="12.75">
      <c r="K109" s="19"/>
      <c r="L109" s="19"/>
      <c r="M109" s="19"/>
      <c r="N109" s="19"/>
      <c r="O109" s="19"/>
      <c r="P109" s="19"/>
      <c r="Q109" s="19"/>
      <c r="R109" s="19"/>
    </row>
    <row r="110" spans="11:18" ht="12.75">
      <c r="K110" s="19"/>
      <c r="L110" s="19"/>
      <c r="M110" s="19"/>
      <c r="N110" s="19"/>
      <c r="O110" s="19"/>
      <c r="P110" s="19"/>
      <c r="Q110" s="19"/>
      <c r="R110" s="19"/>
    </row>
    <row r="111" spans="11:18" ht="12.75">
      <c r="K111" s="19"/>
      <c r="L111" s="19"/>
      <c r="M111" s="19"/>
      <c r="N111" s="19"/>
      <c r="O111" s="19"/>
      <c r="P111" s="19"/>
      <c r="Q111" s="19"/>
      <c r="R111" s="19"/>
    </row>
    <row r="112" spans="11:18" ht="12.75">
      <c r="K112" s="19"/>
      <c r="L112" s="19"/>
      <c r="M112" s="19"/>
      <c r="N112" s="19"/>
      <c r="O112" s="19"/>
      <c r="P112" s="19"/>
      <c r="Q112" s="19"/>
      <c r="R112" s="19"/>
    </row>
    <row r="113" spans="11:18" ht="12.75">
      <c r="K113" s="19"/>
      <c r="L113" s="19"/>
      <c r="M113" s="19"/>
      <c r="N113" s="19"/>
      <c r="O113" s="19"/>
      <c r="P113" s="19"/>
      <c r="Q113" s="19"/>
      <c r="R113" s="19"/>
    </row>
    <row r="114" spans="11:18" ht="12.75">
      <c r="K114" s="19"/>
      <c r="L114" s="19"/>
      <c r="M114" s="19"/>
      <c r="N114" s="19"/>
      <c r="O114" s="19"/>
      <c r="P114" s="19"/>
      <c r="Q114" s="19"/>
      <c r="R114" s="19"/>
    </row>
    <row r="115" spans="11:18" ht="12.75">
      <c r="K115" s="19"/>
      <c r="L115" s="19"/>
      <c r="M115" s="19"/>
      <c r="N115" s="19"/>
      <c r="O115" s="19"/>
      <c r="P115" s="19"/>
      <c r="Q115" s="19"/>
      <c r="R115" s="19"/>
    </row>
    <row r="116" spans="11:18" ht="12.75">
      <c r="K116" s="19"/>
      <c r="L116" s="19"/>
      <c r="M116" s="19"/>
      <c r="N116" s="19"/>
      <c r="O116" s="19"/>
      <c r="P116" s="19"/>
      <c r="Q116" s="19"/>
      <c r="R116" s="19"/>
    </row>
    <row r="117" spans="11:18" ht="12.75">
      <c r="K117" s="19"/>
      <c r="L117" s="19"/>
      <c r="M117" s="19"/>
      <c r="N117" s="19"/>
      <c r="O117" s="19"/>
      <c r="P117" s="19"/>
      <c r="Q117" s="19"/>
      <c r="R117" s="19"/>
    </row>
    <row r="118" spans="11:18" ht="12.75">
      <c r="K118" s="19"/>
      <c r="L118" s="19"/>
      <c r="M118" s="19"/>
      <c r="N118" s="19"/>
      <c r="O118" s="19"/>
      <c r="P118" s="19"/>
      <c r="Q118" s="19"/>
      <c r="R118" s="19"/>
    </row>
  </sheetData>
  <sheetProtection password="CDFB" sheet="1" objects="1" scenarios="1"/>
  <mergeCells count="1">
    <mergeCell ref="N3:P3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scale="53" r:id="rId1"/>
  <headerFooter alignWithMargins="0">
    <oddFooter>&amp;Rblad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indexed="50"/>
  </sheetPr>
  <dimension ref="A2:J25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1" max="1" width="4.7109375" style="30" customWidth="1"/>
    <col min="2" max="16384" width="9.140625" style="30" customWidth="1"/>
  </cols>
  <sheetData>
    <row r="2" ht="12.75">
      <c r="A2" s="2" t="s">
        <v>9</v>
      </c>
    </row>
    <row r="4" spans="1:9" ht="12.75">
      <c r="A4" s="46" t="s">
        <v>126</v>
      </c>
      <c r="B4" s="30" t="s">
        <v>400</v>
      </c>
      <c r="I4" s="48" t="s">
        <v>310</v>
      </c>
    </row>
    <row r="6" spans="1:9" ht="12.75">
      <c r="A6" s="47" t="s">
        <v>126</v>
      </c>
      <c r="B6" s="30" t="s">
        <v>401</v>
      </c>
      <c r="I6" s="30">
        <v>8</v>
      </c>
    </row>
    <row r="7" ht="12.75">
      <c r="B7" s="30" t="s">
        <v>501</v>
      </c>
    </row>
    <row r="9" spans="1:10" ht="12.75">
      <c r="A9" s="47" t="s">
        <v>126</v>
      </c>
      <c r="B9" s="30" t="s">
        <v>231</v>
      </c>
      <c r="I9" s="30">
        <v>9</v>
      </c>
      <c r="J9" s="65"/>
    </row>
    <row r="10" ht="12.75">
      <c r="A10" s="46"/>
    </row>
    <row r="11" spans="1:9" ht="12.75">
      <c r="A11" s="47" t="s">
        <v>126</v>
      </c>
      <c r="B11" s="30" t="s">
        <v>182</v>
      </c>
      <c r="I11" s="30">
        <v>10</v>
      </c>
    </row>
    <row r="12" ht="12.75">
      <c r="A12" s="46"/>
    </row>
    <row r="13" spans="1:9" ht="12.75">
      <c r="A13" s="47" t="s">
        <v>126</v>
      </c>
      <c r="B13" s="30" t="s">
        <v>183</v>
      </c>
      <c r="I13" s="30">
        <v>11</v>
      </c>
    </row>
    <row r="14" ht="12.75">
      <c r="A14" s="46"/>
    </row>
    <row r="15" spans="1:9" ht="12.75">
      <c r="A15" s="47" t="s">
        <v>126</v>
      </c>
      <c r="B15" s="30" t="s">
        <v>184</v>
      </c>
      <c r="I15" s="30">
        <v>12</v>
      </c>
    </row>
    <row r="17" spans="1:10" ht="12.75">
      <c r="A17" s="47" t="s">
        <v>126</v>
      </c>
      <c r="B17" s="30" t="s">
        <v>409</v>
      </c>
      <c r="I17" s="217" t="s">
        <v>370</v>
      </c>
      <c r="J17" s="65"/>
    </row>
    <row r="19" spans="1:9" ht="12.75">
      <c r="A19" s="47" t="s">
        <v>126</v>
      </c>
      <c r="B19" s="30" t="s">
        <v>422</v>
      </c>
      <c r="I19" s="217" t="s">
        <v>371</v>
      </c>
    </row>
    <row r="22" spans="2:8" ht="12.75">
      <c r="B22" s="216" t="s">
        <v>175</v>
      </c>
      <c r="C22" s="216"/>
      <c r="D22" s="216"/>
      <c r="E22" s="216"/>
      <c r="F22" s="216"/>
      <c r="G22" s="216"/>
      <c r="H22" s="65"/>
    </row>
    <row r="23" spans="2:8" ht="12.75">
      <c r="B23" s="216"/>
      <c r="C23" s="216" t="s">
        <v>502</v>
      </c>
      <c r="D23" s="216"/>
      <c r="E23" s="216"/>
      <c r="F23" s="216"/>
      <c r="G23" s="216"/>
      <c r="H23" s="65"/>
    </row>
    <row r="24" spans="2:8" ht="12.75">
      <c r="B24" s="65"/>
      <c r="C24" s="216" t="s">
        <v>500</v>
      </c>
      <c r="D24" s="65"/>
      <c r="E24" s="65"/>
      <c r="F24" s="65"/>
      <c r="G24" s="65"/>
      <c r="H24" s="65"/>
    </row>
    <row r="25" ht="12.75">
      <c r="C25" s="2" t="s">
        <v>503</v>
      </c>
    </row>
  </sheetData>
  <sheetProtection password="CDFB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>&amp;Rblad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">
    <tabColor indexed="50"/>
  </sheetPr>
  <dimension ref="A1:E63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5.7109375" style="0" customWidth="1"/>
    <col min="2" max="2" width="5.7109375" style="0" customWidth="1"/>
    <col min="3" max="3" width="50.7109375" style="0" customWidth="1"/>
    <col min="5" max="5" width="0" style="0" hidden="1" customWidth="1"/>
  </cols>
  <sheetData>
    <row r="1" spans="1:3" ht="12.75">
      <c r="A1" s="150"/>
      <c r="B1" s="27"/>
      <c r="C1" s="75"/>
    </row>
    <row r="2" spans="1:3" ht="12.75">
      <c r="A2" s="151"/>
      <c r="B2" s="1"/>
      <c r="C2" s="152"/>
    </row>
    <row r="3" spans="1:3" ht="12.75">
      <c r="A3" s="151"/>
      <c r="B3" s="1"/>
      <c r="C3" s="152"/>
    </row>
    <row r="4" spans="1:3" ht="12.75">
      <c r="A4" s="151"/>
      <c r="B4" s="1"/>
      <c r="C4" s="152"/>
    </row>
    <row r="5" spans="1:3" ht="12.75">
      <c r="A5" s="151"/>
      <c r="B5" s="1"/>
      <c r="C5" s="152"/>
    </row>
    <row r="6" spans="1:3" ht="13.5" thickBot="1">
      <c r="A6" s="153"/>
      <c r="B6" s="4"/>
      <c r="C6" s="154"/>
    </row>
    <row r="7" spans="1:3" s="8" customFormat="1" ht="18" customHeight="1">
      <c r="A7" s="155" t="s">
        <v>402</v>
      </c>
      <c r="B7" s="156"/>
      <c r="C7" s="157"/>
    </row>
    <row r="8" spans="1:3" s="8" customFormat="1" ht="18" customHeight="1">
      <c r="A8" s="155" t="s">
        <v>403</v>
      </c>
      <c r="B8" s="156"/>
      <c r="C8" s="157"/>
    </row>
    <row r="9" spans="1:3" s="8" customFormat="1" ht="18" customHeight="1">
      <c r="A9" s="158" t="s">
        <v>480</v>
      </c>
      <c r="B9" s="3"/>
      <c r="C9" s="157"/>
    </row>
    <row r="10" spans="1:3" s="8" customFormat="1" ht="18" customHeight="1">
      <c r="A10" s="219"/>
      <c r="B10" s="3"/>
      <c r="C10" s="157"/>
    </row>
    <row r="11" spans="1:3" ht="13.5" thickBot="1">
      <c r="A11" s="153"/>
      <c r="B11" s="4"/>
      <c r="C11" s="154"/>
    </row>
    <row r="12" spans="1:3" ht="12.75">
      <c r="A12" s="151" t="s">
        <v>0</v>
      </c>
      <c r="B12" s="1"/>
      <c r="C12" s="152"/>
    </row>
    <row r="13" spans="1:3" ht="12.75">
      <c r="A13" s="151" t="s">
        <v>1</v>
      </c>
      <c r="B13" s="1"/>
      <c r="C13" s="152"/>
    </row>
    <row r="14" spans="1:3" ht="13.5" thickBot="1">
      <c r="A14" s="153"/>
      <c r="B14" s="4"/>
      <c r="C14" s="154"/>
    </row>
    <row r="15" spans="1:3" ht="12.75">
      <c r="A15" s="151"/>
      <c r="B15" s="1"/>
      <c r="C15" s="152"/>
    </row>
    <row r="16" spans="1:3" s="8" customFormat="1" ht="18" customHeight="1">
      <c r="A16" s="29" t="s">
        <v>2</v>
      </c>
      <c r="B16" s="377"/>
      <c r="C16" s="378"/>
    </row>
    <row r="17" spans="1:3" s="8" customFormat="1" ht="18" customHeight="1">
      <c r="A17" s="23" t="s">
        <v>192</v>
      </c>
      <c r="B17" s="377"/>
      <c r="C17" s="378"/>
    </row>
    <row r="18" spans="1:3" s="8" customFormat="1" ht="18" customHeight="1">
      <c r="A18" s="23" t="s">
        <v>3</v>
      </c>
      <c r="B18" s="377"/>
      <c r="C18" s="378"/>
    </row>
    <row r="19" spans="1:3" s="8" customFormat="1" ht="18" customHeight="1">
      <c r="A19" s="23" t="s">
        <v>4</v>
      </c>
      <c r="B19" s="377"/>
      <c r="C19" s="378"/>
    </row>
    <row r="20" spans="1:3" ht="15.75">
      <c r="A20" s="23" t="s">
        <v>174</v>
      </c>
      <c r="B20" s="377"/>
      <c r="C20" s="378"/>
    </row>
    <row r="21" spans="1:3" ht="12.75">
      <c r="A21" s="151"/>
      <c r="B21" s="1"/>
      <c r="C21" s="215" t="s">
        <v>544</v>
      </c>
    </row>
    <row r="22" spans="1:3" ht="15.75" customHeight="1">
      <c r="A22" s="151"/>
      <c r="B22" s="1"/>
      <c r="C22" s="218" t="s">
        <v>510</v>
      </c>
    </row>
    <row r="23" spans="1:3" ht="12.75">
      <c r="A23" s="151"/>
      <c r="B23" s="1"/>
      <c r="C23" s="152"/>
    </row>
    <row r="24" spans="1:3" ht="12.75">
      <c r="A24" s="151"/>
      <c r="B24" s="1"/>
      <c r="C24" s="152"/>
    </row>
    <row r="25" spans="1:5" ht="12.75">
      <c r="A25" s="151" t="s">
        <v>404</v>
      </c>
      <c r="B25" s="1"/>
      <c r="C25" s="152"/>
      <c r="E25" s="212"/>
    </row>
    <row r="26" spans="1:5" ht="12.75">
      <c r="A26" s="151" t="s">
        <v>493</v>
      </c>
      <c r="B26" s="1"/>
      <c r="C26" s="152"/>
      <c r="E26" s="104"/>
    </row>
    <row r="27" spans="1:5" ht="12.75">
      <c r="A27" s="151"/>
      <c r="B27" s="1"/>
      <c r="C27" s="152"/>
      <c r="E27" s="104"/>
    </row>
    <row r="28" spans="1:5" ht="12.75">
      <c r="A28" s="214" t="s">
        <v>499</v>
      </c>
      <c r="B28" s="109"/>
      <c r="C28" s="215"/>
      <c r="E28" s="212"/>
    </row>
    <row r="29" spans="1:3" ht="12.75">
      <c r="A29" s="214" t="s">
        <v>411</v>
      </c>
      <c r="B29" s="109"/>
      <c r="C29" s="215"/>
    </row>
    <row r="30" spans="1:3" ht="12.75">
      <c r="A30" s="158"/>
      <c r="B30" s="3"/>
      <c r="C30" s="152"/>
    </row>
    <row r="31" spans="1:3" ht="12.75">
      <c r="A31" s="151"/>
      <c r="B31" s="1"/>
      <c r="C31" s="152"/>
    </row>
    <row r="32" spans="1:3" ht="12.75">
      <c r="A32" s="151"/>
      <c r="B32" s="1"/>
      <c r="C32" s="152"/>
    </row>
    <row r="33" spans="1:3" ht="24" customHeight="1">
      <c r="A33" s="9" t="s">
        <v>5</v>
      </c>
      <c r="B33" s="147"/>
      <c r="C33" s="159"/>
    </row>
    <row r="34" spans="1:3" ht="24" customHeight="1">
      <c r="A34" s="374" t="s">
        <v>7</v>
      </c>
      <c r="B34" s="375"/>
      <c r="C34" s="376"/>
    </row>
    <row r="35" spans="1:3" ht="24" customHeight="1">
      <c r="A35" s="374" t="s">
        <v>8</v>
      </c>
      <c r="B35" s="375"/>
      <c r="C35" s="376"/>
    </row>
    <row r="36" spans="1:3" ht="24" customHeight="1">
      <c r="A36" s="10" t="s">
        <v>6</v>
      </c>
      <c r="B36" s="148"/>
      <c r="C36" s="160"/>
    </row>
    <row r="37" spans="1:3" ht="24" customHeight="1">
      <c r="A37" s="374" t="s">
        <v>7</v>
      </c>
      <c r="B37" s="375"/>
      <c r="C37" s="376"/>
    </row>
    <row r="38" spans="1:3" ht="24" customHeight="1">
      <c r="A38" s="374" t="s">
        <v>8</v>
      </c>
      <c r="B38" s="375"/>
      <c r="C38" s="376"/>
    </row>
    <row r="39" spans="1:3" ht="24" customHeight="1">
      <c r="A39" s="374" t="s">
        <v>7</v>
      </c>
      <c r="B39" s="375"/>
      <c r="C39" s="376"/>
    </row>
    <row r="40" spans="1:3" ht="24" customHeight="1">
      <c r="A40" s="374" t="s">
        <v>8</v>
      </c>
      <c r="B40" s="375"/>
      <c r="C40" s="376"/>
    </row>
    <row r="41" spans="1:3" ht="24" customHeight="1">
      <c r="A41" s="374" t="s">
        <v>7</v>
      </c>
      <c r="B41" s="375"/>
      <c r="C41" s="376"/>
    </row>
    <row r="42" spans="1:3" ht="24" customHeight="1">
      <c r="A42" s="374" t="s">
        <v>8</v>
      </c>
      <c r="B42" s="375"/>
      <c r="C42" s="376"/>
    </row>
    <row r="43" spans="1:3" ht="12.75">
      <c r="A43" s="158"/>
      <c r="B43" s="3"/>
      <c r="C43" s="160"/>
    </row>
    <row r="44" spans="1:3" ht="24" customHeight="1">
      <c r="A44" s="10" t="s">
        <v>410</v>
      </c>
      <c r="B44" s="148"/>
      <c r="C44" s="160"/>
    </row>
    <row r="45" spans="1:3" ht="24" customHeight="1">
      <c r="A45" s="374" t="s">
        <v>7</v>
      </c>
      <c r="B45" s="375"/>
      <c r="C45" s="376"/>
    </row>
    <row r="46" spans="1:3" ht="24" customHeight="1">
      <c r="A46" s="374" t="s">
        <v>8</v>
      </c>
      <c r="B46" s="375"/>
      <c r="C46" s="376"/>
    </row>
    <row r="47" spans="1:3" s="104" customFormat="1" ht="12.75" customHeight="1">
      <c r="A47" s="220"/>
      <c r="B47" s="221"/>
      <c r="C47" s="222"/>
    </row>
    <row r="48" spans="1:3" ht="12.75">
      <c r="A48" s="161" t="s">
        <v>318</v>
      </c>
      <c r="B48" s="162"/>
      <c r="C48" s="152"/>
    </row>
    <row r="49" spans="1:3" ht="12.75">
      <c r="A49" s="163" t="s">
        <v>319</v>
      </c>
      <c r="B49" s="164"/>
      <c r="C49" s="152"/>
    </row>
    <row r="50" spans="1:3" ht="12.75">
      <c r="A50" s="163" t="s">
        <v>320</v>
      </c>
      <c r="B50" s="164"/>
      <c r="C50" s="152"/>
    </row>
    <row r="51" spans="1:3" ht="12.75">
      <c r="A51" s="163" t="s">
        <v>321</v>
      </c>
      <c r="B51" s="164"/>
      <c r="C51" s="152"/>
    </row>
    <row r="52" spans="1:3" ht="12.75">
      <c r="A52" s="163" t="s">
        <v>322</v>
      </c>
      <c r="B52" s="164"/>
      <c r="C52" s="152"/>
    </row>
    <row r="53" spans="1:3" ht="12.75">
      <c r="A53" s="151" t="s">
        <v>323</v>
      </c>
      <c r="B53" s="1"/>
      <c r="C53" s="152"/>
    </row>
    <row r="54" spans="1:3" ht="12.75">
      <c r="A54" s="151"/>
      <c r="B54" s="1"/>
      <c r="C54" s="152"/>
    </row>
    <row r="55" spans="1:3" ht="12.75">
      <c r="A55" s="163" t="s">
        <v>324</v>
      </c>
      <c r="B55" s="164"/>
      <c r="C55" s="152"/>
    </row>
    <row r="56" spans="1:3" ht="12.75">
      <c r="A56" s="151" t="s">
        <v>325</v>
      </c>
      <c r="B56" s="1"/>
      <c r="C56" s="152"/>
    </row>
    <row r="57" spans="1:3" ht="12.75">
      <c r="A57" s="151"/>
      <c r="B57" s="1"/>
      <c r="C57" s="152"/>
    </row>
    <row r="58" spans="1:5" ht="12.75">
      <c r="A58" s="151" t="s">
        <v>328</v>
      </c>
      <c r="B58" s="1"/>
      <c r="C58" s="152"/>
      <c r="E58" s="193">
        <f>IF(B59="nee",1,0)</f>
        <v>1</v>
      </c>
    </row>
    <row r="59" spans="1:5" ht="12.75">
      <c r="A59" s="151" t="s">
        <v>329</v>
      </c>
      <c r="B59" s="41" t="s">
        <v>327</v>
      </c>
      <c r="C59" s="165"/>
      <c r="D59" s="149" t="s">
        <v>326</v>
      </c>
      <c r="E59" s="115"/>
    </row>
    <row r="60" spans="1:4" ht="12.75">
      <c r="A60" s="166"/>
      <c r="B60" s="76"/>
      <c r="C60" s="167"/>
      <c r="D60" s="149" t="s">
        <v>327</v>
      </c>
    </row>
    <row r="63" ht="12.75">
      <c r="C63" s="104"/>
    </row>
  </sheetData>
  <sheetProtection password="CDFB" sheet="1" objects="1" scenarios="1"/>
  <mergeCells count="15">
    <mergeCell ref="B16:C16"/>
    <mergeCell ref="B17:C17"/>
    <mergeCell ref="B18:C18"/>
    <mergeCell ref="B19:C19"/>
    <mergeCell ref="B20:C20"/>
    <mergeCell ref="A34:C34"/>
    <mergeCell ref="A35:C35"/>
    <mergeCell ref="A37:C37"/>
    <mergeCell ref="A42:C42"/>
    <mergeCell ref="A45:C45"/>
    <mergeCell ref="A46:C46"/>
    <mergeCell ref="A38:C38"/>
    <mergeCell ref="A39:C39"/>
    <mergeCell ref="A40:C40"/>
    <mergeCell ref="A41:C41"/>
  </mergeCells>
  <dataValidations count="2">
    <dataValidation type="list" allowBlank="1" showInputMessage="1" showErrorMessage="1" sqref="C61">
      <formula1>$D$61:$D$62</formula1>
    </dataValidation>
    <dataValidation type="list" allowBlank="1" showInputMessage="1" showErrorMessage="1" prompt="U kunt hier 'ja' selecteren indien u geen toestemming wenst te verlenen." errorTitle="Fout!" error="U moet hier een ja of nee opgeven" sqref="B59">
      <formula1>$D$59:$D$60</formula1>
    </dataValidation>
  </dataValidations>
  <printOptions/>
  <pageMargins left="0.75" right="0.75" top="1" bottom="1" header="0.5" footer="0.5"/>
  <pageSetup horizontalDpi="300" verticalDpi="300" orientation="portrait" paperSize="9" scale="71" r:id="rId2"/>
  <headerFooter alignWithMargins="0">
    <oddHeader>&amp;L&amp;"Arial,Vet"Bijlage 1 bij circulaire EGES/jprn/CI/05/2c</oddHeader>
    <oddFooter>&amp;Rblad 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J14"/>
  <sheetViews>
    <sheetView zoomScaleSheetLayoutView="100" workbookViewId="0" topLeftCell="A1">
      <selection activeCell="H30" sqref="H30"/>
    </sheetView>
  </sheetViews>
  <sheetFormatPr defaultColWidth="9.140625" defaultRowHeight="12.75"/>
  <cols>
    <col min="1" max="1" width="17.00390625" style="0" customWidth="1"/>
    <col min="2" max="2" width="20.7109375" style="0" customWidth="1"/>
    <col min="3" max="3" width="22.00390625" style="0" customWidth="1"/>
    <col min="6" max="6" width="12.00390625" style="0" bestFit="1" customWidth="1"/>
    <col min="7" max="7" width="11.140625" style="0" customWidth="1"/>
    <col min="8" max="8" width="12.00390625" style="0" customWidth="1"/>
  </cols>
  <sheetData>
    <row r="1" ht="12.75">
      <c r="A1" s="2" t="s">
        <v>409</v>
      </c>
    </row>
    <row r="3" ht="12.75">
      <c r="A3" s="216" t="s">
        <v>496</v>
      </c>
    </row>
    <row r="5" ht="12.75">
      <c r="A5" t="s">
        <v>415</v>
      </c>
    </row>
    <row r="6" ht="12.75">
      <c r="A6" t="s">
        <v>416</v>
      </c>
    </row>
    <row r="7" spans="1:10" ht="12.75">
      <c r="A7" t="s">
        <v>417</v>
      </c>
      <c r="J7" s="104"/>
    </row>
    <row r="9" ht="12.75">
      <c r="A9" t="s">
        <v>498</v>
      </c>
    </row>
    <row r="10" ht="12.75">
      <c r="A10" t="s">
        <v>497</v>
      </c>
    </row>
    <row r="11" spans="6:8" ht="12.75">
      <c r="F11" s="2">
        <v>2002</v>
      </c>
      <c r="G11" s="2">
        <v>2003</v>
      </c>
      <c r="H11" s="2">
        <v>2004</v>
      </c>
    </row>
    <row r="12" spans="1:9" ht="12.75">
      <c r="A12" s="74" t="s">
        <v>412</v>
      </c>
      <c r="B12" s="72"/>
      <c r="C12" s="72"/>
      <c r="D12" s="72"/>
      <c r="E12" s="73"/>
      <c r="F12" s="41"/>
      <c r="G12" s="41"/>
      <c r="H12" s="41"/>
      <c r="I12" s="115" t="s">
        <v>289</v>
      </c>
    </row>
    <row r="13" spans="1:9" ht="12.75">
      <c r="A13" s="74" t="s">
        <v>413</v>
      </c>
      <c r="B13" s="72"/>
      <c r="C13" s="72"/>
      <c r="D13" s="72"/>
      <c r="E13" s="73"/>
      <c r="F13" s="41"/>
      <c r="G13" s="41"/>
      <c r="H13" s="41"/>
      <c r="I13" s="115" t="s">
        <v>290</v>
      </c>
    </row>
    <row r="14" spans="1:8" ht="12.75">
      <c r="A14" s="74" t="s">
        <v>414</v>
      </c>
      <c r="B14" s="72"/>
      <c r="C14" s="72"/>
      <c r="D14" s="72"/>
      <c r="E14" s="73"/>
      <c r="F14" s="6">
        <f>F12+F13</f>
        <v>0</v>
      </c>
      <c r="G14" s="6">
        <f>G12+G13</f>
        <v>0</v>
      </c>
      <c r="H14" s="6">
        <f>H12+H13</f>
        <v>0</v>
      </c>
    </row>
  </sheetData>
  <sheetProtection password="CDFB" sheet="1" objects="1" scenarios="1"/>
  <printOptions/>
  <pageMargins left="0.75" right="0.75" top="1" bottom="1" header="0.5" footer="0.5"/>
  <pageSetup horizontalDpi="600" verticalDpi="600" orientation="landscape" scale="72" r:id="rId1"/>
  <headerFooter alignWithMargins="0">
    <oddFooter>&amp;R&amp;A</oddFooter>
  </headerFooter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G83"/>
  <sheetViews>
    <sheetView workbookViewId="0" topLeftCell="A46">
      <selection activeCell="G76" sqref="G76"/>
    </sheetView>
  </sheetViews>
  <sheetFormatPr defaultColWidth="9.140625" defaultRowHeight="12.75"/>
  <cols>
    <col min="1" max="2" width="9.140625" style="254" customWidth="1"/>
    <col min="3" max="3" width="39.28125" style="254" customWidth="1"/>
    <col min="4" max="7" width="15.7109375" style="254" customWidth="1"/>
    <col min="8" max="16384" width="9.140625" style="254" customWidth="1"/>
  </cols>
  <sheetData>
    <row r="1" ht="12.75">
      <c r="A1" s="223" t="s">
        <v>422</v>
      </c>
    </row>
    <row r="2" spans="1:4" ht="12.75">
      <c r="A2" s="223"/>
      <c r="D2" s="223" t="s">
        <v>505</v>
      </c>
    </row>
    <row r="3" ht="12.75">
      <c r="A3" s="223"/>
    </row>
    <row r="4" ht="12.75">
      <c r="A4" s="278" t="s">
        <v>504</v>
      </c>
    </row>
    <row r="5" ht="12.75">
      <c r="A5" s="278" t="s">
        <v>506</v>
      </c>
    </row>
    <row r="6" ht="12.75">
      <c r="A6" s="278" t="s">
        <v>418</v>
      </c>
    </row>
    <row r="7" ht="12.75">
      <c r="A7" s="278" t="s">
        <v>419</v>
      </c>
    </row>
    <row r="9" ht="12.75">
      <c r="A9" s="223" t="s">
        <v>421</v>
      </c>
    </row>
    <row r="10" ht="12.75">
      <c r="A10" s="254" t="s">
        <v>420</v>
      </c>
    </row>
    <row r="12" spans="4:6" ht="12.75">
      <c r="D12" s="223">
        <v>2002</v>
      </c>
      <c r="E12" s="223">
        <v>2003</v>
      </c>
      <c r="F12" s="223">
        <v>2004</v>
      </c>
    </row>
    <row r="13" spans="1:6" ht="12.75">
      <c r="A13" s="314" t="s">
        <v>431</v>
      </c>
      <c r="B13" s="315"/>
      <c r="C13" s="316"/>
      <c r="D13" s="336" t="s">
        <v>425</v>
      </c>
      <c r="E13" s="336" t="s">
        <v>427</v>
      </c>
      <c r="F13" s="336" t="s">
        <v>428</v>
      </c>
    </row>
    <row r="14" spans="1:6" ht="12.75">
      <c r="A14" s="317" t="s">
        <v>423</v>
      </c>
      <c r="B14" s="279"/>
      <c r="C14" s="318"/>
      <c r="D14" s="337" t="s">
        <v>426</v>
      </c>
      <c r="E14" s="337" t="s">
        <v>426</v>
      </c>
      <c r="F14" s="337" t="s">
        <v>426</v>
      </c>
    </row>
    <row r="15" spans="1:6" ht="12.75">
      <c r="A15" s="319" t="s">
        <v>424</v>
      </c>
      <c r="B15" s="320"/>
      <c r="C15" s="321"/>
      <c r="D15" s="338"/>
      <c r="E15" s="338"/>
      <c r="F15" s="338"/>
    </row>
    <row r="16" spans="1:6" ht="12.75">
      <c r="A16" s="322" t="s">
        <v>429</v>
      </c>
      <c r="B16" s="323"/>
      <c r="C16" s="324"/>
      <c r="D16" s="41"/>
      <c r="E16" s="41"/>
      <c r="F16" s="41"/>
    </row>
    <row r="17" spans="1:6" ht="12.75">
      <c r="A17" s="322" t="s">
        <v>430</v>
      </c>
      <c r="B17" s="323"/>
      <c r="C17" s="324"/>
      <c r="D17" s="339"/>
      <c r="E17" s="338"/>
      <c r="F17" s="340"/>
    </row>
    <row r="19" spans="1:7" ht="12.75">
      <c r="A19" s="223" t="s">
        <v>432</v>
      </c>
      <c r="B19" s="223"/>
      <c r="C19" s="223"/>
      <c r="D19" s="325">
        <f>D16-D17</f>
        <v>0</v>
      </c>
      <c r="E19" s="325">
        <f>E16-E17</f>
        <v>0</v>
      </c>
      <c r="F19" s="325">
        <f>F16-F17</f>
        <v>0</v>
      </c>
      <c r="G19" s="278"/>
    </row>
    <row r="21" ht="12.75">
      <c r="A21" s="254" t="s">
        <v>433</v>
      </c>
    </row>
    <row r="22" spans="1:6" ht="12.75">
      <c r="A22" s="326" t="s">
        <v>434</v>
      </c>
      <c r="B22" s="323"/>
      <c r="C22" s="323"/>
      <c r="D22" s="41"/>
      <c r="E22" s="41"/>
      <c r="F22" s="327">
        <f>SUM(Blad5!J46:K46)</f>
        <v>0</v>
      </c>
    </row>
    <row r="23" spans="1:6" ht="12.75">
      <c r="A23" s="326" t="s">
        <v>435</v>
      </c>
      <c r="B23" s="323"/>
      <c r="C23" s="323"/>
      <c r="D23" s="41"/>
      <c r="E23" s="41"/>
      <c r="F23" s="341"/>
    </row>
    <row r="24" spans="1:6" ht="12.75">
      <c r="A24" s="326" t="s">
        <v>436</v>
      </c>
      <c r="B24" s="323"/>
      <c r="C24" s="323"/>
      <c r="D24" s="41"/>
      <c r="E24" s="41"/>
      <c r="F24" s="341"/>
    </row>
    <row r="25" spans="1:6" ht="12.75">
      <c r="A25" s="326" t="s">
        <v>437</v>
      </c>
      <c r="B25" s="323"/>
      <c r="C25" s="323"/>
      <c r="D25" s="336"/>
      <c r="E25" s="336"/>
      <c r="F25" s="327">
        <f>Blad8!B36</f>
        <v>0</v>
      </c>
    </row>
    <row r="26" spans="1:6" ht="12.75">
      <c r="A26" s="326" t="s">
        <v>438</v>
      </c>
      <c r="B26" s="323"/>
      <c r="C26" s="323"/>
      <c r="D26" s="41"/>
      <c r="E26" s="341"/>
      <c r="F26" s="327">
        <f>Blad7!F27</f>
        <v>0</v>
      </c>
    </row>
    <row r="27" spans="1:6" ht="12.75">
      <c r="A27" s="326" t="s">
        <v>479</v>
      </c>
      <c r="B27" s="323"/>
      <c r="C27" s="323"/>
      <c r="D27" s="291"/>
      <c r="E27" s="291"/>
      <c r="F27" s="325">
        <f>Blad8!B49</f>
        <v>0</v>
      </c>
    </row>
    <row r="28" spans="1:6" ht="12.75">
      <c r="A28" s="326" t="s">
        <v>478</v>
      </c>
      <c r="B28" s="323"/>
      <c r="C28" s="323"/>
      <c r="D28" s="41"/>
      <c r="E28" s="41"/>
      <c r="F28" s="341"/>
    </row>
    <row r="29" spans="1:6" ht="12.75">
      <c r="A29" s="328" t="s">
        <v>492</v>
      </c>
      <c r="B29" s="323"/>
      <c r="C29" s="323"/>
      <c r="D29" s="329">
        <f>SUM(D22:D28)</f>
        <v>0</v>
      </c>
      <c r="E29" s="329">
        <f>SUM(E22:E28)</f>
        <v>0</v>
      </c>
      <c r="F29" s="329">
        <f>SUM(F22:F28)</f>
        <v>0</v>
      </c>
    </row>
    <row r="30" spans="1:6" ht="12.75">
      <c r="A30" s="326" t="s">
        <v>439</v>
      </c>
      <c r="B30" s="323"/>
      <c r="C30" s="323"/>
      <c r="D30" s="41"/>
      <c r="E30" s="41"/>
      <c r="F30" s="341"/>
    </row>
    <row r="31" spans="1:6" ht="12.75">
      <c r="A31" s="326" t="s">
        <v>440</v>
      </c>
      <c r="B31" s="323"/>
      <c r="C31" s="323"/>
      <c r="D31" s="41"/>
      <c r="E31" s="41"/>
      <c r="F31" s="341"/>
    </row>
    <row r="32" spans="1:6" ht="12.75">
      <c r="A32" s="330" t="s">
        <v>441</v>
      </c>
      <c r="B32" s="320"/>
      <c r="C32" s="320"/>
      <c r="D32" s="331">
        <f>D19+D29+D30+D31</f>
        <v>0</v>
      </c>
      <c r="E32" s="331">
        <f>E19+E29+E30+E31</f>
        <v>0</v>
      </c>
      <c r="F32" s="331">
        <f>F19+F29+F30+F31</f>
        <v>0</v>
      </c>
    </row>
    <row r="34" ht="12.75">
      <c r="A34" s="254" t="s">
        <v>442</v>
      </c>
    </row>
    <row r="35" spans="1:6" ht="12.75">
      <c r="A35" s="254" t="s">
        <v>116</v>
      </c>
      <c r="D35" s="223">
        <v>2002</v>
      </c>
      <c r="E35" s="223">
        <v>2003</v>
      </c>
      <c r="F35" s="223">
        <v>2004</v>
      </c>
    </row>
    <row r="36" spans="1:6" ht="12.75">
      <c r="A36" s="342"/>
      <c r="B36" s="343"/>
      <c r="C36" s="341"/>
      <c r="D36" s="41"/>
      <c r="E36" s="41"/>
      <c r="F36" s="41"/>
    </row>
    <row r="37" spans="1:6" ht="12.75">
      <c r="A37" s="342"/>
      <c r="B37" s="343"/>
      <c r="C37" s="341"/>
      <c r="D37" s="339"/>
      <c r="E37" s="338"/>
      <c r="F37" s="340"/>
    </row>
    <row r="38" spans="1:6" ht="12.75">
      <c r="A38" s="342"/>
      <c r="B38" s="343"/>
      <c r="C38" s="341"/>
      <c r="D38" s="41"/>
      <c r="E38" s="41"/>
      <c r="F38" s="41"/>
    </row>
    <row r="39" spans="1:6" ht="12.75">
      <c r="A39" s="342"/>
      <c r="B39" s="343"/>
      <c r="C39" s="341"/>
      <c r="D39" s="339"/>
      <c r="E39" s="338"/>
      <c r="F39" s="340"/>
    </row>
    <row r="40" spans="1:6" s="278" customFormat="1" ht="12.75">
      <c r="A40" s="291"/>
      <c r="B40" s="291"/>
      <c r="C40" s="291"/>
      <c r="D40" s="291"/>
      <c r="E40" s="291"/>
      <c r="F40" s="291"/>
    </row>
    <row r="41" ht="12.75">
      <c r="A41" s="223" t="s">
        <v>443</v>
      </c>
    </row>
    <row r="43" spans="4:6" ht="12.75">
      <c r="D43" s="223">
        <v>2002</v>
      </c>
      <c r="E43" s="223">
        <v>2003</v>
      </c>
      <c r="F43" s="223">
        <v>2004</v>
      </c>
    </row>
    <row r="44" spans="1:6" ht="12.75">
      <c r="A44" s="314" t="s">
        <v>431</v>
      </c>
      <c r="B44" s="315"/>
      <c r="C44" s="316"/>
      <c r="D44" s="336" t="s">
        <v>464</v>
      </c>
      <c r="E44" s="336" t="s">
        <v>464</v>
      </c>
      <c r="F44" s="336" t="s">
        <v>464</v>
      </c>
    </row>
    <row r="45" spans="1:6" ht="12.75">
      <c r="A45" s="317" t="s">
        <v>423</v>
      </c>
      <c r="B45" s="279"/>
      <c r="C45" s="318"/>
      <c r="D45" s="337" t="s">
        <v>426</v>
      </c>
      <c r="E45" s="337" t="s">
        <v>426</v>
      </c>
      <c r="F45" s="337" t="s">
        <v>426</v>
      </c>
    </row>
    <row r="46" spans="1:6" ht="12.75">
      <c r="A46" s="332" t="s">
        <v>424</v>
      </c>
      <c r="B46" s="333"/>
      <c r="C46" s="334"/>
      <c r="D46" s="338"/>
      <c r="E46" s="338"/>
      <c r="F46" s="338"/>
    </row>
    <row r="47" spans="1:6" ht="12.75">
      <c r="A47" s="322" t="s">
        <v>444</v>
      </c>
      <c r="B47" s="323"/>
      <c r="C47" s="324"/>
      <c r="D47" s="41"/>
      <c r="E47" s="41"/>
      <c r="F47" s="41"/>
    </row>
    <row r="49" spans="1:6" ht="12.75">
      <c r="A49" s="322" t="s">
        <v>445</v>
      </c>
      <c r="B49" s="323"/>
      <c r="C49" s="324"/>
      <c r="D49" s="41"/>
      <c r="E49" s="41"/>
      <c r="F49" s="41"/>
    </row>
    <row r="50" spans="1:6" ht="12.75">
      <c r="A50" s="322" t="s">
        <v>446</v>
      </c>
      <c r="B50" s="323"/>
      <c r="C50" s="324"/>
      <c r="D50" s="41"/>
      <c r="E50" s="41"/>
      <c r="F50" s="41"/>
    </row>
    <row r="51" spans="1:6" ht="12.75">
      <c r="A51" s="322" t="s">
        <v>447</v>
      </c>
      <c r="B51" s="323"/>
      <c r="C51" s="324"/>
      <c r="D51" s="41"/>
      <c r="E51" s="41"/>
      <c r="F51" s="41"/>
    </row>
    <row r="52" spans="1:6" ht="12.75">
      <c r="A52" s="291"/>
      <c r="B52" s="279"/>
      <c r="C52" s="279"/>
      <c r="D52" s="291"/>
      <c r="E52" s="291"/>
      <c r="F52" s="291"/>
    </row>
    <row r="53" spans="1:6" ht="12.75">
      <c r="A53" s="322" t="s">
        <v>522</v>
      </c>
      <c r="B53" s="323"/>
      <c r="C53" s="324"/>
      <c r="D53" s="325">
        <f>SUM(D49:D51)</f>
        <v>0</v>
      </c>
      <c r="E53" s="325">
        <f>SUM(E49:E51)</f>
        <v>0</v>
      </c>
      <c r="F53" s="325">
        <f>SUM(F49:F51)</f>
        <v>0</v>
      </c>
    </row>
    <row r="55" spans="1:6" ht="12.75">
      <c r="A55" s="322" t="s">
        <v>523</v>
      </c>
      <c r="B55" s="323"/>
      <c r="C55" s="324"/>
      <c r="D55" s="325">
        <f>D47-D53</f>
        <v>0</v>
      </c>
      <c r="E55" s="325">
        <f>E47-E53</f>
        <v>0</v>
      </c>
      <c r="F55" s="325">
        <f>F47-F53</f>
        <v>0</v>
      </c>
    </row>
    <row r="57" ht="12.75">
      <c r="A57" s="254" t="s">
        <v>448</v>
      </c>
    </row>
    <row r="58" ht="12.75">
      <c r="A58" s="254" t="s">
        <v>449</v>
      </c>
    </row>
    <row r="59" ht="12.75">
      <c r="A59" s="254" t="s">
        <v>450</v>
      </c>
    </row>
    <row r="62" spans="1:5" ht="12.75">
      <c r="A62" s="223" t="s">
        <v>451</v>
      </c>
      <c r="B62" s="223"/>
      <c r="C62" s="223"/>
      <c r="D62" s="223"/>
      <c r="E62" s="223"/>
    </row>
    <row r="64" spans="1:6" ht="12.75">
      <c r="A64" s="314" t="s">
        <v>452</v>
      </c>
      <c r="B64" s="315"/>
      <c r="C64" s="315"/>
      <c r="D64" s="315"/>
      <c r="E64" s="316"/>
      <c r="F64" s="335" t="s">
        <v>494</v>
      </c>
    </row>
    <row r="65" spans="1:6" ht="12.75">
      <c r="A65" s="319" t="s">
        <v>453</v>
      </c>
      <c r="B65" s="320"/>
      <c r="C65" s="320"/>
      <c r="D65" s="320"/>
      <c r="E65" s="321"/>
      <c r="F65" s="331" t="s">
        <v>495</v>
      </c>
    </row>
    <row r="66" spans="1:6" ht="12.75">
      <c r="A66" s="326" t="s">
        <v>372</v>
      </c>
      <c r="B66" s="323"/>
      <c r="C66" s="323"/>
      <c r="D66" s="323"/>
      <c r="E66" s="323"/>
      <c r="F66" s="41"/>
    </row>
    <row r="67" spans="1:6" ht="12.75">
      <c r="A67" s="326" t="s">
        <v>373</v>
      </c>
      <c r="B67" s="323"/>
      <c r="C67" s="323"/>
      <c r="D67" s="323"/>
      <c r="E67" s="323"/>
      <c r="F67" s="41"/>
    </row>
    <row r="68" spans="1:6" ht="12.75">
      <c r="A68" s="326" t="s">
        <v>374</v>
      </c>
      <c r="B68" s="323"/>
      <c r="C68" s="323"/>
      <c r="D68" s="323"/>
      <c r="E68" s="323"/>
      <c r="F68" s="41"/>
    </row>
    <row r="69" spans="1:6" ht="12.75">
      <c r="A69" s="326" t="s">
        <v>454</v>
      </c>
      <c r="B69" s="323"/>
      <c r="C69" s="323"/>
      <c r="D69" s="323"/>
      <c r="E69" s="323"/>
      <c r="F69" s="41"/>
    </row>
    <row r="70" spans="1:6" ht="12.75">
      <c r="A70" s="326" t="s">
        <v>455</v>
      </c>
      <c r="B70" s="323"/>
      <c r="C70" s="323"/>
      <c r="D70" s="323"/>
      <c r="E70" s="323"/>
      <c r="F70" s="41"/>
    </row>
    <row r="71" spans="1:6" ht="12.75">
      <c r="A71" s="326" t="s">
        <v>456</v>
      </c>
      <c r="B71" s="323"/>
      <c r="C71" s="323"/>
      <c r="D71" s="323"/>
      <c r="E71" s="323"/>
      <c r="F71" s="41"/>
    </row>
    <row r="72" spans="1:6" ht="12.75">
      <c r="A72" s="326" t="s">
        <v>457</v>
      </c>
      <c r="B72" s="323"/>
      <c r="C72" s="323"/>
      <c r="D72" s="323"/>
      <c r="E72" s="323"/>
      <c r="F72" s="41"/>
    </row>
    <row r="73" spans="1:6" ht="12.75">
      <c r="A73" s="326" t="s">
        <v>458</v>
      </c>
      <c r="B73" s="323"/>
      <c r="C73" s="323"/>
      <c r="D73" s="323"/>
      <c r="E73" s="323"/>
      <c r="F73" s="41"/>
    </row>
    <row r="74" ht="12.75">
      <c r="C74" s="279"/>
    </row>
    <row r="75" spans="1:6" ht="12.75">
      <c r="A75" s="326" t="s">
        <v>461</v>
      </c>
      <c r="B75" s="323"/>
      <c r="C75" s="323"/>
      <c r="D75" s="323"/>
      <c r="E75" s="324"/>
      <c r="F75" s="41"/>
    </row>
    <row r="76" spans="1:6" ht="12.75">
      <c r="A76" s="326" t="s">
        <v>462</v>
      </c>
      <c r="B76" s="323"/>
      <c r="C76" s="323"/>
      <c r="D76" s="323"/>
      <c r="E76" s="324"/>
      <c r="F76" s="41"/>
    </row>
    <row r="77" spans="1:6" ht="12.75">
      <c r="A77" s="326" t="s">
        <v>463</v>
      </c>
      <c r="B77" s="323"/>
      <c r="C77" s="323"/>
      <c r="D77" s="323"/>
      <c r="E77" s="316"/>
      <c r="F77" s="41"/>
    </row>
    <row r="78" spans="1:6" ht="12.75">
      <c r="A78" s="326" t="s">
        <v>465</v>
      </c>
      <c r="B78" s="323"/>
      <c r="C78" s="323"/>
      <c r="D78" s="323"/>
      <c r="E78" s="323"/>
      <c r="F78" s="327"/>
    </row>
    <row r="79" spans="1:6" ht="12.75">
      <c r="A79" s="326" t="s">
        <v>459</v>
      </c>
      <c r="B79" s="323"/>
      <c r="C79" s="323"/>
      <c r="D79" s="323"/>
      <c r="E79" s="321"/>
      <c r="F79" s="41"/>
    </row>
    <row r="80" spans="1:6" ht="12.75">
      <c r="A80" s="326" t="s">
        <v>460</v>
      </c>
      <c r="B80" s="323"/>
      <c r="C80" s="323"/>
      <c r="D80" s="323"/>
      <c r="E80" s="324"/>
      <c r="F80" s="41"/>
    </row>
    <row r="83" ht="12.75">
      <c r="A83" s="309"/>
    </row>
  </sheetData>
  <sheetProtection password="CDFB" sheet="1" objects="1" scenarios="1"/>
  <printOptions/>
  <pageMargins left="0.75" right="0.75" top="1" bottom="1" header="0.5" footer="0.5"/>
  <pageSetup horizontalDpi="600" verticalDpi="600" orientation="portrait" scale="5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>
    <tabColor indexed="50"/>
    <pageSetUpPr fitToPage="1"/>
  </sheetPr>
  <dimension ref="A1:O42"/>
  <sheetViews>
    <sheetView view="pageBreakPreview" zoomScale="60" workbookViewId="0" topLeftCell="A1">
      <selection activeCell="P39" sqref="P39"/>
    </sheetView>
  </sheetViews>
  <sheetFormatPr defaultColWidth="9.140625" defaultRowHeight="12.75"/>
  <cols>
    <col min="1" max="1" width="29.00390625" style="0" bestFit="1" customWidth="1"/>
    <col min="2" max="2" width="9.7109375" style="17" bestFit="1" customWidth="1"/>
    <col min="3" max="3" width="11.28125" style="17" bestFit="1" customWidth="1"/>
    <col min="4" max="4" width="9.7109375" style="17" customWidth="1"/>
    <col min="5" max="5" width="8.28125" style="0" customWidth="1"/>
    <col min="6" max="6" width="9.7109375" style="17" customWidth="1"/>
    <col min="7" max="7" width="11.28125" style="17" customWidth="1"/>
    <col min="8" max="8" width="9.7109375" style="17" customWidth="1"/>
    <col min="9" max="9" width="1.7109375" style="0" customWidth="1"/>
    <col min="10" max="10" width="9.7109375" style="17" customWidth="1"/>
    <col min="11" max="11" width="11.28125" style="17" customWidth="1"/>
    <col min="13" max="13" width="10.28125" style="0" customWidth="1"/>
    <col min="14" max="14" width="11.7109375" style="0" customWidth="1"/>
  </cols>
  <sheetData>
    <row r="1" ht="12.75">
      <c r="A1" s="2" t="s">
        <v>183</v>
      </c>
    </row>
    <row r="3" spans="2:15" ht="12.75">
      <c r="B3" s="31" t="s">
        <v>528</v>
      </c>
      <c r="C3" s="34"/>
      <c r="D3" s="34"/>
      <c r="E3" s="72"/>
      <c r="F3" s="34"/>
      <c r="G3" s="34"/>
      <c r="H3" s="36"/>
      <c r="I3" s="1"/>
      <c r="J3" s="345" t="s">
        <v>340</v>
      </c>
      <c r="K3" s="346"/>
      <c r="L3" s="347"/>
      <c r="M3" s="351" t="s">
        <v>341</v>
      </c>
      <c r="N3" s="346"/>
      <c r="O3" s="347"/>
    </row>
    <row r="4" spans="2:15" ht="12.75">
      <c r="B4" s="31" t="s">
        <v>212</v>
      </c>
      <c r="C4" s="34"/>
      <c r="D4" s="36"/>
      <c r="E4" s="1"/>
      <c r="F4" s="31" t="s">
        <v>211</v>
      </c>
      <c r="G4" s="34"/>
      <c r="H4" s="36"/>
      <c r="I4" s="1"/>
      <c r="J4" s="348" t="s">
        <v>339</v>
      </c>
      <c r="K4" s="349"/>
      <c r="L4" s="350"/>
      <c r="M4" s="352" t="s">
        <v>342</v>
      </c>
      <c r="N4" s="349"/>
      <c r="O4" s="350"/>
    </row>
    <row r="5" spans="2:15" ht="12.75">
      <c r="B5" s="71" t="s">
        <v>100</v>
      </c>
      <c r="C5" s="71" t="s">
        <v>193</v>
      </c>
      <c r="D5" s="71" t="s">
        <v>101</v>
      </c>
      <c r="E5" s="28" t="s">
        <v>102</v>
      </c>
      <c r="F5" s="71" t="s">
        <v>100</v>
      </c>
      <c r="G5" s="49" t="s">
        <v>193</v>
      </c>
      <c r="H5" s="71" t="s">
        <v>101</v>
      </c>
      <c r="J5" s="71" t="s">
        <v>100</v>
      </c>
      <c r="K5" s="71" t="s">
        <v>193</v>
      </c>
      <c r="L5" s="71" t="s">
        <v>101</v>
      </c>
      <c r="M5" s="71" t="s">
        <v>100</v>
      </c>
      <c r="N5" s="71" t="s">
        <v>193</v>
      </c>
      <c r="O5" s="71" t="s">
        <v>101</v>
      </c>
    </row>
    <row r="6" spans="2:15" ht="12.75">
      <c r="B6" s="45">
        <v>2004</v>
      </c>
      <c r="C6" s="45">
        <v>2004</v>
      </c>
      <c r="D6" s="45">
        <v>2005</v>
      </c>
      <c r="E6" s="43" t="s">
        <v>103</v>
      </c>
      <c r="F6" s="45">
        <v>2004</v>
      </c>
      <c r="G6" s="45">
        <v>2004</v>
      </c>
      <c r="H6" s="45">
        <v>2005</v>
      </c>
      <c r="I6" s="44"/>
      <c r="J6" s="45">
        <v>2004</v>
      </c>
      <c r="K6" s="45">
        <v>2004</v>
      </c>
      <c r="L6" s="45">
        <v>2005</v>
      </c>
      <c r="M6" s="45">
        <v>2004</v>
      </c>
      <c r="N6" s="45">
        <v>2004</v>
      </c>
      <c r="O6" s="45">
        <v>2005</v>
      </c>
    </row>
    <row r="7" spans="4:15" ht="13.5">
      <c r="D7" s="198" t="s">
        <v>511</v>
      </c>
      <c r="E7" s="1"/>
      <c r="F7" s="22"/>
      <c r="G7" s="22"/>
      <c r="H7" s="198" t="s">
        <v>511</v>
      </c>
      <c r="L7" s="198" t="s">
        <v>511</v>
      </c>
      <c r="O7" s="198" t="s">
        <v>511</v>
      </c>
    </row>
    <row r="8" spans="1:15" ht="12.75">
      <c r="A8" t="s">
        <v>72</v>
      </c>
      <c r="B8" s="33"/>
      <c r="C8" s="33"/>
      <c r="D8" s="33"/>
      <c r="E8" s="14">
        <v>1.26</v>
      </c>
      <c r="F8" s="21">
        <f>ROUND(B8*E8,0)</f>
        <v>0</v>
      </c>
      <c r="G8" s="21">
        <f>ROUND(C8*E8,0)</f>
        <v>0</v>
      </c>
      <c r="H8" s="21">
        <f>D8*E8</f>
        <v>0</v>
      </c>
      <c r="J8" s="33"/>
      <c r="K8" s="33"/>
      <c r="L8" s="33"/>
      <c r="M8" s="41"/>
      <c r="N8" s="41"/>
      <c r="O8" s="41"/>
    </row>
    <row r="9" spans="1:15" ht="12.75">
      <c r="A9" t="s">
        <v>73</v>
      </c>
      <c r="B9" s="33"/>
      <c r="C9" s="33"/>
      <c r="D9" s="33"/>
      <c r="E9" s="14">
        <v>1.75</v>
      </c>
      <c r="F9" s="21">
        <f aca="true" t="shared" si="0" ref="F9:F27">ROUND(B9*E9,0)</f>
        <v>0</v>
      </c>
      <c r="G9" s="21">
        <f aca="true" t="shared" si="1" ref="G9:G27">ROUND(C9*E9,0)</f>
        <v>0</v>
      </c>
      <c r="H9" s="21">
        <f aca="true" t="shared" si="2" ref="H9:H27">D9*E9</f>
        <v>0</v>
      </c>
      <c r="J9" s="33"/>
      <c r="K9" s="33"/>
      <c r="L9" s="33"/>
      <c r="M9" s="41"/>
      <c r="N9" s="41"/>
      <c r="O9" s="41"/>
    </row>
    <row r="10" spans="1:15" ht="12.75">
      <c r="A10" t="s">
        <v>74</v>
      </c>
      <c r="B10" s="33"/>
      <c r="C10" s="33"/>
      <c r="D10" s="33"/>
      <c r="E10" s="14">
        <v>1.52</v>
      </c>
      <c r="F10" s="21">
        <f t="shared" si="0"/>
        <v>0</v>
      </c>
      <c r="G10" s="21">
        <f t="shared" si="1"/>
        <v>0</v>
      </c>
      <c r="H10" s="21">
        <f t="shared" si="2"/>
        <v>0</v>
      </c>
      <c r="J10" s="33"/>
      <c r="K10" s="33"/>
      <c r="L10" s="33"/>
      <c r="M10" s="41"/>
      <c r="N10" s="41"/>
      <c r="O10" s="41"/>
    </row>
    <row r="11" spans="1:15" ht="12.75">
      <c r="A11" t="s">
        <v>75</v>
      </c>
      <c r="B11" s="33"/>
      <c r="C11" s="33"/>
      <c r="D11" s="33"/>
      <c r="E11" s="14">
        <v>1.23</v>
      </c>
      <c r="F11" s="21">
        <f t="shared" si="0"/>
        <v>0</v>
      </c>
      <c r="G11" s="21">
        <f t="shared" si="1"/>
        <v>0</v>
      </c>
      <c r="H11" s="21">
        <f t="shared" si="2"/>
        <v>0</v>
      </c>
      <c r="J11" s="33"/>
      <c r="K11" s="33"/>
      <c r="L11" s="33"/>
      <c r="M11" s="41"/>
      <c r="N11" s="41"/>
      <c r="O11" s="41"/>
    </row>
    <row r="12" spans="1:15" ht="12.75">
      <c r="A12" t="s">
        <v>76</v>
      </c>
      <c r="B12" s="33"/>
      <c r="C12" s="33"/>
      <c r="D12" s="33"/>
      <c r="E12" s="14">
        <v>0.88</v>
      </c>
      <c r="F12" s="21">
        <f t="shared" si="0"/>
        <v>0</v>
      </c>
      <c r="G12" s="21">
        <f t="shared" si="1"/>
        <v>0</v>
      </c>
      <c r="H12" s="21">
        <f t="shared" si="2"/>
        <v>0</v>
      </c>
      <c r="J12" s="33"/>
      <c r="K12" s="33"/>
      <c r="L12" s="33"/>
      <c r="M12" s="41"/>
      <c r="N12" s="41"/>
      <c r="O12" s="41"/>
    </row>
    <row r="13" spans="1:15" ht="12.75">
      <c r="A13" t="s">
        <v>77</v>
      </c>
      <c r="B13" s="33"/>
      <c r="C13" s="33"/>
      <c r="D13" s="33"/>
      <c r="E13" s="14">
        <v>1.26</v>
      </c>
      <c r="F13" s="21">
        <f t="shared" si="0"/>
        <v>0</v>
      </c>
      <c r="G13" s="21">
        <f t="shared" si="1"/>
        <v>0</v>
      </c>
      <c r="H13" s="21">
        <f t="shared" si="2"/>
        <v>0</v>
      </c>
      <c r="J13" s="33"/>
      <c r="K13" s="33"/>
      <c r="L13" s="33"/>
      <c r="M13" s="41"/>
      <c r="N13" s="41"/>
      <c r="O13" s="41"/>
    </row>
    <row r="14" spans="1:15" ht="12.75">
      <c r="A14" t="s">
        <v>78</v>
      </c>
      <c r="B14" s="33"/>
      <c r="C14" s="33"/>
      <c r="D14" s="33"/>
      <c r="E14" s="14">
        <v>0.2</v>
      </c>
      <c r="F14" s="21">
        <f t="shared" si="0"/>
        <v>0</v>
      </c>
      <c r="G14" s="21">
        <f t="shared" si="1"/>
        <v>0</v>
      </c>
      <c r="H14" s="21">
        <f t="shared" si="2"/>
        <v>0</v>
      </c>
      <c r="J14" s="33"/>
      <c r="K14" s="33"/>
      <c r="L14" s="33"/>
      <c r="M14" s="41"/>
      <c r="N14" s="41"/>
      <c r="O14" s="41"/>
    </row>
    <row r="15" spans="1:15" ht="12.75">
      <c r="A15" t="s">
        <v>79</v>
      </c>
      <c r="B15" s="33"/>
      <c r="C15" s="33"/>
      <c r="D15" s="33"/>
      <c r="E15" s="14">
        <v>0.73</v>
      </c>
      <c r="F15" s="21">
        <f t="shared" si="0"/>
        <v>0</v>
      </c>
      <c r="G15" s="21">
        <f t="shared" si="1"/>
        <v>0</v>
      </c>
      <c r="H15" s="21">
        <f t="shared" si="2"/>
        <v>0</v>
      </c>
      <c r="J15" s="33"/>
      <c r="K15" s="33"/>
      <c r="L15" s="33"/>
      <c r="M15" s="41"/>
      <c r="N15" s="41"/>
      <c r="O15" s="41"/>
    </row>
    <row r="16" spans="1:15" ht="12.75">
      <c r="A16" t="s">
        <v>80</v>
      </c>
      <c r="B16" s="33"/>
      <c r="C16" s="33"/>
      <c r="D16" s="33"/>
      <c r="E16" s="14">
        <v>1.47</v>
      </c>
      <c r="F16" s="21">
        <f t="shared" si="0"/>
        <v>0</v>
      </c>
      <c r="G16" s="21">
        <f t="shared" si="1"/>
        <v>0</v>
      </c>
      <c r="H16" s="21">
        <f t="shared" si="2"/>
        <v>0</v>
      </c>
      <c r="J16" s="33"/>
      <c r="K16" s="33"/>
      <c r="L16" s="33"/>
      <c r="M16" s="41"/>
      <c r="N16" s="41"/>
      <c r="O16" s="41"/>
    </row>
    <row r="17" spans="1:15" ht="12.75">
      <c r="A17" t="s">
        <v>81</v>
      </c>
      <c r="B17" s="33"/>
      <c r="C17" s="33"/>
      <c r="D17" s="33"/>
      <c r="E17" s="14">
        <v>1.45</v>
      </c>
      <c r="F17" s="21">
        <f t="shared" si="0"/>
        <v>0</v>
      </c>
      <c r="G17" s="21">
        <f t="shared" si="1"/>
        <v>0</v>
      </c>
      <c r="H17" s="21">
        <f t="shared" si="2"/>
        <v>0</v>
      </c>
      <c r="J17" s="33"/>
      <c r="K17" s="33"/>
      <c r="L17" s="33"/>
      <c r="M17" s="41"/>
      <c r="N17" s="41"/>
      <c r="O17" s="41"/>
    </row>
    <row r="18" spans="1:15" ht="12.75">
      <c r="A18" t="s">
        <v>82</v>
      </c>
      <c r="B18" s="33"/>
      <c r="C18" s="33"/>
      <c r="D18" s="33"/>
      <c r="E18" s="14">
        <v>0.93</v>
      </c>
      <c r="F18" s="21">
        <f t="shared" si="0"/>
        <v>0</v>
      </c>
      <c r="G18" s="21">
        <f t="shared" si="1"/>
        <v>0</v>
      </c>
      <c r="H18" s="21">
        <f t="shared" si="2"/>
        <v>0</v>
      </c>
      <c r="J18" s="33"/>
      <c r="K18" s="33"/>
      <c r="L18" s="33"/>
      <c r="M18" s="41"/>
      <c r="N18" s="41"/>
      <c r="O18" s="41"/>
    </row>
    <row r="19" spans="1:15" ht="12.75">
      <c r="A19" t="s">
        <v>83</v>
      </c>
      <c r="B19" s="33"/>
      <c r="C19" s="33"/>
      <c r="D19" s="33"/>
      <c r="E19" s="14">
        <v>0.66</v>
      </c>
      <c r="F19" s="21">
        <f t="shared" si="0"/>
        <v>0</v>
      </c>
      <c r="G19" s="21">
        <f t="shared" si="1"/>
        <v>0</v>
      </c>
      <c r="H19" s="21">
        <f t="shared" si="2"/>
        <v>0</v>
      </c>
      <c r="J19" s="33"/>
      <c r="K19" s="33"/>
      <c r="L19" s="33"/>
      <c r="M19" s="41"/>
      <c r="N19" s="41"/>
      <c r="O19" s="41"/>
    </row>
    <row r="20" spans="1:15" ht="12.75">
      <c r="A20" t="s">
        <v>84</v>
      </c>
      <c r="B20" s="33"/>
      <c r="C20" s="33"/>
      <c r="D20" s="33"/>
      <c r="E20" s="14">
        <v>1.09</v>
      </c>
      <c r="F20" s="21">
        <f t="shared" si="0"/>
        <v>0</v>
      </c>
      <c r="G20" s="21">
        <f t="shared" si="1"/>
        <v>0</v>
      </c>
      <c r="H20" s="21">
        <f t="shared" si="2"/>
        <v>0</v>
      </c>
      <c r="J20" s="33"/>
      <c r="K20" s="33"/>
      <c r="L20" s="33"/>
      <c r="M20" s="41"/>
      <c r="N20" s="41"/>
      <c r="O20" s="41"/>
    </row>
    <row r="21" spans="1:15" ht="12.75">
      <c r="A21" t="s">
        <v>85</v>
      </c>
      <c r="B21" s="33"/>
      <c r="C21" s="33"/>
      <c r="D21" s="33"/>
      <c r="E21" s="14">
        <v>2.14</v>
      </c>
      <c r="F21" s="21">
        <f t="shared" si="0"/>
        <v>0</v>
      </c>
      <c r="G21" s="21">
        <f t="shared" si="1"/>
        <v>0</v>
      </c>
      <c r="H21" s="21">
        <f t="shared" si="2"/>
        <v>0</v>
      </c>
      <c r="J21" s="33"/>
      <c r="K21" s="33"/>
      <c r="L21" s="33"/>
      <c r="M21" s="41"/>
      <c r="N21" s="41"/>
      <c r="O21" s="41"/>
    </row>
    <row r="22" spans="1:15" ht="12.75">
      <c r="A22" t="s">
        <v>86</v>
      </c>
      <c r="B22" s="33"/>
      <c r="C22" s="33"/>
      <c r="D22" s="33"/>
      <c r="E22" s="14">
        <v>0.73</v>
      </c>
      <c r="F22" s="21">
        <f t="shared" si="0"/>
        <v>0</v>
      </c>
      <c r="G22" s="21">
        <f t="shared" si="1"/>
        <v>0</v>
      </c>
      <c r="H22" s="21">
        <f t="shared" si="2"/>
        <v>0</v>
      </c>
      <c r="J22" s="33"/>
      <c r="K22" s="33"/>
      <c r="L22" s="33"/>
      <c r="M22" s="41"/>
      <c r="N22" s="41"/>
      <c r="O22" s="41"/>
    </row>
    <row r="23" spans="1:15" ht="12.75">
      <c r="A23" t="s">
        <v>87</v>
      </c>
      <c r="B23" s="33"/>
      <c r="C23" s="33"/>
      <c r="D23" s="33"/>
      <c r="E23" s="14">
        <v>0.18</v>
      </c>
      <c r="F23" s="21">
        <f t="shared" si="0"/>
        <v>0</v>
      </c>
      <c r="G23" s="21">
        <f t="shared" si="1"/>
        <v>0</v>
      </c>
      <c r="H23" s="21">
        <f t="shared" si="2"/>
        <v>0</v>
      </c>
      <c r="J23" s="33"/>
      <c r="K23" s="33"/>
      <c r="L23" s="33"/>
      <c r="M23" s="41"/>
      <c r="N23" s="41"/>
      <c r="O23" s="41"/>
    </row>
    <row r="24" spans="1:15" ht="12.75">
      <c r="A24" t="s">
        <v>88</v>
      </c>
      <c r="B24" s="33"/>
      <c r="C24" s="33"/>
      <c r="D24" s="33"/>
      <c r="E24" s="14">
        <v>0.25</v>
      </c>
      <c r="F24" s="21">
        <f t="shared" si="0"/>
        <v>0</v>
      </c>
      <c r="G24" s="21">
        <f t="shared" si="1"/>
        <v>0</v>
      </c>
      <c r="H24" s="21">
        <f t="shared" si="2"/>
        <v>0</v>
      </c>
      <c r="J24" s="33"/>
      <c r="K24" s="33"/>
      <c r="L24" s="33"/>
      <c r="M24" s="41"/>
      <c r="N24" s="41"/>
      <c r="O24" s="41"/>
    </row>
    <row r="25" spans="1:15" ht="12.75">
      <c r="A25" t="s">
        <v>89</v>
      </c>
      <c r="B25" s="33"/>
      <c r="C25" s="33"/>
      <c r="D25" s="33"/>
      <c r="E25" s="14">
        <v>0.37</v>
      </c>
      <c r="F25" s="21">
        <f t="shared" si="0"/>
        <v>0</v>
      </c>
      <c r="G25" s="21">
        <f t="shared" si="1"/>
        <v>0</v>
      </c>
      <c r="H25" s="21">
        <f t="shared" si="2"/>
        <v>0</v>
      </c>
      <c r="J25" s="33"/>
      <c r="K25" s="33"/>
      <c r="L25" s="33"/>
      <c r="M25" s="41"/>
      <c r="N25" s="41"/>
      <c r="O25" s="41"/>
    </row>
    <row r="26" spans="1:15" ht="12.75">
      <c r="A26" t="s">
        <v>90</v>
      </c>
      <c r="B26" s="33"/>
      <c r="C26" s="33"/>
      <c r="D26" s="33"/>
      <c r="E26" s="14">
        <v>1.24</v>
      </c>
      <c r="F26" s="21">
        <f t="shared" si="0"/>
        <v>0</v>
      </c>
      <c r="G26" s="21">
        <f t="shared" si="1"/>
        <v>0</v>
      </c>
      <c r="H26" s="21">
        <f t="shared" si="2"/>
        <v>0</v>
      </c>
      <c r="J26" s="33"/>
      <c r="K26" s="33"/>
      <c r="L26" s="33"/>
      <c r="M26" s="41"/>
      <c r="N26" s="41"/>
      <c r="O26" s="41"/>
    </row>
    <row r="27" spans="1:15" ht="12.75">
      <c r="A27" t="s">
        <v>91</v>
      </c>
      <c r="B27" s="33"/>
      <c r="C27" s="33"/>
      <c r="D27" s="33"/>
      <c r="E27" s="14">
        <v>0.9</v>
      </c>
      <c r="F27" s="21">
        <f t="shared" si="0"/>
        <v>0</v>
      </c>
      <c r="G27" s="21">
        <f t="shared" si="1"/>
        <v>0</v>
      </c>
      <c r="H27" s="21">
        <f t="shared" si="2"/>
        <v>0</v>
      </c>
      <c r="J27" s="33"/>
      <c r="K27" s="33"/>
      <c r="L27" s="33"/>
      <c r="M27" s="41"/>
      <c r="N27" s="41"/>
      <c r="O27" s="41"/>
    </row>
    <row r="28" spans="1:15" ht="12.75">
      <c r="A28" t="s">
        <v>92</v>
      </c>
      <c r="B28" s="103"/>
      <c r="C28" s="103"/>
      <c r="D28" s="103"/>
      <c r="E28" s="15"/>
      <c r="F28" s="22"/>
      <c r="G28" s="22"/>
      <c r="H28" s="22"/>
      <c r="J28" s="103"/>
      <c r="K28" s="103"/>
      <c r="L28" s="104"/>
      <c r="M28" s="104"/>
      <c r="N28" s="104"/>
      <c r="O28" s="104"/>
    </row>
    <row r="29" spans="1:15" ht="12.75">
      <c r="A29" t="s">
        <v>93</v>
      </c>
      <c r="B29" s="103"/>
      <c r="C29" s="103"/>
      <c r="D29" s="103"/>
      <c r="E29" s="15"/>
      <c r="F29" s="22"/>
      <c r="G29" s="22"/>
      <c r="H29" s="22"/>
      <c r="J29" s="103"/>
      <c r="K29" s="103"/>
      <c r="L29" s="104"/>
      <c r="M29" s="104"/>
      <c r="N29" s="104"/>
      <c r="O29" s="104"/>
    </row>
    <row r="30" spans="1:15" ht="12.75">
      <c r="A30" t="s">
        <v>94</v>
      </c>
      <c r="B30" s="33"/>
      <c r="C30" s="33"/>
      <c r="D30" s="33"/>
      <c r="E30" s="14">
        <v>0.66</v>
      </c>
      <c r="F30" s="21">
        <f>ROUND(B30*E30,0)</f>
        <v>0</v>
      </c>
      <c r="G30" s="21">
        <f>ROUND(C30*E30,0)</f>
        <v>0</v>
      </c>
      <c r="H30" s="21">
        <f>D30*E30</f>
        <v>0</v>
      </c>
      <c r="J30" s="33"/>
      <c r="K30" s="33"/>
      <c r="L30" s="33"/>
      <c r="M30" s="41"/>
      <c r="N30" s="41"/>
      <c r="O30" s="41"/>
    </row>
    <row r="31" spans="1:11" ht="12.75">
      <c r="A31" t="s">
        <v>95</v>
      </c>
      <c r="B31" s="26"/>
      <c r="C31" s="26"/>
      <c r="D31" s="26"/>
      <c r="E31" s="15"/>
      <c r="F31" s="22"/>
      <c r="G31" s="22"/>
      <c r="H31" s="22"/>
      <c r="J31" s="22"/>
      <c r="K31" s="22"/>
    </row>
    <row r="32" spans="1:11" ht="12.75">
      <c r="A32" t="s">
        <v>96</v>
      </c>
      <c r="B32" s="22"/>
      <c r="C32" s="22"/>
      <c r="D32" s="22"/>
      <c r="E32" s="15"/>
      <c r="F32" s="22"/>
      <c r="G32" s="22"/>
      <c r="H32" s="22"/>
      <c r="I32" s="1"/>
      <c r="J32" s="22"/>
      <c r="K32" s="22"/>
    </row>
    <row r="33" spans="1:15" ht="12.75">
      <c r="A33" s="12" t="s">
        <v>97</v>
      </c>
      <c r="B33" s="33"/>
      <c r="C33" s="33"/>
      <c r="D33" s="33"/>
      <c r="E33" s="14">
        <v>0.53</v>
      </c>
      <c r="F33" s="21">
        <f>ROUND(B33*E33,0)</f>
        <v>0</v>
      </c>
      <c r="G33" s="21">
        <f>ROUND(C33*E33,0)</f>
        <v>0</v>
      </c>
      <c r="H33" s="21">
        <f>D33*E33</f>
        <v>0</v>
      </c>
      <c r="J33" s="33"/>
      <c r="K33" s="33"/>
      <c r="L33" s="33"/>
      <c r="M33" s="41"/>
      <c r="N33" s="41"/>
      <c r="O33" s="41"/>
    </row>
    <row r="34" spans="1:15" ht="12.75">
      <c r="A34" s="12" t="s">
        <v>98</v>
      </c>
      <c r="B34" s="33"/>
      <c r="C34" s="33"/>
      <c r="D34" s="33"/>
      <c r="E34" s="14">
        <v>0.37</v>
      </c>
      <c r="F34" s="21">
        <f>ROUND(B34*E34,0)</f>
        <v>0</v>
      </c>
      <c r="G34" s="21">
        <f>ROUND(C34*E34,0)</f>
        <v>0</v>
      </c>
      <c r="H34" s="21">
        <f>D34*E34</f>
        <v>0</v>
      </c>
      <c r="J34" s="33"/>
      <c r="K34" s="33"/>
      <c r="L34" s="33"/>
      <c r="M34" s="41"/>
      <c r="N34" s="41"/>
      <c r="O34" s="41"/>
    </row>
    <row r="35" spans="1:15" ht="12.75">
      <c r="A35" t="s">
        <v>99</v>
      </c>
      <c r="B35" s="33"/>
      <c r="C35" s="33"/>
      <c r="D35" s="33"/>
      <c r="E35" s="14">
        <v>1.64</v>
      </c>
      <c r="F35" s="21">
        <f>ROUND(B35*E35,0)</f>
        <v>0</v>
      </c>
      <c r="G35" s="21">
        <f>ROUND(C35*E35,0)</f>
        <v>0</v>
      </c>
      <c r="H35" s="21">
        <f>D35*E35</f>
        <v>0</v>
      </c>
      <c r="J35" s="33"/>
      <c r="K35" s="33"/>
      <c r="L35" s="33"/>
      <c r="M35" s="41"/>
      <c r="N35" s="41"/>
      <c r="O35" s="41"/>
    </row>
    <row r="37" spans="1:15" ht="12.75">
      <c r="A37" t="s">
        <v>105</v>
      </c>
      <c r="B37" s="21">
        <f>SUM(B8:B35)</f>
        <v>0</v>
      </c>
      <c r="C37" s="21">
        <f>SUM(C8:C35)</f>
        <v>0</v>
      </c>
      <c r="D37" s="21">
        <f>SUM(D8:D35)</f>
        <v>0</v>
      </c>
      <c r="F37" s="21">
        <f>SUM(F8:F35)</f>
        <v>0</v>
      </c>
      <c r="G37" s="21">
        <f>SUM(G8:G35)</f>
        <v>0</v>
      </c>
      <c r="H37" s="21">
        <f>SUM(H8:H35)</f>
        <v>0</v>
      </c>
      <c r="J37" s="21">
        <f aca="true" t="shared" si="3" ref="J37:O37">SUM(J8:J35)</f>
        <v>0</v>
      </c>
      <c r="K37" s="21">
        <f t="shared" si="3"/>
        <v>0</v>
      </c>
      <c r="L37" s="21">
        <f t="shared" si="3"/>
        <v>0</v>
      </c>
      <c r="M37" s="21">
        <f t="shared" si="3"/>
        <v>0</v>
      </c>
      <c r="N37" s="21">
        <f t="shared" si="3"/>
        <v>0</v>
      </c>
      <c r="O37" s="21">
        <f t="shared" si="3"/>
        <v>0</v>
      </c>
    </row>
    <row r="38" spans="7:11" ht="12.75">
      <c r="G38" s="16" t="s">
        <v>106</v>
      </c>
      <c r="H38" s="16"/>
      <c r="K38" s="16" t="s">
        <v>106</v>
      </c>
    </row>
    <row r="39" spans="7:11" ht="12.75">
      <c r="G39" s="16" t="s">
        <v>112</v>
      </c>
      <c r="H39" s="16"/>
      <c r="K39" s="16" t="s">
        <v>112</v>
      </c>
    </row>
    <row r="40" spans="1:11" ht="13.5">
      <c r="A40" s="313" t="s">
        <v>526</v>
      </c>
      <c r="G40" s="16"/>
      <c r="H40" s="16"/>
      <c r="K40" s="16"/>
    </row>
    <row r="41" spans="1:11" ht="12.75">
      <c r="A41" s="201" t="s">
        <v>527</v>
      </c>
      <c r="G41" s="16"/>
      <c r="H41" s="16"/>
      <c r="K41" s="16"/>
    </row>
    <row r="42" ht="12.75">
      <c r="A42" t="s">
        <v>377</v>
      </c>
    </row>
  </sheetData>
  <sheetProtection password="CDFB" sheet="1" objects="1" scenarios="1"/>
  <mergeCells count="4">
    <mergeCell ref="J3:L3"/>
    <mergeCell ref="J4:L4"/>
    <mergeCell ref="M3:O3"/>
    <mergeCell ref="M4:O4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75" r:id="rId1"/>
  <headerFooter alignWithMargins="0">
    <oddFooter>&amp;Rblad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>
    <tabColor indexed="50"/>
    <pageSetUpPr fitToPage="1"/>
  </sheetPr>
  <dimension ref="A1:L42"/>
  <sheetViews>
    <sheetView view="pageBreakPreview" zoomScale="75" zoomScaleSheetLayoutView="75" workbookViewId="0" topLeftCell="A1">
      <selection activeCell="N35" sqref="N35"/>
    </sheetView>
  </sheetViews>
  <sheetFormatPr defaultColWidth="9.140625" defaultRowHeight="12.75"/>
  <cols>
    <col min="1" max="1" width="29.00390625" style="0" bestFit="1" customWidth="1"/>
    <col min="2" max="2" width="9.140625" style="17" customWidth="1"/>
    <col min="3" max="3" width="11.28125" style="17" customWidth="1"/>
    <col min="4" max="4" width="9.8515625" style="17" bestFit="1" customWidth="1"/>
    <col min="5" max="5" width="8.28125" style="0" customWidth="1"/>
    <col min="6" max="6" width="8.28125" style="17" customWidth="1"/>
    <col min="7" max="7" width="11.28125" style="17" customWidth="1"/>
    <col min="8" max="8" width="9.8515625" style="17" bestFit="1" customWidth="1"/>
    <col min="9" max="9" width="1.7109375" style="0" customWidth="1"/>
    <col min="10" max="10" width="9.7109375" style="17" bestFit="1" customWidth="1"/>
    <col min="11" max="11" width="11.28125" style="17" bestFit="1" customWidth="1"/>
    <col min="12" max="12" width="9.8515625" style="0" bestFit="1" customWidth="1"/>
  </cols>
  <sheetData>
    <row r="1" ht="12.75">
      <c r="A1" s="2" t="s">
        <v>71</v>
      </c>
    </row>
    <row r="2" ht="12.75">
      <c r="A2" s="2"/>
    </row>
    <row r="3" spans="2:12" ht="12.75">
      <c r="B3" s="31"/>
      <c r="C3" s="35"/>
      <c r="D3" s="35"/>
      <c r="E3" s="27" t="s">
        <v>104</v>
      </c>
      <c r="F3" s="35"/>
      <c r="G3" s="35"/>
      <c r="H3" s="36"/>
      <c r="J3" s="356" t="s">
        <v>115</v>
      </c>
      <c r="K3" s="357"/>
      <c r="L3" s="358"/>
    </row>
    <row r="4" spans="2:8" ht="12.75">
      <c r="B4" s="353" t="s">
        <v>113</v>
      </c>
      <c r="C4" s="354"/>
      <c r="D4" s="359"/>
      <c r="E4" s="13"/>
      <c r="F4" s="353" t="s">
        <v>114</v>
      </c>
      <c r="G4" s="354"/>
      <c r="H4" s="355"/>
    </row>
    <row r="5" spans="2:12" ht="12.75">
      <c r="B5" s="32" t="s">
        <v>100</v>
      </c>
      <c r="C5" s="49" t="s">
        <v>193</v>
      </c>
      <c r="D5" s="32" t="s">
        <v>70</v>
      </c>
      <c r="E5" s="28" t="s">
        <v>102</v>
      </c>
      <c r="F5" s="18" t="s">
        <v>100</v>
      </c>
      <c r="G5" s="49" t="s">
        <v>193</v>
      </c>
      <c r="H5" s="18" t="s">
        <v>101</v>
      </c>
      <c r="J5" s="18" t="s">
        <v>100</v>
      </c>
      <c r="K5" s="18" t="s">
        <v>193</v>
      </c>
      <c r="L5" s="18" t="s">
        <v>101</v>
      </c>
    </row>
    <row r="6" spans="2:12" ht="12.75">
      <c r="B6" s="45">
        <v>2004</v>
      </c>
      <c r="C6" s="45">
        <v>2004</v>
      </c>
      <c r="D6" s="45">
        <v>2005</v>
      </c>
      <c r="E6" s="43" t="s">
        <v>103</v>
      </c>
      <c r="F6" s="45">
        <v>2004</v>
      </c>
      <c r="G6" s="45">
        <v>2004</v>
      </c>
      <c r="H6" s="45">
        <v>2005</v>
      </c>
      <c r="I6" s="44"/>
      <c r="J6" s="45">
        <v>2004</v>
      </c>
      <c r="K6" s="45">
        <v>2004</v>
      </c>
      <c r="L6" s="45">
        <v>2005</v>
      </c>
    </row>
    <row r="7" spans="4:12" ht="13.5">
      <c r="D7" s="198" t="s">
        <v>511</v>
      </c>
      <c r="H7" s="198" t="s">
        <v>511</v>
      </c>
      <c r="L7" s="198" t="s">
        <v>511</v>
      </c>
    </row>
    <row r="8" spans="1:12" ht="12.75">
      <c r="A8" t="s">
        <v>72</v>
      </c>
      <c r="B8" s="33"/>
      <c r="C8" s="33"/>
      <c r="D8" s="33"/>
      <c r="E8" s="14">
        <v>1.26</v>
      </c>
      <c r="F8" s="21">
        <f>ROUND(B8*E8,0)</f>
        <v>0</v>
      </c>
      <c r="G8" s="21">
        <f>ROUND(C8*E8,0)</f>
        <v>0</v>
      </c>
      <c r="H8" s="21">
        <f>D8*E8</f>
        <v>0</v>
      </c>
      <c r="J8" s="33"/>
      <c r="K8" s="33"/>
      <c r="L8" s="33"/>
    </row>
    <row r="9" spans="1:12" ht="12.75">
      <c r="A9" t="s">
        <v>73</v>
      </c>
      <c r="B9" s="33"/>
      <c r="C9" s="33"/>
      <c r="D9" s="33"/>
      <c r="E9" s="14">
        <v>1.75</v>
      </c>
      <c r="F9" s="21">
        <f aca="true" t="shared" si="0" ref="F9:F27">ROUND(B9*E9,0)</f>
        <v>0</v>
      </c>
      <c r="G9" s="21">
        <f aca="true" t="shared" si="1" ref="G9:G27">ROUND(C9*E9,0)</f>
        <v>0</v>
      </c>
      <c r="H9" s="21">
        <f aca="true" t="shared" si="2" ref="H9:H27">D9*E9</f>
        <v>0</v>
      </c>
      <c r="J9" s="33"/>
      <c r="K9" s="33"/>
      <c r="L9" s="33"/>
    </row>
    <row r="10" spans="1:12" ht="12.75">
      <c r="A10" t="s">
        <v>74</v>
      </c>
      <c r="B10" s="33"/>
      <c r="C10" s="33"/>
      <c r="D10" s="33"/>
      <c r="E10" s="14">
        <v>1.52</v>
      </c>
      <c r="F10" s="21">
        <f t="shared" si="0"/>
        <v>0</v>
      </c>
      <c r="G10" s="21">
        <f t="shared" si="1"/>
        <v>0</v>
      </c>
      <c r="H10" s="21">
        <f t="shared" si="2"/>
        <v>0</v>
      </c>
      <c r="J10" s="33"/>
      <c r="K10" s="33"/>
      <c r="L10" s="33"/>
    </row>
    <row r="11" spans="1:12" ht="12.75">
      <c r="A11" t="s">
        <v>75</v>
      </c>
      <c r="B11" s="33"/>
      <c r="C11" s="33"/>
      <c r="D11" s="33"/>
      <c r="E11" s="14">
        <v>1.23</v>
      </c>
      <c r="F11" s="21">
        <f t="shared" si="0"/>
        <v>0</v>
      </c>
      <c r="G11" s="21">
        <f t="shared" si="1"/>
        <v>0</v>
      </c>
      <c r="H11" s="21">
        <f t="shared" si="2"/>
        <v>0</v>
      </c>
      <c r="J11" s="33"/>
      <c r="K11" s="33"/>
      <c r="L11" s="33"/>
    </row>
    <row r="12" spans="1:12" ht="12.75">
      <c r="A12" t="s">
        <v>76</v>
      </c>
      <c r="B12" s="33"/>
      <c r="C12" s="33"/>
      <c r="D12" s="33"/>
      <c r="E12" s="14">
        <v>0.88</v>
      </c>
      <c r="F12" s="21">
        <f t="shared" si="0"/>
        <v>0</v>
      </c>
      <c r="G12" s="21">
        <f t="shared" si="1"/>
        <v>0</v>
      </c>
      <c r="H12" s="21">
        <f t="shared" si="2"/>
        <v>0</v>
      </c>
      <c r="J12" s="33"/>
      <c r="K12" s="33"/>
      <c r="L12" s="33"/>
    </row>
    <row r="13" spans="1:12" ht="12.75">
      <c r="A13" t="s">
        <v>77</v>
      </c>
      <c r="B13" s="33"/>
      <c r="C13" s="33"/>
      <c r="D13" s="33"/>
      <c r="E13" s="14">
        <v>1.26</v>
      </c>
      <c r="F13" s="21">
        <f t="shared" si="0"/>
        <v>0</v>
      </c>
      <c r="G13" s="21">
        <f t="shared" si="1"/>
        <v>0</v>
      </c>
      <c r="H13" s="21">
        <f t="shared" si="2"/>
        <v>0</v>
      </c>
      <c r="J13" s="33"/>
      <c r="K13" s="33"/>
      <c r="L13" s="33"/>
    </row>
    <row r="14" spans="1:12" ht="12.75">
      <c r="A14" t="s">
        <v>78</v>
      </c>
      <c r="B14" s="33"/>
      <c r="C14" s="33"/>
      <c r="D14" s="33"/>
      <c r="E14" s="14">
        <v>0.2</v>
      </c>
      <c r="F14" s="21">
        <f t="shared" si="0"/>
        <v>0</v>
      </c>
      <c r="G14" s="21">
        <f t="shared" si="1"/>
        <v>0</v>
      </c>
      <c r="H14" s="21">
        <f t="shared" si="2"/>
        <v>0</v>
      </c>
      <c r="J14" s="33"/>
      <c r="K14" s="33"/>
      <c r="L14" s="33"/>
    </row>
    <row r="15" spans="1:12" ht="12.75">
      <c r="A15" t="s">
        <v>79</v>
      </c>
      <c r="B15" s="33"/>
      <c r="C15" s="33"/>
      <c r="D15" s="33"/>
      <c r="E15" s="14">
        <v>0.73</v>
      </c>
      <c r="F15" s="21">
        <f t="shared" si="0"/>
        <v>0</v>
      </c>
      <c r="G15" s="21">
        <f t="shared" si="1"/>
        <v>0</v>
      </c>
      <c r="H15" s="21">
        <f t="shared" si="2"/>
        <v>0</v>
      </c>
      <c r="J15" s="33"/>
      <c r="K15" s="33"/>
      <c r="L15" s="33"/>
    </row>
    <row r="16" spans="1:12" ht="12.75">
      <c r="A16" t="s">
        <v>80</v>
      </c>
      <c r="B16" s="33"/>
      <c r="C16" s="33"/>
      <c r="D16" s="33"/>
      <c r="E16" s="14">
        <v>1.47</v>
      </c>
      <c r="F16" s="21">
        <f t="shared" si="0"/>
        <v>0</v>
      </c>
      <c r="G16" s="21">
        <f t="shared" si="1"/>
        <v>0</v>
      </c>
      <c r="H16" s="21">
        <f t="shared" si="2"/>
        <v>0</v>
      </c>
      <c r="J16" s="33"/>
      <c r="K16" s="33"/>
      <c r="L16" s="33"/>
    </row>
    <row r="17" spans="1:12" ht="12.75">
      <c r="A17" t="s">
        <v>81</v>
      </c>
      <c r="B17" s="33"/>
      <c r="C17" s="33"/>
      <c r="D17" s="33"/>
      <c r="E17" s="14">
        <v>1.45</v>
      </c>
      <c r="F17" s="21">
        <f t="shared" si="0"/>
        <v>0</v>
      </c>
      <c r="G17" s="21">
        <f t="shared" si="1"/>
        <v>0</v>
      </c>
      <c r="H17" s="21">
        <f t="shared" si="2"/>
        <v>0</v>
      </c>
      <c r="J17" s="33"/>
      <c r="K17" s="33"/>
      <c r="L17" s="33"/>
    </row>
    <row r="18" spans="1:12" ht="12.75">
      <c r="A18" t="s">
        <v>82</v>
      </c>
      <c r="B18" s="33"/>
      <c r="C18" s="33"/>
      <c r="D18" s="33"/>
      <c r="E18" s="14">
        <v>0.93</v>
      </c>
      <c r="F18" s="21">
        <f t="shared" si="0"/>
        <v>0</v>
      </c>
      <c r="G18" s="21">
        <f t="shared" si="1"/>
        <v>0</v>
      </c>
      <c r="H18" s="21">
        <f t="shared" si="2"/>
        <v>0</v>
      </c>
      <c r="J18" s="33"/>
      <c r="K18" s="33"/>
      <c r="L18" s="33"/>
    </row>
    <row r="19" spans="1:12" ht="12.75">
      <c r="A19" t="s">
        <v>83</v>
      </c>
      <c r="B19" s="33"/>
      <c r="C19" s="33"/>
      <c r="D19" s="33"/>
      <c r="E19" s="14">
        <v>0.66</v>
      </c>
      <c r="F19" s="21">
        <f t="shared" si="0"/>
        <v>0</v>
      </c>
      <c r="G19" s="21">
        <f t="shared" si="1"/>
        <v>0</v>
      </c>
      <c r="H19" s="21">
        <f t="shared" si="2"/>
        <v>0</v>
      </c>
      <c r="J19" s="33"/>
      <c r="K19" s="33"/>
      <c r="L19" s="33"/>
    </row>
    <row r="20" spans="1:12" ht="12.75">
      <c r="A20" t="s">
        <v>84</v>
      </c>
      <c r="B20" s="33"/>
      <c r="C20" s="33"/>
      <c r="D20" s="33"/>
      <c r="E20" s="14">
        <v>1.09</v>
      </c>
      <c r="F20" s="21">
        <f t="shared" si="0"/>
        <v>0</v>
      </c>
      <c r="G20" s="21">
        <f t="shared" si="1"/>
        <v>0</v>
      </c>
      <c r="H20" s="21">
        <f t="shared" si="2"/>
        <v>0</v>
      </c>
      <c r="J20" s="33"/>
      <c r="K20" s="33"/>
      <c r="L20" s="33"/>
    </row>
    <row r="21" spans="1:12" ht="12.75">
      <c r="A21" t="s">
        <v>85</v>
      </c>
      <c r="B21" s="33"/>
      <c r="C21" s="33"/>
      <c r="D21" s="33"/>
      <c r="E21" s="14">
        <v>2.14</v>
      </c>
      <c r="F21" s="21">
        <f t="shared" si="0"/>
        <v>0</v>
      </c>
      <c r="G21" s="21">
        <f t="shared" si="1"/>
        <v>0</v>
      </c>
      <c r="H21" s="21">
        <f t="shared" si="2"/>
        <v>0</v>
      </c>
      <c r="J21" s="33"/>
      <c r="K21" s="33"/>
      <c r="L21" s="33"/>
    </row>
    <row r="22" spans="1:12" ht="12.75">
      <c r="A22" t="s">
        <v>86</v>
      </c>
      <c r="B22" s="33"/>
      <c r="C22" s="33"/>
      <c r="D22" s="33"/>
      <c r="E22" s="14">
        <v>0.73</v>
      </c>
      <c r="F22" s="21">
        <f t="shared" si="0"/>
        <v>0</v>
      </c>
      <c r="G22" s="21">
        <f t="shared" si="1"/>
        <v>0</v>
      </c>
      <c r="H22" s="21">
        <f t="shared" si="2"/>
        <v>0</v>
      </c>
      <c r="J22" s="33"/>
      <c r="K22" s="33"/>
      <c r="L22" s="33"/>
    </row>
    <row r="23" spans="1:12" ht="12.75">
      <c r="A23" t="s">
        <v>87</v>
      </c>
      <c r="B23" s="33"/>
      <c r="C23" s="33"/>
      <c r="D23" s="33"/>
      <c r="E23" s="14">
        <v>0.18</v>
      </c>
      <c r="F23" s="21">
        <f t="shared" si="0"/>
        <v>0</v>
      </c>
      <c r="G23" s="21">
        <f t="shared" si="1"/>
        <v>0</v>
      </c>
      <c r="H23" s="21">
        <f t="shared" si="2"/>
        <v>0</v>
      </c>
      <c r="J23" s="33"/>
      <c r="K23" s="33"/>
      <c r="L23" s="33"/>
    </row>
    <row r="24" spans="1:12" ht="12.75">
      <c r="A24" t="s">
        <v>88</v>
      </c>
      <c r="B24" s="33"/>
      <c r="C24" s="33"/>
      <c r="D24" s="33"/>
      <c r="E24" s="14">
        <v>0.25</v>
      </c>
      <c r="F24" s="21">
        <f t="shared" si="0"/>
        <v>0</v>
      </c>
      <c r="G24" s="21">
        <f t="shared" si="1"/>
        <v>0</v>
      </c>
      <c r="H24" s="21">
        <f t="shared" si="2"/>
        <v>0</v>
      </c>
      <c r="J24" s="33"/>
      <c r="K24" s="33"/>
      <c r="L24" s="33"/>
    </row>
    <row r="25" spans="1:12" ht="12.75">
      <c r="A25" t="s">
        <v>89</v>
      </c>
      <c r="B25" s="33"/>
      <c r="C25" s="33"/>
      <c r="D25" s="33"/>
      <c r="E25" s="14">
        <v>0.37</v>
      </c>
      <c r="F25" s="21">
        <f t="shared" si="0"/>
        <v>0</v>
      </c>
      <c r="G25" s="21">
        <f t="shared" si="1"/>
        <v>0</v>
      </c>
      <c r="H25" s="21">
        <f t="shared" si="2"/>
        <v>0</v>
      </c>
      <c r="J25" s="33"/>
      <c r="K25" s="33"/>
      <c r="L25" s="33"/>
    </row>
    <row r="26" spans="1:12" ht="12.75">
      <c r="A26" t="s">
        <v>90</v>
      </c>
      <c r="B26" s="33"/>
      <c r="C26" s="33"/>
      <c r="D26" s="33"/>
      <c r="E26" s="24">
        <v>1.24</v>
      </c>
      <c r="F26" s="21">
        <f t="shared" si="0"/>
        <v>0</v>
      </c>
      <c r="G26" s="21">
        <f t="shared" si="1"/>
        <v>0</v>
      </c>
      <c r="H26" s="21">
        <f t="shared" si="2"/>
        <v>0</v>
      </c>
      <c r="J26" s="33"/>
      <c r="K26" s="33"/>
      <c r="L26" s="33"/>
    </row>
    <row r="27" spans="1:12" ht="12.75">
      <c r="A27" t="s">
        <v>91</v>
      </c>
      <c r="B27" s="33"/>
      <c r="C27" s="33"/>
      <c r="D27" s="33"/>
      <c r="E27" s="14">
        <v>0.9</v>
      </c>
      <c r="F27" s="21">
        <f t="shared" si="0"/>
        <v>0</v>
      </c>
      <c r="G27" s="21">
        <f t="shared" si="1"/>
        <v>0</v>
      </c>
      <c r="H27" s="21">
        <f t="shared" si="2"/>
        <v>0</v>
      </c>
      <c r="I27" s="6"/>
      <c r="J27" s="33"/>
      <c r="K27" s="33"/>
      <c r="L27" s="33"/>
    </row>
    <row r="28" spans="1:12" ht="12.75">
      <c r="A28" t="s">
        <v>92</v>
      </c>
      <c r="B28" s="103"/>
      <c r="C28" s="103"/>
      <c r="D28" s="103"/>
      <c r="E28" s="105"/>
      <c r="F28" s="103"/>
      <c r="G28" s="103"/>
      <c r="H28" s="103"/>
      <c r="I28" s="106"/>
      <c r="J28" s="103"/>
      <c r="K28" s="103"/>
      <c r="L28" s="104"/>
    </row>
    <row r="29" spans="1:12" ht="12.75">
      <c r="A29" t="s">
        <v>93</v>
      </c>
      <c r="B29" s="103"/>
      <c r="C29" s="103"/>
      <c r="D29" s="103"/>
      <c r="E29" s="105"/>
      <c r="F29" s="103"/>
      <c r="G29" s="103"/>
      <c r="H29" s="103"/>
      <c r="I29" s="106"/>
      <c r="J29" s="103"/>
      <c r="K29" s="103"/>
      <c r="L29" s="104"/>
    </row>
    <row r="30" spans="1:12" ht="12.75">
      <c r="A30" t="s">
        <v>94</v>
      </c>
      <c r="B30" s="33"/>
      <c r="C30" s="33"/>
      <c r="D30" s="33"/>
      <c r="E30" s="14">
        <v>0.66</v>
      </c>
      <c r="F30" s="21">
        <f>ROUND(B30*E30,0)</f>
        <v>0</v>
      </c>
      <c r="G30" s="21">
        <f>ROUND(C30*E30,0)</f>
        <v>0</v>
      </c>
      <c r="H30" s="21">
        <f aca="true" t="shared" si="3" ref="H30:H35">D30*E30</f>
        <v>0</v>
      </c>
      <c r="I30" s="6"/>
      <c r="J30" s="33"/>
      <c r="K30" s="33"/>
      <c r="L30" s="33"/>
    </row>
    <row r="31" spans="1:12" ht="12.75">
      <c r="A31" t="s">
        <v>95</v>
      </c>
      <c r="B31" s="33"/>
      <c r="C31" s="33"/>
      <c r="D31" s="33"/>
      <c r="E31" s="25">
        <v>0.93</v>
      </c>
      <c r="F31" s="21">
        <f>ROUND(B31*E31,0)</f>
        <v>0</v>
      </c>
      <c r="G31" s="21">
        <f>ROUND(C31*E31,0)</f>
        <v>0</v>
      </c>
      <c r="H31" s="21">
        <f t="shared" si="3"/>
        <v>0</v>
      </c>
      <c r="J31" s="33"/>
      <c r="K31" s="33"/>
      <c r="L31" s="33"/>
    </row>
    <row r="32" spans="1:11" ht="12.75">
      <c r="A32" t="s">
        <v>96</v>
      </c>
      <c r="B32" s="22"/>
      <c r="C32" s="22"/>
      <c r="D32" s="22"/>
      <c r="E32" s="15"/>
      <c r="F32" s="22"/>
      <c r="G32" s="22"/>
      <c r="H32" s="22"/>
      <c r="I32" s="1"/>
      <c r="J32" s="22"/>
      <c r="K32" s="22"/>
    </row>
    <row r="33" spans="1:12" ht="12.75">
      <c r="A33" s="12" t="s">
        <v>97</v>
      </c>
      <c r="B33" s="33"/>
      <c r="C33" s="33"/>
      <c r="D33" s="33"/>
      <c r="E33" s="14">
        <v>0.53</v>
      </c>
      <c r="F33" s="21">
        <f>ROUND(B33*E33,0)</f>
        <v>0</v>
      </c>
      <c r="G33" s="21">
        <f>ROUND(C33*E33,0)</f>
        <v>0</v>
      </c>
      <c r="H33" s="21">
        <f t="shared" si="3"/>
        <v>0</v>
      </c>
      <c r="J33" s="33"/>
      <c r="K33" s="33"/>
      <c r="L33" s="33"/>
    </row>
    <row r="34" spans="1:12" ht="12.75">
      <c r="A34" s="12" t="s">
        <v>98</v>
      </c>
      <c r="B34" s="33"/>
      <c r="C34" s="33"/>
      <c r="D34" s="33"/>
      <c r="E34" s="14">
        <v>0.37</v>
      </c>
      <c r="F34" s="21">
        <f>ROUND(B34*E34,0)</f>
        <v>0</v>
      </c>
      <c r="G34" s="21">
        <f>ROUND(C34*E34,0)</f>
        <v>0</v>
      </c>
      <c r="H34" s="21">
        <f t="shared" si="3"/>
        <v>0</v>
      </c>
      <c r="J34" s="33"/>
      <c r="K34" s="33"/>
      <c r="L34" s="33"/>
    </row>
    <row r="35" spans="1:12" ht="12.75">
      <c r="A35" t="s">
        <v>99</v>
      </c>
      <c r="B35" s="33"/>
      <c r="C35" s="33"/>
      <c r="D35" s="33"/>
      <c r="E35" s="14">
        <v>1.64</v>
      </c>
      <c r="F35" s="21">
        <f>ROUND(B35*E35,0)</f>
        <v>0</v>
      </c>
      <c r="G35" s="21">
        <f>ROUND(C35*E35,0)</f>
        <v>0</v>
      </c>
      <c r="H35" s="21">
        <f t="shared" si="3"/>
        <v>0</v>
      </c>
      <c r="J35" s="33"/>
      <c r="K35" s="33"/>
      <c r="L35" s="33"/>
    </row>
    <row r="37" spans="1:12" ht="12.75">
      <c r="A37" t="s">
        <v>105</v>
      </c>
      <c r="B37" s="21">
        <f>SUM(B8:B35)</f>
        <v>0</v>
      </c>
      <c r="C37" s="21">
        <f aca="true" t="shared" si="4" ref="C37:L37">SUM(C8:C35)</f>
        <v>0</v>
      </c>
      <c r="D37" s="21">
        <f t="shared" si="4"/>
        <v>0</v>
      </c>
      <c r="F37" s="21">
        <f t="shared" si="4"/>
        <v>0</v>
      </c>
      <c r="G37" s="21">
        <f t="shared" si="4"/>
        <v>0</v>
      </c>
      <c r="H37" s="21">
        <f t="shared" si="4"/>
        <v>0</v>
      </c>
      <c r="J37" s="21">
        <f t="shared" si="4"/>
        <v>0</v>
      </c>
      <c r="K37" s="21">
        <f t="shared" si="4"/>
        <v>0</v>
      </c>
      <c r="L37" s="21">
        <f t="shared" si="4"/>
        <v>0</v>
      </c>
    </row>
    <row r="38" spans="3:11" ht="12.75">
      <c r="C38" s="16" t="s">
        <v>106</v>
      </c>
      <c r="G38" s="16" t="s">
        <v>106</v>
      </c>
      <c r="H38" s="16"/>
      <c r="K38" s="16" t="s">
        <v>106</v>
      </c>
    </row>
    <row r="39" spans="3:11" ht="12.75">
      <c r="C39" s="16" t="s">
        <v>112</v>
      </c>
      <c r="G39" s="16" t="s">
        <v>112</v>
      </c>
      <c r="H39" s="16"/>
      <c r="K39" s="16" t="s">
        <v>112</v>
      </c>
    </row>
    <row r="40" spans="1:11" ht="13.5">
      <c r="A40" s="313" t="s">
        <v>526</v>
      </c>
      <c r="G40" s="16"/>
      <c r="H40" s="16"/>
      <c r="K40" s="16"/>
    </row>
    <row r="41" spans="1:11" ht="12.75">
      <c r="A41" s="201" t="s">
        <v>527</v>
      </c>
      <c r="G41" s="16"/>
      <c r="H41" s="16"/>
      <c r="K41" s="16"/>
    </row>
    <row r="42" ht="12.75">
      <c r="A42" t="s">
        <v>377</v>
      </c>
    </row>
  </sheetData>
  <sheetProtection password="CDFB" sheet="1" objects="1" scenarios="1"/>
  <mergeCells count="3">
    <mergeCell ref="F4:H4"/>
    <mergeCell ref="J3:L3"/>
    <mergeCell ref="B4:D4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landscape" paperSize="9" scale="87" r:id="rId1"/>
  <headerFooter alignWithMargins="0">
    <oddFooter>&amp;Rblad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tabColor indexed="50"/>
    <pageSetUpPr fitToPage="1"/>
  </sheetPr>
  <dimension ref="A1:J35"/>
  <sheetViews>
    <sheetView view="pageBreakPreview" zoomScale="60" workbookViewId="0" topLeftCell="A1">
      <selection activeCell="K18" sqref="K18"/>
    </sheetView>
  </sheetViews>
  <sheetFormatPr defaultColWidth="9.140625" defaultRowHeight="12.75"/>
  <cols>
    <col min="1" max="6" width="9.140625" style="254" customWidth="1"/>
    <col min="7" max="7" width="12.00390625" style="254" customWidth="1"/>
    <col min="8" max="8" width="13.7109375" style="254" customWidth="1"/>
    <col min="9" max="9" width="11.7109375" style="254" customWidth="1"/>
    <col min="10" max="16384" width="9.140625" style="254" customWidth="1"/>
  </cols>
  <sheetData>
    <row r="1" spans="1:3" ht="12.75">
      <c r="A1" s="223" t="s">
        <v>378</v>
      </c>
      <c r="B1" s="223"/>
      <c r="C1" s="223"/>
    </row>
    <row r="2" spans="2:4" ht="12.75">
      <c r="B2" s="223"/>
      <c r="C2" s="223"/>
      <c r="D2" s="223"/>
    </row>
    <row r="3" ht="12.75">
      <c r="A3" s="223" t="s">
        <v>191</v>
      </c>
    </row>
    <row r="4" ht="12.75">
      <c r="H4" s="283"/>
    </row>
    <row r="5" spans="1:9" ht="12.75">
      <c r="A5" s="254" t="s">
        <v>226</v>
      </c>
      <c r="G5" s="279"/>
      <c r="I5" s="284"/>
    </row>
    <row r="6" spans="2:9" ht="12.75">
      <c r="B6" s="254" t="s">
        <v>227</v>
      </c>
      <c r="G6" s="275"/>
      <c r="I6" s="285">
        <f>Blad5!J46+Blad5!K46</f>
        <v>0</v>
      </c>
    </row>
    <row r="7" spans="7:9" ht="12.75">
      <c r="G7" s="279"/>
      <c r="I7" s="284"/>
    </row>
    <row r="8" spans="1:10" ht="12.75">
      <c r="A8" s="231" t="s">
        <v>347</v>
      </c>
      <c r="I8" s="33"/>
      <c r="J8" s="284"/>
    </row>
    <row r="9" spans="1:10" ht="12.75">
      <c r="A9" s="231"/>
      <c r="I9" s="110"/>
      <c r="J9" s="284"/>
    </row>
    <row r="10" spans="1:10" ht="12.75">
      <c r="A10" s="231" t="s">
        <v>346</v>
      </c>
      <c r="I10" s="285">
        <f>+Blad6!E10+Blad6!I37</f>
        <v>0</v>
      </c>
      <c r="J10" s="284"/>
    </row>
    <row r="12" spans="1:9" ht="12.75">
      <c r="A12" s="231" t="s">
        <v>229</v>
      </c>
      <c r="B12" s="223"/>
      <c r="C12" s="223"/>
      <c r="G12" s="80"/>
      <c r="I12" s="274">
        <f>Blad8!B36</f>
        <v>0</v>
      </c>
    </row>
    <row r="13" spans="7:9" ht="12.75">
      <c r="G13" s="80"/>
      <c r="I13" s="80"/>
    </row>
    <row r="14" spans="1:9" ht="12.75">
      <c r="A14" s="231" t="s">
        <v>230</v>
      </c>
      <c r="G14" s="80"/>
      <c r="I14" s="274">
        <f>Blad7!F27</f>
        <v>0</v>
      </c>
    </row>
    <row r="15" spans="1:9" ht="12.75">
      <c r="A15" s="223"/>
      <c r="G15" s="80"/>
      <c r="I15" s="275"/>
    </row>
    <row r="16" spans="1:9" ht="12.75">
      <c r="A16" s="286" t="s">
        <v>521</v>
      </c>
      <c r="G16" s="80"/>
      <c r="I16" s="274">
        <f>Blad8!B49</f>
        <v>0</v>
      </c>
    </row>
    <row r="17" spans="7:9" ht="12.75">
      <c r="G17" s="80"/>
      <c r="I17" s="80"/>
    </row>
    <row r="18" spans="1:9" ht="12.75">
      <c r="A18" s="287" t="s">
        <v>379</v>
      </c>
      <c r="I18" s="288">
        <f>I8+I12+I14+I10+I16</f>
        <v>0</v>
      </c>
    </row>
    <row r="21" ht="12.75">
      <c r="A21" s="289" t="s">
        <v>348</v>
      </c>
    </row>
    <row r="22" ht="12.75">
      <c r="H22" s="278"/>
    </row>
    <row r="23" ht="12.75">
      <c r="H23" s="110"/>
    </row>
    <row r="24" s="278" customFormat="1" ht="12.75">
      <c r="H24" s="110"/>
    </row>
    <row r="25" ht="12.75">
      <c r="H25" s="110"/>
    </row>
    <row r="26" ht="12.75">
      <c r="H26" s="110"/>
    </row>
    <row r="27" ht="12.75">
      <c r="H27" s="290"/>
    </row>
    <row r="28" ht="12.75">
      <c r="H28" s="291"/>
    </row>
    <row r="29" ht="12.75">
      <c r="H29" s="110"/>
    </row>
    <row r="30" ht="12.75">
      <c r="H30" s="291"/>
    </row>
    <row r="31" ht="12.75">
      <c r="H31" s="292"/>
    </row>
    <row r="32" ht="12.75">
      <c r="H32" s="291"/>
    </row>
    <row r="33" ht="12.75">
      <c r="H33" s="279"/>
    </row>
    <row r="34" ht="12.75">
      <c r="H34" s="279"/>
    </row>
    <row r="35" ht="12.75">
      <c r="H35" s="279"/>
    </row>
  </sheetData>
  <sheetProtection password="CDFB" sheet="1" objects="1" scenarios="1"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&amp;Rblad 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tabColor indexed="50"/>
    <pageSetUpPr fitToPage="1"/>
  </sheetPr>
  <dimension ref="A2:G59"/>
  <sheetViews>
    <sheetView view="pageBreakPreview" zoomScaleNormal="75" zoomScaleSheetLayoutView="100" workbookViewId="0" topLeftCell="A22">
      <selection activeCell="D43" sqref="D43"/>
    </sheetView>
  </sheetViews>
  <sheetFormatPr defaultColWidth="9.140625" defaultRowHeight="12.75"/>
  <cols>
    <col min="1" max="1" width="82.28125" style="0" bestFit="1" customWidth="1"/>
    <col min="2" max="2" width="25.7109375" style="17" customWidth="1"/>
  </cols>
  <sheetData>
    <row r="2" ht="12.75">
      <c r="A2" s="2" t="s">
        <v>39</v>
      </c>
    </row>
    <row r="4" spans="1:3" ht="12.75">
      <c r="A4" s="6" t="s">
        <v>380</v>
      </c>
      <c r="B4" s="33"/>
      <c r="C4" s="1"/>
    </row>
    <row r="5" spans="1:3" ht="12.75">
      <c r="A5" s="6" t="s">
        <v>381</v>
      </c>
      <c r="B5" s="33"/>
      <c r="C5" s="1"/>
    </row>
    <row r="6" spans="1:3" ht="12.75">
      <c r="A6" s="6" t="s">
        <v>382</v>
      </c>
      <c r="B6" s="33"/>
      <c r="C6" s="1"/>
    </row>
    <row r="7" spans="2:3" ht="12.75">
      <c r="B7" s="22"/>
      <c r="C7" s="1"/>
    </row>
    <row r="8" spans="1:3" ht="12.75">
      <c r="A8" s="2" t="s">
        <v>383</v>
      </c>
      <c r="B8" s="22"/>
      <c r="C8" s="1"/>
    </row>
    <row r="10" spans="1:2" ht="12.75">
      <c r="A10" s="6" t="s">
        <v>384</v>
      </c>
      <c r="B10" s="33"/>
    </row>
    <row r="11" spans="1:2" ht="12.75">
      <c r="A11" s="6" t="s">
        <v>385</v>
      </c>
      <c r="B11" s="33"/>
    </row>
    <row r="12" spans="1:2" ht="12.75">
      <c r="A12" s="1"/>
      <c r="B12" s="22"/>
    </row>
    <row r="13" spans="1:2" ht="12.75">
      <c r="A13" s="1" t="s">
        <v>40</v>
      </c>
      <c r="B13" s="22"/>
    </row>
    <row r="14" spans="1:2" ht="12.75">
      <c r="A14" s="1" t="s">
        <v>41</v>
      </c>
      <c r="B14" s="22"/>
    </row>
    <row r="16" spans="1:7" ht="12.75">
      <c r="A16" s="2" t="s">
        <v>38</v>
      </c>
      <c r="E16" s="107"/>
      <c r="F16" s="104"/>
      <c r="G16" s="104"/>
    </row>
    <row r="18" spans="1:2" ht="12.75">
      <c r="A18" s="1" t="s">
        <v>107</v>
      </c>
      <c r="B18" s="33"/>
    </row>
    <row r="20" spans="1:4" ht="12.75">
      <c r="A20" t="s">
        <v>386</v>
      </c>
      <c r="D20" s="104"/>
    </row>
    <row r="21" ht="12.75">
      <c r="A21" t="s">
        <v>42</v>
      </c>
    </row>
    <row r="22" ht="12.75">
      <c r="A22" t="s">
        <v>43</v>
      </c>
    </row>
    <row r="23" ht="12.75">
      <c r="A23" t="s">
        <v>44</v>
      </c>
    </row>
    <row r="25" ht="12.75">
      <c r="A25" t="s">
        <v>45</v>
      </c>
    </row>
    <row r="26" ht="12.75">
      <c r="A26" t="s">
        <v>46</v>
      </c>
    </row>
    <row r="28" ht="12.75">
      <c r="A28" s="2" t="s">
        <v>220</v>
      </c>
    </row>
    <row r="30" ht="12.75">
      <c r="A30" t="s">
        <v>387</v>
      </c>
    </row>
    <row r="31" ht="12.75">
      <c r="A31" t="s">
        <v>255</v>
      </c>
    </row>
    <row r="32" ht="12.75">
      <c r="A32" t="s">
        <v>388</v>
      </c>
    </row>
    <row r="34" spans="1:2" ht="12.75">
      <c r="A34" t="s">
        <v>389</v>
      </c>
      <c r="B34" s="33"/>
    </row>
    <row r="35" spans="1:2" ht="12.75">
      <c r="A35" t="s">
        <v>390</v>
      </c>
      <c r="B35" s="33"/>
    </row>
    <row r="36" spans="1:3" ht="12.75">
      <c r="A36" t="s">
        <v>178</v>
      </c>
      <c r="B36" s="203">
        <f>B34-B35</f>
        <v>0</v>
      </c>
      <c r="C36" t="s">
        <v>475</v>
      </c>
    </row>
    <row r="38" spans="1:4" ht="12.75">
      <c r="A38" t="s">
        <v>514</v>
      </c>
      <c r="D38" s="104"/>
    </row>
    <row r="39" spans="1:2" ht="12.75">
      <c r="A39" s="104" t="s">
        <v>69</v>
      </c>
      <c r="B39" s="108"/>
    </row>
    <row r="40" spans="1:2" ht="12.75">
      <c r="A40" s="104" t="s">
        <v>515</v>
      </c>
      <c r="B40" s="108"/>
    </row>
    <row r="41" ht="12.75">
      <c r="A41" s="115"/>
    </row>
    <row r="42" spans="1:2" ht="12.75">
      <c r="A42" t="s">
        <v>405</v>
      </c>
      <c r="B42" s="33"/>
    </row>
    <row r="44" spans="1:2" s="104" customFormat="1" ht="12.75">
      <c r="A44" s="216" t="s">
        <v>477</v>
      </c>
      <c r="B44" s="108"/>
    </row>
    <row r="45" spans="1:3" s="104" customFormat="1" ht="12.75">
      <c r="A45" s="65" t="s">
        <v>524</v>
      </c>
      <c r="B45" s="33"/>
      <c r="C45" s="282" t="s">
        <v>289</v>
      </c>
    </row>
    <row r="46" spans="1:3" s="104" customFormat="1" ht="12.75">
      <c r="A46" s="65" t="s">
        <v>507</v>
      </c>
      <c r="B46" s="33"/>
      <c r="C46" s="282" t="s">
        <v>290</v>
      </c>
    </row>
    <row r="47" spans="1:3" s="104" customFormat="1" ht="12.75">
      <c r="A47" t="s">
        <v>517</v>
      </c>
      <c r="B47" s="33"/>
      <c r="C47" s="115" t="s">
        <v>516</v>
      </c>
    </row>
    <row r="48" spans="1:3" s="104" customFormat="1" ht="12.75">
      <c r="A48" t="s">
        <v>519</v>
      </c>
      <c r="B48" s="33"/>
      <c r="C48"/>
    </row>
    <row r="49" spans="1:3" ht="12.75">
      <c r="A49" t="s">
        <v>178</v>
      </c>
      <c r="B49" s="203">
        <f>B47-B48</f>
        <v>0</v>
      </c>
      <c r="C49" s="104" t="s">
        <v>475</v>
      </c>
    </row>
    <row r="50" spans="2:3" ht="12.75">
      <c r="B50" s="110"/>
      <c r="C50" s="106"/>
    </row>
    <row r="51" spans="2:3" ht="12.75">
      <c r="B51" s="103"/>
      <c r="C51" s="106"/>
    </row>
    <row r="52" spans="1:3" ht="12.75">
      <c r="A52" s="65" t="s">
        <v>508</v>
      </c>
      <c r="B52" s="33"/>
      <c r="C52" s="106"/>
    </row>
    <row r="53" spans="1:7" ht="12.75">
      <c r="A53" s="65" t="s">
        <v>529</v>
      </c>
      <c r="B53" s="33"/>
      <c r="C53" s="106"/>
      <c r="D53" s="104"/>
      <c r="E53" s="104"/>
      <c r="F53" s="104"/>
      <c r="G53" s="104"/>
    </row>
    <row r="54" spans="1:3" ht="12.75">
      <c r="A54" t="s">
        <v>518</v>
      </c>
      <c r="B54" s="226">
        <f>B52*B53</f>
        <v>0</v>
      </c>
      <c r="C54" s="106"/>
    </row>
    <row r="55" spans="1:3" ht="12.75">
      <c r="A55" s="106"/>
      <c r="B55" s="103"/>
      <c r="C55" s="106"/>
    </row>
    <row r="56" spans="1:3" ht="12.75">
      <c r="A56" s="106" t="s">
        <v>543</v>
      </c>
      <c r="B56" s="103"/>
      <c r="C56" s="106"/>
    </row>
    <row r="57" spans="1:3" ht="12.75">
      <c r="A57" s="104"/>
      <c r="B57" s="103"/>
      <c r="C57" s="106"/>
    </row>
    <row r="58" spans="1:3" ht="12.75">
      <c r="A58" s="106" t="s">
        <v>520</v>
      </c>
      <c r="B58" s="103"/>
      <c r="C58" s="106"/>
    </row>
    <row r="59" spans="1:3" ht="12.75">
      <c r="A59" s="104" t="s">
        <v>509</v>
      </c>
      <c r="B59" s="108"/>
      <c r="C59" s="104"/>
    </row>
  </sheetData>
  <sheetProtection password="CDFB" sheet="1" objects="1" scenarios="1"/>
  <printOptions/>
  <pageMargins left="0.75" right="0.75" top="1" bottom="1" header="0.5" footer="0.5"/>
  <pageSetup fitToHeight="1" fitToWidth="1" horizontalDpi="300" verticalDpi="300" orientation="portrait" paperSize="9" scale="63" r:id="rId1"/>
  <headerFooter alignWithMargins="0">
    <oddFooter>&amp;Rblad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>
    <tabColor indexed="50"/>
  </sheetPr>
  <dimension ref="A1:J36"/>
  <sheetViews>
    <sheetView view="pageBreakPreview" zoomScale="75" zoomScaleNormal="75" zoomScaleSheetLayoutView="75" workbookViewId="0" topLeftCell="A1">
      <selection activeCell="H32" sqref="H32"/>
    </sheetView>
  </sheetViews>
  <sheetFormatPr defaultColWidth="9.140625" defaultRowHeight="12.75"/>
  <cols>
    <col min="1" max="1" width="43.00390625" style="254" customWidth="1"/>
    <col min="2" max="2" width="15.00390625" style="254" customWidth="1"/>
    <col min="3" max="3" width="15.00390625" style="255" customWidth="1"/>
    <col min="4" max="4" width="15.7109375" style="254" customWidth="1"/>
    <col min="5" max="10" width="15.00390625" style="254" customWidth="1"/>
    <col min="11" max="16384" width="9.140625" style="254" customWidth="1"/>
  </cols>
  <sheetData>
    <row r="1" ht="12.75">
      <c r="A1" s="223" t="s">
        <v>228</v>
      </c>
    </row>
    <row r="5" spans="2:10" ht="12.75">
      <c r="B5" s="256" t="s">
        <v>536</v>
      </c>
      <c r="C5" s="257" t="s">
        <v>311</v>
      </c>
      <c r="D5" s="258"/>
      <c r="E5" s="259" t="s">
        <v>314</v>
      </c>
      <c r="F5" s="259" t="s">
        <v>225</v>
      </c>
      <c r="G5" s="260" t="s">
        <v>262</v>
      </c>
      <c r="H5" s="257" t="s">
        <v>312</v>
      </c>
      <c r="I5" s="259"/>
      <c r="J5" s="261" t="s">
        <v>316</v>
      </c>
    </row>
    <row r="6" spans="2:10" ht="12.75">
      <c r="B6" s="262" t="s">
        <v>537</v>
      </c>
      <c r="C6" s="263" t="s">
        <v>312</v>
      </c>
      <c r="D6" s="264" t="s">
        <v>219</v>
      </c>
      <c r="E6" s="265" t="s">
        <v>224</v>
      </c>
      <c r="F6" s="265">
        <v>2004</v>
      </c>
      <c r="G6" s="266" t="s">
        <v>391</v>
      </c>
      <c r="H6" s="263" t="s">
        <v>313</v>
      </c>
      <c r="I6" s="265" t="s">
        <v>219</v>
      </c>
      <c r="J6" s="267" t="s">
        <v>317</v>
      </c>
    </row>
    <row r="7" spans="2:10" ht="12.75">
      <c r="B7" s="268">
        <v>2004</v>
      </c>
      <c r="C7" s="269" t="s">
        <v>313</v>
      </c>
      <c r="D7" s="270">
        <v>2004</v>
      </c>
      <c r="E7" s="271">
        <v>2004</v>
      </c>
      <c r="F7" s="271"/>
      <c r="G7" s="272"/>
      <c r="H7" s="273" t="s">
        <v>392</v>
      </c>
      <c r="I7" s="271">
        <v>2005</v>
      </c>
      <c r="J7" s="273" t="s">
        <v>315</v>
      </c>
    </row>
    <row r="8" ht="12.75">
      <c r="H8" s="255"/>
    </row>
    <row r="9" ht="12.75">
      <c r="H9" s="255"/>
    </row>
    <row r="10" spans="1:10" ht="12.75">
      <c r="A10" s="254" t="s">
        <v>531</v>
      </c>
      <c r="B10" s="184"/>
      <c r="C10" s="113">
        <v>1</v>
      </c>
      <c r="D10" s="77">
        <f>ROUND(B10*C10,0)</f>
        <v>0</v>
      </c>
      <c r="E10" s="184"/>
      <c r="F10" s="274">
        <f>D10-E10</f>
        <v>0</v>
      </c>
      <c r="G10" s="184"/>
      <c r="H10" s="113">
        <v>1</v>
      </c>
      <c r="I10" s="77">
        <f>ROUND(G10*H10,0)</f>
        <v>0</v>
      </c>
      <c r="J10" s="274">
        <f>I10-D10</f>
        <v>0</v>
      </c>
    </row>
    <row r="11" spans="1:10" ht="12.75">
      <c r="A11" s="254" t="s">
        <v>481</v>
      </c>
      <c r="B11" s="184"/>
      <c r="C11" s="113">
        <v>1</v>
      </c>
      <c r="D11" s="77">
        <f>ROUND(B11*C11,0)</f>
        <v>0</v>
      </c>
      <c r="E11" s="184"/>
      <c r="F11" s="274">
        <f aca="true" t="shared" si="0" ref="F11:F25">D11-E11</f>
        <v>0</v>
      </c>
      <c r="G11" s="184"/>
      <c r="H11" s="113">
        <v>1</v>
      </c>
      <c r="I11" s="77">
        <f>ROUND(G11*H11,0)</f>
        <v>0</v>
      </c>
      <c r="J11" s="274">
        <f>I11-D11</f>
        <v>0</v>
      </c>
    </row>
    <row r="12" spans="2:9" ht="12.75">
      <c r="B12" s="275"/>
      <c r="C12" s="276"/>
      <c r="D12" s="277"/>
      <c r="E12" s="275"/>
      <c r="F12" s="275"/>
      <c r="G12" s="275"/>
      <c r="H12" s="276"/>
      <c r="I12" s="277"/>
    </row>
    <row r="13" spans="1:10" ht="12.75">
      <c r="A13" s="254" t="s">
        <v>482</v>
      </c>
      <c r="B13" s="184"/>
      <c r="C13" s="311"/>
      <c r="D13" s="77">
        <f>ROUND(B13*C13,0)</f>
        <v>0</v>
      </c>
      <c r="E13" s="184"/>
      <c r="F13" s="274">
        <f t="shared" si="0"/>
        <v>0</v>
      </c>
      <c r="G13" s="184"/>
      <c r="H13" s="311"/>
      <c r="I13" s="77">
        <f>ROUND(G13*H13,0)</f>
        <v>0</v>
      </c>
      <c r="J13" s="274">
        <f aca="true" t="shared" si="1" ref="J13:J25">I13-D13</f>
        <v>0</v>
      </c>
    </row>
    <row r="14" spans="1:10" ht="12.75">
      <c r="A14" s="254" t="s">
        <v>483</v>
      </c>
      <c r="B14" s="184"/>
      <c r="C14" s="311"/>
      <c r="D14" s="77">
        <f>ROUND(B14*C14,0)</f>
        <v>0</v>
      </c>
      <c r="E14" s="184"/>
      <c r="F14" s="274">
        <f t="shared" si="0"/>
        <v>0</v>
      </c>
      <c r="G14" s="184"/>
      <c r="H14" s="311"/>
      <c r="I14" s="77">
        <f>ROUND(G14*H14,0)</f>
        <v>0</v>
      </c>
      <c r="J14" s="274">
        <f t="shared" si="1"/>
        <v>0</v>
      </c>
    </row>
    <row r="15" spans="1:10" ht="12.75">
      <c r="A15" s="254" t="s">
        <v>484</v>
      </c>
      <c r="B15" s="184"/>
      <c r="C15" s="311"/>
      <c r="D15" s="77">
        <f aca="true" t="shared" si="2" ref="D15:D25">ROUND(B15*C15,0)</f>
        <v>0</v>
      </c>
      <c r="E15" s="184"/>
      <c r="F15" s="274">
        <f t="shared" si="0"/>
        <v>0</v>
      </c>
      <c r="G15" s="184"/>
      <c r="H15" s="311"/>
      <c r="I15" s="77">
        <f aca="true" t="shared" si="3" ref="I15:I25">ROUND(G15*H15,0)</f>
        <v>0</v>
      </c>
      <c r="J15" s="274">
        <f t="shared" si="1"/>
        <v>0</v>
      </c>
    </row>
    <row r="16" spans="1:10" ht="12.75">
      <c r="A16" s="254" t="s">
        <v>485</v>
      </c>
      <c r="B16" s="184"/>
      <c r="C16" s="311"/>
      <c r="D16" s="77">
        <f t="shared" si="2"/>
        <v>0</v>
      </c>
      <c r="E16" s="184"/>
      <c r="F16" s="274">
        <f t="shared" si="0"/>
        <v>0</v>
      </c>
      <c r="G16" s="184"/>
      <c r="H16" s="311"/>
      <c r="I16" s="77">
        <f t="shared" si="3"/>
        <v>0</v>
      </c>
      <c r="J16" s="274">
        <f t="shared" si="1"/>
        <v>0</v>
      </c>
    </row>
    <row r="17" spans="1:10" ht="12.75">
      <c r="A17" s="254" t="s">
        <v>486</v>
      </c>
      <c r="B17" s="184"/>
      <c r="C17" s="311"/>
      <c r="D17" s="77">
        <f t="shared" si="2"/>
        <v>0</v>
      </c>
      <c r="E17" s="184"/>
      <c r="F17" s="274">
        <f t="shared" si="0"/>
        <v>0</v>
      </c>
      <c r="G17" s="184"/>
      <c r="H17" s="311"/>
      <c r="I17" s="77">
        <f t="shared" si="3"/>
        <v>0</v>
      </c>
      <c r="J17" s="274">
        <f t="shared" si="1"/>
        <v>0</v>
      </c>
    </row>
    <row r="18" spans="1:10" ht="12.75">
      <c r="A18" s="254" t="s">
        <v>487</v>
      </c>
      <c r="B18" s="184"/>
      <c r="C18" s="311"/>
      <c r="D18" s="77">
        <f t="shared" si="2"/>
        <v>0</v>
      </c>
      <c r="E18" s="184"/>
      <c r="F18" s="274">
        <f t="shared" si="0"/>
        <v>0</v>
      </c>
      <c r="G18" s="184"/>
      <c r="H18" s="311"/>
      <c r="I18" s="77">
        <f t="shared" si="3"/>
        <v>0</v>
      </c>
      <c r="J18" s="274">
        <f t="shared" si="1"/>
        <v>0</v>
      </c>
    </row>
    <row r="19" spans="1:10" ht="12.75">
      <c r="A19" s="278" t="s">
        <v>530</v>
      </c>
      <c r="B19" s="184"/>
      <c r="C19" s="311"/>
      <c r="D19" s="77">
        <f t="shared" si="2"/>
        <v>0</v>
      </c>
      <c r="E19" s="184"/>
      <c r="F19" s="274">
        <f t="shared" si="0"/>
        <v>0</v>
      </c>
      <c r="G19" s="184"/>
      <c r="H19" s="311"/>
      <c r="I19" s="77">
        <f t="shared" si="3"/>
        <v>0</v>
      </c>
      <c r="J19" s="274">
        <f t="shared" si="1"/>
        <v>0</v>
      </c>
    </row>
    <row r="20" spans="1:10" ht="12.75">
      <c r="A20" s="254" t="s">
        <v>488</v>
      </c>
      <c r="B20" s="184"/>
      <c r="C20" s="311"/>
      <c r="D20" s="77">
        <f t="shared" si="2"/>
        <v>0</v>
      </c>
      <c r="E20" s="184"/>
      <c r="F20" s="274">
        <f t="shared" si="0"/>
        <v>0</v>
      </c>
      <c r="G20" s="184"/>
      <c r="H20" s="311"/>
      <c r="I20" s="77">
        <f t="shared" si="3"/>
        <v>0</v>
      </c>
      <c r="J20" s="274">
        <f t="shared" si="1"/>
        <v>0</v>
      </c>
    </row>
    <row r="21" spans="1:10" ht="12.75">
      <c r="A21" s="254" t="s">
        <v>489</v>
      </c>
      <c r="B21" s="184"/>
      <c r="C21" s="311"/>
      <c r="D21" s="77">
        <f t="shared" si="2"/>
        <v>0</v>
      </c>
      <c r="E21" s="184"/>
      <c r="F21" s="274">
        <f t="shared" si="0"/>
        <v>0</v>
      </c>
      <c r="G21" s="184"/>
      <c r="H21" s="311"/>
      <c r="I21" s="77">
        <f t="shared" si="3"/>
        <v>0</v>
      </c>
      <c r="J21" s="274">
        <f t="shared" si="1"/>
        <v>0</v>
      </c>
    </row>
    <row r="22" spans="1:10" ht="12.75">
      <c r="A22" s="254" t="s">
        <v>490</v>
      </c>
      <c r="B22" s="184"/>
      <c r="C22" s="311"/>
      <c r="D22" s="77">
        <f t="shared" si="2"/>
        <v>0</v>
      </c>
      <c r="E22" s="184"/>
      <c r="F22" s="274">
        <f t="shared" si="0"/>
        <v>0</v>
      </c>
      <c r="G22" s="184"/>
      <c r="H22" s="311"/>
      <c r="I22" s="77">
        <f t="shared" si="3"/>
        <v>0</v>
      </c>
      <c r="J22" s="274">
        <f t="shared" si="1"/>
        <v>0</v>
      </c>
    </row>
    <row r="23" spans="1:10" ht="12.75">
      <c r="A23" s="254" t="s">
        <v>532</v>
      </c>
      <c r="B23" s="184"/>
      <c r="C23" s="311"/>
      <c r="D23" s="77">
        <f t="shared" si="2"/>
        <v>0</v>
      </c>
      <c r="E23" s="184"/>
      <c r="F23" s="274">
        <f t="shared" si="0"/>
        <v>0</v>
      </c>
      <c r="G23" s="184"/>
      <c r="H23" s="311"/>
      <c r="I23" s="77">
        <f t="shared" si="3"/>
        <v>0</v>
      </c>
      <c r="J23" s="274">
        <f t="shared" si="1"/>
        <v>0</v>
      </c>
    </row>
    <row r="24" spans="1:10" ht="12.75">
      <c r="A24" s="254" t="s">
        <v>533</v>
      </c>
      <c r="B24" s="184"/>
      <c r="C24" s="312"/>
      <c r="D24" s="77">
        <f t="shared" si="2"/>
        <v>0</v>
      </c>
      <c r="E24" s="184"/>
      <c r="F24" s="274">
        <f t="shared" si="0"/>
        <v>0</v>
      </c>
      <c r="G24" s="184"/>
      <c r="H24" s="312"/>
      <c r="I24" s="77">
        <f t="shared" si="3"/>
        <v>0</v>
      </c>
      <c r="J24" s="274">
        <f t="shared" si="1"/>
        <v>0</v>
      </c>
    </row>
    <row r="25" spans="1:10" ht="12.75">
      <c r="A25" s="254" t="s">
        <v>491</v>
      </c>
      <c r="B25" s="184"/>
      <c r="C25" s="312"/>
      <c r="D25" s="77">
        <f t="shared" si="2"/>
        <v>0</v>
      </c>
      <c r="E25" s="184"/>
      <c r="F25" s="274">
        <f t="shared" si="0"/>
        <v>0</v>
      </c>
      <c r="G25" s="184"/>
      <c r="H25" s="312"/>
      <c r="I25" s="77">
        <f t="shared" si="3"/>
        <v>0</v>
      </c>
      <c r="J25" s="274">
        <f t="shared" si="1"/>
        <v>0</v>
      </c>
    </row>
    <row r="26" spans="2:9" ht="12.75">
      <c r="B26" s="279"/>
      <c r="C26" s="276"/>
      <c r="D26" s="279"/>
      <c r="E26" s="279"/>
      <c r="F26" s="279"/>
      <c r="G26" s="279"/>
      <c r="H26" s="276"/>
      <c r="I26" s="279"/>
    </row>
    <row r="27" spans="2:10" ht="12.75">
      <c r="B27" s="274">
        <f>SUM(B10:B25)</f>
        <v>0</v>
      </c>
      <c r="D27" s="274">
        <f>SUM(D10:D25)</f>
        <v>0</v>
      </c>
      <c r="E27" s="274">
        <f>SUM(E10:E25)</f>
        <v>0</v>
      </c>
      <c r="F27" s="280">
        <f>SUM(F10:F25)</f>
        <v>0</v>
      </c>
      <c r="G27" s="274">
        <f>SUM(G10:G25)</f>
        <v>0</v>
      </c>
      <c r="H27" s="255"/>
      <c r="I27" s="274">
        <f>SUM(I10:I25)</f>
        <v>0</v>
      </c>
      <c r="J27" s="226">
        <f>SUM(J10:J25)</f>
        <v>0</v>
      </c>
    </row>
    <row r="28" spans="2:7" ht="12.75">
      <c r="B28" s="275"/>
      <c r="D28" s="275"/>
      <c r="E28" s="275"/>
      <c r="F28" s="275" t="s">
        <v>475</v>
      </c>
      <c r="G28" s="275"/>
    </row>
    <row r="29" ht="12.75">
      <c r="A29" s="254" t="s">
        <v>534</v>
      </c>
    </row>
    <row r="30" ht="12.75">
      <c r="A30" s="254" t="s">
        <v>535</v>
      </c>
    </row>
    <row r="31" ht="12.75">
      <c r="A31" s="254" t="s">
        <v>538</v>
      </c>
    </row>
    <row r="32" spans="1:2" ht="12.75">
      <c r="A32" s="254" t="s">
        <v>539</v>
      </c>
      <c r="B32" s="278"/>
    </row>
    <row r="33" spans="1:2" ht="12.75">
      <c r="A33" s="254" t="s">
        <v>541</v>
      </c>
      <c r="B33" s="278"/>
    </row>
    <row r="34" spans="1:3" ht="12.75">
      <c r="A34" s="254" t="s">
        <v>542</v>
      </c>
      <c r="B34" s="278"/>
      <c r="C34" s="281"/>
    </row>
    <row r="36" ht="12.75">
      <c r="A36" s="278" t="s">
        <v>540</v>
      </c>
    </row>
  </sheetData>
  <sheetProtection password="CDFB" sheet="1" objects="1" scenarios="1"/>
  <printOptions/>
  <pageMargins left="0.75" right="0.75" top="1" bottom="1" header="0.5" footer="0.5"/>
  <pageSetup horizontalDpi="300" verticalDpi="300" orientation="landscape" paperSize="9" scale="67" r:id="rId1"/>
  <headerFooter alignWithMargins="0">
    <oddFooter>&amp;Rblad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8">
    <tabColor indexed="50"/>
  </sheetPr>
  <dimension ref="A1:S41"/>
  <sheetViews>
    <sheetView view="pageBreakPreview" zoomScaleSheetLayoutView="100" workbookViewId="0" topLeftCell="A1">
      <selection activeCell="K27" sqref="K27"/>
    </sheetView>
  </sheetViews>
  <sheetFormatPr defaultColWidth="9.140625" defaultRowHeight="12.75"/>
  <cols>
    <col min="1" max="1" width="30.421875" style="0" customWidth="1"/>
    <col min="2" max="2" width="9.140625" style="0" hidden="1" customWidth="1"/>
    <col min="3" max="3" width="13.421875" style="0" customWidth="1"/>
    <col min="4" max="4" width="13.00390625" style="0" customWidth="1"/>
    <col min="6" max="6" width="10.7109375" style="0" customWidth="1"/>
    <col min="8" max="9" width="10.8515625" style="0" customWidth="1"/>
    <col min="13" max="13" width="10.8515625" style="0" customWidth="1"/>
  </cols>
  <sheetData>
    <row r="1" spans="1:2" s="122" customFormat="1" ht="12">
      <c r="A1" s="138" t="s">
        <v>396</v>
      </c>
      <c r="B1" s="123"/>
    </row>
    <row r="2" spans="1:3" s="122" customFormat="1" ht="12">
      <c r="A2" s="138"/>
      <c r="B2" s="123"/>
      <c r="C2" s="123"/>
    </row>
    <row r="3" spans="15:19" s="122" customFormat="1" ht="12">
      <c r="O3" s="125"/>
      <c r="R3" s="126"/>
      <c r="S3" s="126"/>
    </row>
    <row r="4" spans="1:11" s="122" customFormat="1" ht="12" customHeight="1">
      <c r="A4" s="123" t="s">
        <v>369</v>
      </c>
      <c r="C4"/>
      <c r="D4"/>
      <c r="E4"/>
      <c r="F4" s="1"/>
      <c r="G4"/>
      <c r="H4"/>
      <c r="I4"/>
      <c r="J4" s="1"/>
      <c r="K4"/>
    </row>
    <row r="5" spans="1:11" s="122" customFormat="1" ht="12.75">
      <c r="A5" s="123" t="s">
        <v>466</v>
      </c>
      <c r="C5"/>
      <c r="D5"/>
      <c r="E5"/>
      <c r="F5" s="1"/>
      <c r="G5"/>
      <c r="H5"/>
      <c r="I5"/>
      <c r="J5" s="1"/>
      <c r="K5"/>
    </row>
    <row r="6" spans="1:10" s="122" customFormat="1" ht="12.75">
      <c r="A6"/>
      <c r="B6" s="1"/>
      <c r="C6"/>
      <c r="D6"/>
      <c r="E6" s="1"/>
      <c r="F6"/>
      <c r="G6"/>
      <c r="H6"/>
      <c r="I6" s="1"/>
      <c r="J6"/>
    </row>
    <row r="7" spans="1:12" s="122" customFormat="1" ht="12">
      <c r="A7" s="127" t="s">
        <v>275</v>
      </c>
      <c r="B7" s="128"/>
      <c r="C7" s="128"/>
      <c r="D7" s="128"/>
      <c r="E7" s="189"/>
      <c r="F7" s="189"/>
      <c r="G7" s="189"/>
      <c r="H7" s="189"/>
      <c r="I7" s="189"/>
      <c r="J7" s="189"/>
      <c r="K7" s="189"/>
      <c r="L7" s="189"/>
    </row>
    <row r="8" spans="1:12" s="122" customFormat="1" ht="12.75">
      <c r="A8" s="127" t="s">
        <v>337</v>
      </c>
      <c r="B8" s="128"/>
      <c r="C8" s="128"/>
      <c r="D8" s="128"/>
      <c r="E8" s="189"/>
      <c r="F8" s="169"/>
      <c r="G8" s="106"/>
      <c r="H8" s="106"/>
      <c r="I8" s="106"/>
      <c r="J8" s="106"/>
      <c r="K8" s="170"/>
      <c r="L8" s="170"/>
    </row>
    <row r="9" spans="1:12" s="122" customFormat="1" ht="12.75">
      <c r="A9" s="127" t="s">
        <v>330</v>
      </c>
      <c r="B9" s="128"/>
      <c r="C9" s="128"/>
      <c r="D9" s="128"/>
      <c r="E9" s="189"/>
      <c r="F9" s="171"/>
      <c r="G9" s="106"/>
      <c r="H9" s="106"/>
      <c r="I9" s="106"/>
      <c r="J9" s="106"/>
      <c r="K9" s="170"/>
      <c r="L9" s="170"/>
    </row>
    <row r="10" spans="1:12" s="122" customFormat="1" ht="12.75">
      <c r="A10" s="127" t="s">
        <v>316</v>
      </c>
      <c r="B10" s="128"/>
      <c r="C10" s="128"/>
      <c r="D10" s="128"/>
      <c r="E10" s="168">
        <f>E8-E9</f>
        <v>0</v>
      </c>
      <c r="F10" s="174"/>
      <c r="G10" s="106"/>
      <c r="H10" s="106"/>
      <c r="I10" s="106"/>
      <c r="J10" s="106"/>
      <c r="K10" s="170"/>
      <c r="L10" s="170"/>
    </row>
    <row r="11" spans="1:10" s="122" customFormat="1" ht="12.75">
      <c r="A11" s="172"/>
      <c r="B11" s="173"/>
      <c r="C11" s="173"/>
      <c r="D11" s="173"/>
      <c r="E11" s="362"/>
      <c r="F11" s="363"/>
      <c r="G11"/>
      <c r="H11"/>
      <c r="I11" s="1"/>
      <c r="J11"/>
    </row>
    <row r="12" spans="2:11" s="122" customFormat="1" ht="12.75">
      <c r="B12"/>
      <c r="C12" s="364" t="s">
        <v>276</v>
      </c>
      <c r="D12" s="365"/>
      <c r="E12" s="176"/>
      <c r="F12" s="182"/>
      <c r="G12" s="366" t="s">
        <v>277</v>
      </c>
      <c r="H12" s="367"/>
      <c r="I12" s="130" t="s">
        <v>280</v>
      </c>
      <c r="J12" s="129"/>
      <c r="K12" s="123"/>
    </row>
    <row r="13" spans="2:9" s="122" customFormat="1" ht="12.75">
      <c r="B13"/>
      <c r="C13" s="130" t="s">
        <v>278</v>
      </c>
      <c r="D13" s="130" t="s">
        <v>100</v>
      </c>
      <c r="E13" s="131" t="s">
        <v>279</v>
      </c>
      <c r="F13" s="131" t="s">
        <v>333</v>
      </c>
      <c r="G13" s="132"/>
      <c r="H13" s="132"/>
      <c r="I13" s="131">
        <v>2004</v>
      </c>
    </row>
    <row r="14" spans="2:9" s="122" customFormat="1" ht="12.75">
      <c r="B14"/>
      <c r="C14" s="131" t="s">
        <v>281</v>
      </c>
      <c r="D14" s="132" t="s">
        <v>282</v>
      </c>
      <c r="E14" s="131" t="s">
        <v>283</v>
      </c>
      <c r="F14" s="131" t="s">
        <v>334</v>
      </c>
      <c r="G14" s="132" t="s">
        <v>284</v>
      </c>
      <c r="H14" s="132" t="s">
        <v>285</v>
      </c>
      <c r="I14" s="131" t="s">
        <v>286</v>
      </c>
    </row>
    <row r="15" spans="2:9" s="122" customFormat="1" ht="12.75">
      <c r="B15"/>
      <c r="C15" s="133" t="s">
        <v>287</v>
      </c>
      <c r="D15" s="134" t="s">
        <v>278</v>
      </c>
      <c r="E15" s="133"/>
      <c r="F15" s="131" t="s">
        <v>335</v>
      </c>
      <c r="G15" s="133"/>
      <c r="H15" s="133"/>
      <c r="I15" s="133" t="s">
        <v>288</v>
      </c>
    </row>
    <row r="16" spans="2:9" s="122" customFormat="1" ht="12.75">
      <c r="B16"/>
      <c r="C16" s="135" t="s">
        <v>289</v>
      </c>
      <c r="D16" s="135" t="s">
        <v>290</v>
      </c>
      <c r="E16" s="135" t="s">
        <v>291</v>
      </c>
      <c r="F16" s="135" t="s">
        <v>292</v>
      </c>
      <c r="G16" s="135" t="s">
        <v>293</v>
      </c>
      <c r="H16" s="135" t="s">
        <v>293</v>
      </c>
      <c r="I16" s="135" t="s">
        <v>294</v>
      </c>
    </row>
    <row r="17" spans="1:9" s="122" customFormat="1" ht="12.75">
      <c r="A17" s="123" t="s">
        <v>295</v>
      </c>
      <c r="B17"/>
      <c r="C17" s="40"/>
      <c r="D17" s="40"/>
      <c r="E17" s="40"/>
      <c r="F17" s="40"/>
      <c r="G17" s="40"/>
      <c r="H17" s="40"/>
      <c r="I17" s="1"/>
    </row>
    <row r="18" spans="1:9" s="122" customFormat="1" ht="12.75" customHeight="1">
      <c r="A18" s="360" t="s">
        <v>296</v>
      </c>
      <c r="B18" s="361"/>
      <c r="C18" s="184"/>
      <c r="D18" s="184"/>
      <c r="E18" s="186">
        <f>C18-D18</f>
        <v>0</v>
      </c>
      <c r="F18" s="184"/>
      <c r="G18" s="136"/>
      <c r="H18" s="136"/>
      <c r="I18" s="136"/>
    </row>
    <row r="19" spans="1:9" s="122" customFormat="1" ht="12">
      <c r="A19" s="360" t="s">
        <v>297</v>
      </c>
      <c r="B19" s="361"/>
      <c r="C19" s="183"/>
      <c r="D19" s="183"/>
      <c r="E19" s="186">
        <f aca="true" t="shared" si="0" ref="E19:E36">C19-D19</f>
        <v>0</v>
      </c>
      <c r="F19" s="184"/>
      <c r="G19" s="187">
        <f>Blad3!I11</f>
        <v>0</v>
      </c>
      <c r="H19" s="187">
        <f>Blad3!J11</f>
        <v>0</v>
      </c>
      <c r="I19" s="187">
        <f>ROUND(F19*ROUND(G19*Blad3!Z$4,2),0)+ROUND(F19*ROUND(H19*Blad3!AA$4,2),0)</f>
        <v>0</v>
      </c>
    </row>
    <row r="20" spans="1:9" s="122" customFormat="1" ht="12">
      <c r="A20" s="360" t="s">
        <v>298</v>
      </c>
      <c r="B20" s="361"/>
      <c r="C20" s="183"/>
      <c r="D20" s="183"/>
      <c r="E20" s="186">
        <f t="shared" si="0"/>
        <v>0</v>
      </c>
      <c r="F20" s="184"/>
      <c r="G20" s="187">
        <f>Blad3!I12</f>
        <v>0</v>
      </c>
      <c r="H20" s="187">
        <f>Blad3!J12</f>
        <v>0</v>
      </c>
      <c r="I20" s="187">
        <f>ROUND(F20*ROUND(G20*Blad3!Z$4,2),0)+ROUND(F20*ROUND(H20*Blad3!AA$4,2),0)</f>
        <v>0</v>
      </c>
    </row>
    <row r="21" spans="1:9" s="122" customFormat="1" ht="12">
      <c r="A21" s="360" t="s">
        <v>299</v>
      </c>
      <c r="B21" s="361"/>
      <c r="C21" s="183"/>
      <c r="D21" s="183"/>
      <c r="E21" s="186">
        <f t="shared" si="0"/>
        <v>0</v>
      </c>
      <c r="F21" s="184"/>
      <c r="G21" s="187"/>
      <c r="H21" s="187"/>
      <c r="I21" s="186"/>
    </row>
    <row r="22" spans="1:9" s="122" customFormat="1" ht="12.75" customHeight="1">
      <c r="A22" s="360" t="s">
        <v>300</v>
      </c>
      <c r="B22" s="361"/>
      <c r="C22" s="183"/>
      <c r="D22" s="183"/>
      <c r="E22" s="186">
        <f t="shared" si="0"/>
        <v>0</v>
      </c>
      <c r="F22" s="184"/>
      <c r="G22" s="187">
        <f>Blad3!I14</f>
        <v>0</v>
      </c>
      <c r="H22" s="187">
        <f>Blad3!J14</f>
        <v>0</v>
      </c>
      <c r="I22" s="187">
        <f>ROUND(F22*ROUND(G22*Blad3!Z$4,2),0)+ROUND(F22*ROUND(H22*Blad3!AA$4,2),0)</f>
        <v>0</v>
      </c>
    </row>
    <row r="23" spans="1:9" s="122" customFormat="1" ht="12.75" customHeight="1">
      <c r="A23" s="360" t="s">
        <v>331</v>
      </c>
      <c r="B23" s="361"/>
      <c r="C23" s="183"/>
      <c r="D23" s="183"/>
      <c r="E23" s="186">
        <f t="shared" si="0"/>
        <v>0</v>
      </c>
      <c r="F23" s="184"/>
      <c r="G23" s="187">
        <f>Blad3!I15</f>
        <v>0</v>
      </c>
      <c r="H23" s="187">
        <f>Blad3!J15</f>
        <v>0</v>
      </c>
      <c r="I23" s="187">
        <f>ROUND(F23*ROUND(G23*Blad3!Z$4,2),0)+ROUND(F23*ROUND(H23*Blad3!AA$4,2),0)</f>
        <v>0</v>
      </c>
    </row>
    <row r="24" spans="1:9" s="122" customFormat="1" ht="12.75" customHeight="1">
      <c r="A24" s="360" t="s">
        <v>332</v>
      </c>
      <c r="B24" s="361"/>
      <c r="C24" s="183"/>
      <c r="D24" s="183"/>
      <c r="E24" s="186">
        <f t="shared" si="0"/>
        <v>0</v>
      </c>
      <c r="F24" s="184"/>
      <c r="G24" s="187">
        <f>Blad3!I16</f>
        <v>0</v>
      </c>
      <c r="H24" s="187">
        <f>Blad3!J16</f>
        <v>0</v>
      </c>
      <c r="I24" s="187">
        <f>ROUND(F24*ROUND(G24*Blad3!Z$4,2),0)+ROUND(F24*ROUND(H24*Blad3!AA$4,2),0)</f>
        <v>0</v>
      </c>
    </row>
    <row r="25" spans="1:9" s="122" customFormat="1" ht="12.75" customHeight="1">
      <c r="A25" s="360" t="s">
        <v>301</v>
      </c>
      <c r="B25" s="361"/>
      <c r="C25" s="183"/>
      <c r="D25" s="183"/>
      <c r="E25" s="186">
        <f t="shared" si="0"/>
        <v>0</v>
      </c>
      <c r="F25" s="184"/>
      <c r="G25" s="187">
        <f>Blad12!B36</f>
        <v>0</v>
      </c>
      <c r="H25" s="187">
        <f>Blad12!C36</f>
        <v>4768.11</v>
      </c>
      <c r="I25" s="187">
        <f>ROUND(F25*ROUND(G25*Blad3!Z$4,2),0)+ROUND(F25*ROUND(H25*Blad3!AA$4,2),0)</f>
        <v>0</v>
      </c>
    </row>
    <row r="26" spans="1:9" s="122" customFormat="1" ht="12.75" customHeight="1">
      <c r="A26" s="360" t="s">
        <v>302</v>
      </c>
      <c r="B26" s="361"/>
      <c r="C26" s="183"/>
      <c r="D26" s="183"/>
      <c r="E26" s="186">
        <f t="shared" si="0"/>
        <v>0</v>
      </c>
      <c r="F26" s="184"/>
      <c r="G26" s="187">
        <f>Blad12!B37</f>
        <v>0</v>
      </c>
      <c r="H26" s="187">
        <f>Blad12!C37</f>
        <v>2944.5</v>
      </c>
      <c r="I26" s="187">
        <f>ROUND(F26*ROUND(G26*Blad3!Z$4,2),0)+ROUND(F26*ROUND(H26*Blad3!AA$4,2),0)</f>
        <v>0</v>
      </c>
    </row>
    <row r="27" spans="1:9" s="122" customFormat="1" ht="12.75" customHeight="1">
      <c r="A27" s="360" t="s">
        <v>303</v>
      </c>
      <c r="B27" s="361"/>
      <c r="C27" s="183"/>
      <c r="D27" s="183"/>
      <c r="E27" s="186">
        <f t="shared" si="0"/>
        <v>0</v>
      </c>
      <c r="F27" s="184"/>
      <c r="G27" s="187">
        <f>Blad12!B52</f>
        <v>171.49</v>
      </c>
      <c r="H27" s="187">
        <f>Blad12!C52</f>
        <v>135.49</v>
      </c>
      <c r="I27" s="187">
        <f>ROUND(F27*ROUND(G27*Blad3!Z$4,2),0)+ROUND(F27*ROUND(H27*Blad3!AA$4,2),0)</f>
        <v>0</v>
      </c>
    </row>
    <row r="28" spans="1:9" s="122" customFormat="1" ht="12.75" customHeight="1">
      <c r="A28" s="360" t="s">
        <v>12</v>
      </c>
      <c r="B28" s="361"/>
      <c r="C28" s="183"/>
      <c r="D28" s="183"/>
      <c r="E28" s="186">
        <f t="shared" si="0"/>
        <v>0</v>
      </c>
      <c r="F28" s="184"/>
      <c r="G28" s="187">
        <f>Blad12!B53</f>
        <v>17.51</v>
      </c>
      <c r="H28" s="187">
        <f>Blad12!C53</f>
        <v>79.26</v>
      </c>
      <c r="I28" s="187">
        <f>ROUND(F28*ROUND(G28*Blad3!Z$4,2),0)+ROUND(F28*ROUND(H28*Blad3!AA$4,2),0)</f>
        <v>0</v>
      </c>
    </row>
    <row r="29" spans="1:9" s="122" customFormat="1" ht="12.75" customHeight="1">
      <c r="A29" s="360" t="s">
        <v>304</v>
      </c>
      <c r="B29" s="361"/>
      <c r="C29" s="183"/>
      <c r="D29" s="183"/>
      <c r="E29" s="186">
        <f t="shared" si="0"/>
        <v>0</v>
      </c>
      <c r="F29" s="184"/>
      <c r="G29" s="187">
        <f>Blad12!B54</f>
        <v>171.49</v>
      </c>
      <c r="H29" s="187">
        <f>Blad12!C54</f>
        <v>195</v>
      </c>
      <c r="I29" s="187">
        <f>ROUND(F29*ROUND(G29*Blad3!Z$4,2),0)+ROUND(F29*ROUND(H29*Blad3!AA$4,2),0)</f>
        <v>0</v>
      </c>
    </row>
    <row r="30" spans="1:9" s="122" customFormat="1" ht="12.75" customHeight="1">
      <c r="A30" s="360" t="s">
        <v>15</v>
      </c>
      <c r="B30" s="361"/>
      <c r="C30" s="183"/>
      <c r="D30" s="183"/>
      <c r="E30" s="186">
        <f t="shared" si="0"/>
        <v>0</v>
      </c>
      <c r="F30" s="184"/>
      <c r="G30" s="187">
        <f>Blad12!B55</f>
        <v>17.51</v>
      </c>
      <c r="H30" s="187">
        <f>Blad12!C55</f>
        <v>99.52</v>
      </c>
      <c r="I30" s="187">
        <f>ROUND(F30*ROUND(G30*Blad3!Z$4,2),0)+ROUND(F30*ROUND(H30*Blad3!AA$4,2),0)</f>
        <v>0</v>
      </c>
    </row>
    <row r="31" spans="1:9" s="122" customFormat="1" ht="12.75" customHeight="1">
      <c r="A31" s="360" t="s">
        <v>305</v>
      </c>
      <c r="B31" s="361"/>
      <c r="C31" s="183"/>
      <c r="D31" s="183"/>
      <c r="E31" s="186">
        <f t="shared" si="0"/>
        <v>0</v>
      </c>
      <c r="F31" s="184"/>
      <c r="G31" s="187">
        <f>Blad12!B56</f>
        <v>104.35</v>
      </c>
      <c r="H31" s="187">
        <f>Blad12!C56</f>
        <v>110.16</v>
      </c>
      <c r="I31" s="187">
        <f>ROUND(F31*ROUND(G31*Blad3!Z$4,2),0)+ROUND(F31*ROUND(H31*Blad3!AA$4,2),0)</f>
        <v>0</v>
      </c>
    </row>
    <row r="32" spans="1:9" s="122" customFormat="1" ht="12.75" customHeight="1">
      <c r="A32" s="360" t="s">
        <v>306</v>
      </c>
      <c r="B32" s="361"/>
      <c r="C32" s="183"/>
      <c r="D32" s="183"/>
      <c r="E32" s="186">
        <f t="shared" si="0"/>
        <v>0</v>
      </c>
      <c r="F32" s="184"/>
      <c r="G32" s="187">
        <f>Blad12!B57</f>
        <v>104.35</v>
      </c>
      <c r="H32" s="187">
        <f>Blad12!C57</f>
        <v>170.95</v>
      </c>
      <c r="I32" s="187">
        <f>ROUND(F32*ROUND(G32*Blad3!Z$4,2),0)+ROUND(F32*ROUND(H32*Blad3!AA$4,2),0)</f>
        <v>0</v>
      </c>
    </row>
    <row r="33" spans="1:9" s="122" customFormat="1" ht="12.75" customHeight="1">
      <c r="A33" s="360" t="s">
        <v>307</v>
      </c>
      <c r="B33" s="361"/>
      <c r="C33" s="183"/>
      <c r="D33" s="183"/>
      <c r="E33" s="186">
        <f t="shared" si="0"/>
        <v>0</v>
      </c>
      <c r="F33" s="184"/>
      <c r="G33" s="187">
        <f>Blad12!B58</f>
        <v>244.66</v>
      </c>
      <c r="H33" s="187">
        <f>Blad12!C58</f>
        <v>110.16</v>
      </c>
      <c r="I33" s="187">
        <f>ROUND(F33*ROUND(G33*Blad3!Z$4,2),0)+ROUND(F33*ROUND(H33*Blad3!AA$4,2),0)</f>
        <v>0</v>
      </c>
    </row>
    <row r="34" spans="1:9" s="122" customFormat="1" ht="12.75" customHeight="1">
      <c r="A34" s="360" t="s">
        <v>308</v>
      </c>
      <c r="B34" s="361"/>
      <c r="C34" s="183"/>
      <c r="D34" s="183"/>
      <c r="E34" s="186">
        <f t="shared" si="0"/>
        <v>0</v>
      </c>
      <c r="F34" s="184"/>
      <c r="G34" s="187">
        <f>Blad12!B59</f>
        <v>244.66</v>
      </c>
      <c r="H34" s="187">
        <f>Blad12!C59</f>
        <v>170.95</v>
      </c>
      <c r="I34" s="187">
        <f>ROUND(F34*ROUND(G34*Blad3!Z$4,2),0)+ROUND(F34*ROUND(H34*Blad3!AA$4,2),0)</f>
        <v>0</v>
      </c>
    </row>
    <row r="35" spans="1:9" s="122" customFormat="1" ht="12.75" customHeight="1">
      <c r="A35" s="360" t="s">
        <v>16</v>
      </c>
      <c r="B35" s="361"/>
      <c r="C35" s="183"/>
      <c r="D35" s="183"/>
      <c r="E35" s="186">
        <f t="shared" si="0"/>
        <v>0</v>
      </c>
      <c r="F35" s="184"/>
      <c r="G35" s="187">
        <f>Blad12!B60</f>
        <v>17.51</v>
      </c>
      <c r="H35" s="187">
        <f>Blad12!C60</f>
        <v>88.94</v>
      </c>
      <c r="I35" s="187">
        <f>ROUND(F35*ROUND(G35*Blad3!Z$4,2),0)+ROUND(F35*ROUND(H35*Blad3!AA$4,2),0)</f>
        <v>0</v>
      </c>
    </row>
    <row r="36" spans="1:9" s="122" customFormat="1" ht="12">
      <c r="A36" s="360" t="s">
        <v>17</v>
      </c>
      <c r="B36" s="361"/>
      <c r="C36" s="183"/>
      <c r="D36" s="183"/>
      <c r="E36" s="186">
        <f t="shared" si="0"/>
        <v>0</v>
      </c>
      <c r="F36" s="183"/>
      <c r="G36" s="187">
        <f>Blad12!B61</f>
        <v>17.51</v>
      </c>
      <c r="H36" s="187">
        <f>Blad12!C61</f>
        <v>109.19</v>
      </c>
      <c r="I36" s="187">
        <f>ROUND(F36*ROUND(G36*Blad3!Z$4,2),0)+ROUND(F36*ROUND(H36*Blad3!AA$4,2),0)</f>
        <v>0</v>
      </c>
    </row>
    <row r="37" spans="1:9" s="122" customFormat="1" ht="12">
      <c r="A37" s="137" t="s">
        <v>179</v>
      </c>
      <c r="B37" s="127"/>
      <c r="C37" s="181"/>
      <c r="D37" s="181"/>
      <c r="E37" s="185"/>
      <c r="F37" s="185"/>
      <c r="G37" s="136"/>
      <c r="H37" s="136"/>
      <c r="I37" s="188">
        <f>SUM(I19:I36)</f>
        <v>0</v>
      </c>
    </row>
    <row r="38" spans="1:10" s="122" customFormat="1" ht="12.75">
      <c r="A38"/>
      <c r="B38"/>
      <c r="C38"/>
      <c r="D38"/>
      <c r="E38" s="1"/>
      <c r="F38"/>
      <c r="G38"/>
      <c r="H38"/>
      <c r="I38" s="1"/>
      <c r="J38"/>
    </row>
    <row r="39" spans="1:10" s="122" customFormat="1" ht="12.75">
      <c r="A39" s="122" t="s">
        <v>309</v>
      </c>
      <c r="B39"/>
      <c r="C39"/>
      <c r="D39"/>
      <c r="E39" s="1"/>
      <c r="F39"/>
      <c r="G39"/>
      <c r="H39"/>
      <c r="I39" s="1"/>
      <c r="J39"/>
    </row>
    <row r="40" spans="1:12" s="122" customFormat="1" ht="12">
      <c r="A40" s="122" t="s">
        <v>476</v>
      </c>
      <c r="K40" s="124"/>
      <c r="L40" s="124"/>
    </row>
    <row r="41" spans="1:12" s="122" customFormat="1" ht="12">
      <c r="A41" s="177" t="s">
        <v>336</v>
      </c>
      <c r="B41" s="120"/>
      <c r="C41" s="120"/>
      <c r="D41" s="175"/>
      <c r="E41" s="120"/>
      <c r="F41" s="120"/>
      <c r="G41" s="120"/>
      <c r="H41" s="120"/>
      <c r="I41" s="119"/>
      <c r="J41" s="121"/>
      <c r="K41" s="121"/>
      <c r="L41" s="121"/>
    </row>
    <row r="42" s="122" customFormat="1" ht="12"/>
  </sheetData>
  <sheetProtection password="CDFB" sheet="1" objects="1" scenarios="1"/>
  <mergeCells count="22">
    <mergeCell ref="E11:F11"/>
    <mergeCell ref="C12:D12"/>
    <mergeCell ref="G12:H1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1:B31"/>
    <mergeCell ref="A32:B32"/>
    <mergeCell ref="A33:B33"/>
    <mergeCell ref="A34:B34"/>
  </mergeCells>
  <conditionalFormatting sqref="E11:F11 F37 E18:E37 C37:D37 E7:L7 E8:E9">
    <cfRule type="expression" priority="1" dxfId="0" stopIfTrue="1">
      <formula>#REF!=TRUE</formula>
    </cfRule>
  </conditionalFormatting>
  <printOptions/>
  <pageMargins left="0.75" right="0.75" top="1" bottom="1" header="0.5" footer="0.5"/>
  <pageSetup horizontalDpi="600" verticalDpi="600" orientation="landscape" scale="83" r:id="rId1"/>
  <headerFooter alignWithMargins="0">
    <oddFooter>&amp;Rblad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9">
    <tabColor indexed="50"/>
    <pageSetUpPr fitToPage="1"/>
  </sheetPr>
  <dimension ref="A1:U64"/>
  <sheetViews>
    <sheetView view="pageBreakPreview" zoomScale="60" zoomScaleNormal="75" workbookViewId="0" topLeftCell="A1">
      <pane xSplit="1" ySplit="8" topLeftCell="F9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J53" sqref="J53"/>
    </sheetView>
  </sheetViews>
  <sheetFormatPr defaultColWidth="9.140625" defaultRowHeight="12.75"/>
  <cols>
    <col min="1" max="1" width="50.7109375" style="30" customWidth="1"/>
    <col min="2" max="5" width="10.7109375" style="60" customWidth="1"/>
    <col min="6" max="6" width="12.7109375" style="60" customWidth="1"/>
    <col min="7" max="7" width="12.7109375" style="229" customWidth="1"/>
    <col min="8" max="9" width="12.140625" style="229" customWidth="1"/>
    <col min="10" max="14" width="11.7109375" style="231" customWidth="1"/>
    <col min="15" max="15" width="15.57421875" style="231" customWidth="1"/>
    <col min="16" max="16" width="17.140625" style="231" customWidth="1"/>
    <col min="17" max="17" width="18.28125" style="231" customWidth="1"/>
    <col min="18" max="19" width="9.140625" style="30" customWidth="1"/>
  </cols>
  <sheetData>
    <row r="1" spans="1:6" ht="12.75">
      <c r="A1" s="253"/>
      <c r="B1" s="229"/>
      <c r="C1" s="229"/>
      <c r="D1" s="229"/>
      <c r="E1" s="229"/>
      <c r="F1" s="229"/>
    </row>
    <row r="2" spans="1:6" ht="12.75">
      <c r="A2" s="295" t="s">
        <v>396</v>
      </c>
      <c r="B2" s="229"/>
      <c r="C2" s="229"/>
      <c r="D2" s="229"/>
      <c r="E2" s="229"/>
      <c r="F2" s="229"/>
    </row>
    <row r="3" spans="1:6" ht="12.75">
      <c r="A3" s="295" t="s">
        <v>57</v>
      </c>
      <c r="B3" s="229"/>
      <c r="C3" s="229"/>
      <c r="D3" s="229"/>
      <c r="E3" s="229"/>
      <c r="F3" s="229"/>
    </row>
    <row r="4" spans="1:6" ht="12.75">
      <c r="A4" s="296"/>
      <c r="B4" s="229"/>
      <c r="C4" s="229"/>
      <c r="D4" s="229"/>
      <c r="E4" s="229"/>
      <c r="F4" s="229"/>
    </row>
    <row r="5" spans="1:16" ht="12.75">
      <c r="A5" s="297" t="s">
        <v>406</v>
      </c>
      <c r="B5" s="229"/>
      <c r="C5" s="229"/>
      <c r="D5" s="229"/>
      <c r="E5" s="229"/>
      <c r="F5" s="229"/>
      <c r="M5" s="232"/>
      <c r="N5" s="232"/>
      <c r="O5" s="232"/>
      <c r="P5" s="232"/>
    </row>
    <row r="6" spans="1:17" ht="12.75">
      <c r="A6" s="286"/>
      <c r="B6" s="298" t="s">
        <v>10</v>
      </c>
      <c r="C6" s="233" t="s">
        <v>210</v>
      </c>
      <c r="D6" s="298" t="s">
        <v>408</v>
      </c>
      <c r="E6" s="233" t="s">
        <v>210</v>
      </c>
      <c r="F6" s="299" t="s">
        <v>180</v>
      </c>
      <c r="G6" s="233" t="s">
        <v>408</v>
      </c>
      <c r="H6" s="85"/>
      <c r="I6" s="86" t="s">
        <v>393</v>
      </c>
      <c r="J6" s="234"/>
      <c r="K6" s="234"/>
      <c r="L6" s="235" t="s">
        <v>245</v>
      </c>
      <c r="M6" s="368" t="s">
        <v>394</v>
      </c>
      <c r="N6" s="369"/>
      <c r="O6" s="369"/>
      <c r="P6" s="369"/>
      <c r="Q6" s="235" t="s">
        <v>245</v>
      </c>
    </row>
    <row r="7" spans="1:21" ht="12.75">
      <c r="A7" s="286"/>
      <c r="B7" s="300">
        <v>2004</v>
      </c>
      <c r="C7" s="236">
        <v>2004</v>
      </c>
      <c r="D7" s="236">
        <v>2004</v>
      </c>
      <c r="E7" s="236">
        <v>2005</v>
      </c>
      <c r="F7" s="301">
        <v>2005</v>
      </c>
      <c r="G7" s="236">
        <v>2005</v>
      </c>
      <c r="H7" s="88" t="s">
        <v>218</v>
      </c>
      <c r="I7" s="89"/>
      <c r="J7" s="237" t="s">
        <v>408</v>
      </c>
      <c r="K7" s="238" t="s">
        <v>408</v>
      </c>
      <c r="L7" s="239">
        <v>2004</v>
      </c>
      <c r="M7" s="88" t="s">
        <v>218</v>
      </c>
      <c r="N7" s="89"/>
      <c r="O7" s="237" t="s">
        <v>219</v>
      </c>
      <c r="P7" s="238" t="s">
        <v>219</v>
      </c>
      <c r="Q7" s="239">
        <v>2005</v>
      </c>
      <c r="T7" s="30"/>
      <c r="U7" s="30"/>
    </row>
    <row r="8" spans="1:21" ht="13.5">
      <c r="A8" s="286"/>
      <c r="B8" s="102"/>
      <c r="C8" s="102"/>
      <c r="D8" s="102"/>
      <c r="E8" s="102"/>
      <c r="F8" s="302" t="s">
        <v>511</v>
      </c>
      <c r="G8" s="102"/>
      <c r="H8" s="90" t="s">
        <v>108</v>
      </c>
      <c r="I8" s="90" t="s">
        <v>109</v>
      </c>
      <c r="J8" s="240" t="s">
        <v>108</v>
      </c>
      <c r="K8" s="240" t="s">
        <v>109</v>
      </c>
      <c r="L8" s="241"/>
      <c r="M8" s="90" t="s">
        <v>108</v>
      </c>
      <c r="N8" s="90" t="s">
        <v>109</v>
      </c>
      <c r="O8" s="240" t="s">
        <v>108</v>
      </c>
      <c r="P8" s="240" t="s">
        <v>109</v>
      </c>
      <c r="Q8" s="241"/>
      <c r="T8" s="30"/>
      <c r="U8" s="30"/>
    </row>
    <row r="9" spans="1:21" ht="12.75">
      <c r="A9" s="286"/>
      <c r="B9" s="102"/>
      <c r="C9" s="102"/>
      <c r="D9" s="102"/>
      <c r="E9" s="102"/>
      <c r="F9" s="102"/>
      <c r="G9" s="102"/>
      <c r="H9" s="102"/>
      <c r="I9" s="102"/>
      <c r="J9" s="241"/>
      <c r="K9" s="241"/>
      <c r="L9" s="241"/>
      <c r="M9" s="241"/>
      <c r="N9" s="241"/>
      <c r="O9" s="241"/>
      <c r="P9" s="241"/>
      <c r="T9" s="30"/>
      <c r="U9" s="30"/>
    </row>
    <row r="10" spans="1:21" ht="12.75">
      <c r="A10" s="286" t="s">
        <v>244</v>
      </c>
      <c r="B10" s="102"/>
      <c r="C10" s="102"/>
      <c r="D10" s="102"/>
      <c r="E10" s="102"/>
      <c r="F10" s="102"/>
      <c r="G10" s="102"/>
      <c r="H10" s="102"/>
      <c r="I10" s="102"/>
      <c r="J10" s="242">
        <f>Blad4!K37</f>
        <v>0</v>
      </c>
      <c r="K10" s="242">
        <f>Blad4!L37</f>
        <v>0</v>
      </c>
      <c r="L10" s="242">
        <f>Blad4!M37</f>
        <v>0</v>
      </c>
      <c r="M10" s="242"/>
      <c r="N10" s="242"/>
      <c r="O10" s="242">
        <f>Blad4!P37</f>
        <v>0</v>
      </c>
      <c r="P10" s="242">
        <f>Blad4!Q37</f>
        <v>0</v>
      </c>
      <c r="Q10" s="242">
        <f>Blad4!R37</f>
        <v>0</v>
      </c>
      <c r="T10" s="30"/>
      <c r="U10" s="30"/>
    </row>
    <row r="11" spans="1:21" ht="12.75">
      <c r="A11" s="286"/>
      <c r="B11" s="102"/>
      <c r="C11" s="102"/>
      <c r="D11" s="102"/>
      <c r="E11" s="102"/>
      <c r="F11" s="102"/>
      <c r="G11" s="102"/>
      <c r="H11" s="102"/>
      <c r="I11" s="102"/>
      <c r="J11" s="241"/>
      <c r="K11" s="241"/>
      <c r="L11" s="241"/>
      <c r="M11" s="241"/>
      <c r="N11" s="241"/>
      <c r="O11" s="102"/>
      <c r="P11" s="102"/>
      <c r="T11" s="30"/>
      <c r="U11" s="30"/>
    </row>
    <row r="12" spans="1:21" ht="12.75">
      <c r="A12" s="303" t="s">
        <v>250</v>
      </c>
      <c r="B12" s="229"/>
      <c r="C12" s="229"/>
      <c r="D12" s="229"/>
      <c r="E12" s="229"/>
      <c r="F12" s="229"/>
      <c r="H12" s="230"/>
      <c r="I12" s="230"/>
      <c r="O12" s="229"/>
      <c r="P12" s="229"/>
      <c r="T12" s="30"/>
      <c r="U12" s="30"/>
    </row>
    <row r="13" spans="1:21" ht="12.75">
      <c r="A13" s="304" t="s">
        <v>251</v>
      </c>
      <c r="B13" s="62"/>
      <c r="C13" s="62"/>
      <c r="D13" s="227">
        <f>Blad5!B13-Blad5!C13</f>
        <v>0</v>
      </c>
      <c r="E13" s="62"/>
      <c r="F13" s="62"/>
      <c r="G13" s="227">
        <f>F13-E13-D13</f>
        <v>0</v>
      </c>
      <c r="H13" s="243"/>
      <c r="I13" s="202"/>
      <c r="O13" s="229"/>
      <c r="P13" s="229"/>
      <c r="T13" s="30"/>
      <c r="U13" s="30"/>
    </row>
    <row r="14" spans="1:21" ht="12.75">
      <c r="A14" s="304" t="s">
        <v>252</v>
      </c>
      <c r="B14" s="62"/>
      <c r="C14" s="62"/>
      <c r="D14" s="227">
        <f>Blad5!B14-Blad5!C14</f>
        <v>0</v>
      </c>
      <c r="E14" s="62"/>
      <c r="F14" s="62"/>
      <c r="G14" s="227">
        <f>F14-E14-D14</f>
        <v>0</v>
      </c>
      <c r="H14" s="230"/>
      <c r="I14" s="202"/>
      <c r="O14" s="229"/>
      <c r="P14" s="229"/>
      <c r="T14" s="30"/>
      <c r="U14" s="30"/>
    </row>
    <row r="15" spans="1:21" ht="12.75">
      <c r="A15" s="304" t="s">
        <v>58</v>
      </c>
      <c r="B15" s="62"/>
      <c r="C15" s="62"/>
      <c r="D15" s="227">
        <f>Blad5!B15-Blad5!C15</f>
        <v>0</v>
      </c>
      <c r="E15" s="62"/>
      <c r="F15" s="62"/>
      <c r="G15" s="227">
        <f>F15-E15-D15</f>
        <v>0</v>
      </c>
      <c r="H15" s="244">
        <f>Blad12!B79</f>
        <v>5.84</v>
      </c>
      <c r="I15" s="244">
        <f>Blad12!C79</f>
        <v>2.15</v>
      </c>
      <c r="J15" s="227">
        <f>ROUND(D15*ROUND(H15*Blad3!$Z$4,2),0)</f>
        <v>0</v>
      </c>
      <c r="K15" s="227">
        <f>ROUND(D15*ROUND(I15*Blad3!$AA$4,2),0)</f>
        <v>0</v>
      </c>
      <c r="L15" s="227">
        <f>ROUND(B15*ROUND(H15*Blad3!Z$4,2),0)+ROUND(B15*ROUND(I15*Blad3!AA$4,2),0)</f>
        <v>0</v>
      </c>
      <c r="M15" s="245">
        <f>Blad12!D79</f>
        <v>5.94</v>
      </c>
      <c r="N15" s="245">
        <f>Blad12!E79</f>
        <v>2.17</v>
      </c>
      <c r="O15" s="228">
        <f>ROUND(($F15)*ROUND(M15*Blad3!$AB$5,2),0)</f>
        <v>0</v>
      </c>
      <c r="P15" s="228">
        <f>ROUND(($F15)*ROUND(N15*Blad3!$AC$5,2),0)</f>
        <v>0</v>
      </c>
      <c r="Q15" s="228">
        <f>O15+P15</f>
        <v>0</v>
      </c>
      <c r="T15" s="30"/>
      <c r="U15" s="30"/>
    </row>
    <row r="16" spans="1:21" ht="12.75">
      <c r="A16" s="304" t="s">
        <v>59</v>
      </c>
      <c r="B16" s="228">
        <f>SUM(B13:B15)</f>
        <v>0</v>
      </c>
      <c r="C16" s="228">
        <f>SUM(C13:C15)</f>
        <v>0</v>
      </c>
      <c r="D16" s="227">
        <f>Blad5!B16-Blad5!C16</f>
        <v>0</v>
      </c>
      <c r="E16" s="62"/>
      <c r="F16" s="228">
        <f>SUM(F13:F15)</f>
        <v>0</v>
      </c>
      <c r="G16" s="227">
        <f>F16-E16-D16</f>
        <v>0</v>
      </c>
      <c r="H16" s="93">
        <f>ROUND(IF(Blad5!B$18&lt;=15,Blad12!B80,IF(Blad5!B$18&gt;=76,Blad12!B81,ROUND((Blad5!B$18-15)*((Blad12!B81-Blad12!B80)/61),2)+Blad12!B80)),2)</f>
        <v>3.67</v>
      </c>
      <c r="I16" s="246">
        <f>ROUND(IF(Blad5!$B$18&lt;=15,Blad12!C80,IF(Blad5!$B$18&gt;=76,Blad12!C81,ROUND((Blad5!B$18-15)*((Blad12!C81-Blad12!C80)/61),2)+Blad12!C80)),2)</f>
        <v>1.36</v>
      </c>
      <c r="J16" s="227">
        <f>ROUND(D16*ROUND(H16*Blad3!$Z$4,2),0)</f>
        <v>0</v>
      </c>
      <c r="K16" s="227">
        <f>ROUND(D16*ROUND(I16*Blad3!$AA$4,2),0)</f>
        <v>0</v>
      </c>
      <c r="L16" s="227">
        <f>ROUND(B16*ROUND(H16*Blad3!Z$4,2),0)+ROUND(B16*ROUND(I16*Blad3!AA$4,2),0)</f>
        <v>0</v>
      </c>
      <c r="M16" s="93">
        <f>ROUND(IF(Blad5!F$18&lt;=15,Blad12!D80,IF(Blad5!F$18&gt;=76,Blad12!D81,ROUND((Blad5!F$18-15)*((Blad12!B81-Blad12!D80)/61),2)+Blad12!D80)),2)</f>
        <v>3.73</v>
      </c>
      <c r="N16" s="246">
        <f>ROUND(IF(Blad5!$F$18&lt;=15,Blad12!E80,IF(Blad5!$F$18&gt;=76,Blad12!E81,ROUND((Blad5!F$18-15)*((Blad12!E81-Blad12!E80)/61),2)+Blad12!E80)),2)</f>
        <v>1.37</v>
      </c>
      <c r="O16" s="228">
        <f>ROUND(($F16)*ROUND(M16*Blad3!$AB$5,2),0)</f>
        <v>0</v>
      </c>
      <c r="P16" s="228">
        <f>ROUND(($F16)*ROUND(N16*Blad3!$AC$5,2),0)</f>
        <v>0</v>
      </c>
      <c r="Q16" s="228">
        <f>O16+P16</f>
        <v>0</v>
      </c>
      <c r="T16" s="30"/>
      <c r="U16" s="30"/>
    </row>
    <row r="17" spans="1:21" ht="12.75">
      <c r="A17" s="304" t="s">
        <v>253</v>
      </c>
      <c r="B17" s="62"/>
      <c r="C17" s="62"/>
      <c r="D17" s="227">
        <f>Blad5!B17-Blad5!C17</f>
        <v>0</v>
      </c>
      <c r="E17" s="62"/>
      <c r="F17" s="62"/>
      <c r="G17" s="227">
        <f>F17-E17-D17</f>
        <v>0</v>
      </c>
      <c r="H17" s="244">
        <f>Blad12!B82</f>
        <v>0.63</v>
      </c>
      <c r="I17" s="244">
        <f>Blad12!C82</f>
        <v>0.561</v>
      </c>
      <c r="J17" s="227">
        <f>ROUND(D17*ROUND(H17*Blad3!$Z$4,2),0)</f>
        <v>0</v>
      </c>
      <c r="K17" s="227">
        <f>ROUND(D17*ROUND(I17*Blad3!$AA$4,2),0)</f>
        <v>0</v>
      </c>
      <c r="L17" s="227">
        <f>ROUND(B17*ROUND(H17*Blad3!Z$4,2),0)+ROUND(B17*ROUND(I17*Blad3!AA$4,2),0)</f>
        <v>0</v>
      </c>
      <c r="M17" s="245">
        <f>Blad12!D82</f>
        <v>0.64</v>
      </c>
      <c r="N17" s="245">
        <f>Blad12!E82</f>
        <v>0.57</v>
      </c>
      <c r="O17" s="228">
        <f>ROUND(($F17)*ROUND(M17*Blad3!$AB$5,2),0)</f>
        <v>0</v>
      </c>
      <c r="P17" s="228">
        <f>ROUND(($F17)*ROUND(N17*Blad3!$AC$5,2),0)</f>
        <v>0</v>
      </c>
      <c r="Q17" s="228">
        <f>O17+P17</f>
        <v>0</v>
      </c>
      <c r="T17" s="30"/>
      <c r="U17" s="30"/>
    </row>
    <row r="18" spans="1:21" ht="12.75">
      <c r="A18" s="304" t="s">
        <v>60</v>
      </c>
      <c r="B18" s="101">
        <f>IF(B13+B14&lt;&gt;0,ROUND((B14/(B13+B14))*100,0),0)</f>
        <v>0</v>
      </c>
      <c r="C18" s="101">
        <f>IF(C13+C14&lt;&gt;0,ROUND((C14/(C13+C14))*100,0),0)</f>
        <v>0</v>
      </c>
      <c r="D18" s="202"/>
      <c r="E18" s="101">
        <f>IF(E13+E14&lt;&gt;0,ROUND((E14/(E13+E14))*100,0),0)</f>
        <v>0</v>
      </c>
      <c r="F18" s="101">
        <f>IF(F13+F14&lt;&gt;0,ROUND((F14/(F13+F14))*100,0),0)</f>
        <v>0</v>
      </c>
      <c r="G18" s="202"/>
      <c r="H18" s="202"/>
      <c r="I18" s="202"/>
      <c r="O18" s="229"/>
      <c r="P18" s="229"/>
      <c r="T18" s="30"/>
      <c r="U18" s="30"/>
    </row>
    <row r="19" spans="1:21" ht="12.75">
      <c r="A19" s="296"/>
      <c r="B19" s="229"/>
      <c r="C19" s="229"/>
      <c r="D19" s="230"/>
      <c r="E19" s="230"/>
      <c r="F19" s="229"/>
      <c r="G19" s="230"/>
      <c r="H19" s="230"/>
      <c r="I19" s="230"/>
      <c r="O19" s="229"/>
      <c r="P19" s="229"/>
      <c r="T19" s="30"/>
      <c r="U19" s="30"/>
    </row>
    <row r="20" spans="1:21" ht="12.75">
      <c r="A20" s="305" t="s">
        <v>61</v>
      </c>
      <c r="B20" s="229"/>
      <c r="C20" s="229"/>
      <c r="D20" s="229"/>
      <c r="E20" s="229"/>
      <c r="F20" s="229"/>
      <c r="G20" s="230"/>
      <c r="H20" s="230"/>
      <c r="I20" s="230"/>
      <c r="O20" s="229"/>
      <c r="P20" s="229"/>
      <c r="T20" s="30"/>
      <c r="U20" s="30"/>
    </row>
    <row r="21" spans="1:21" ht="12.75">
      <c r="A21" s="306" t="s">
        <v>468</v>
      </c>
      <c r="B21" s="62"/>
      <c r="C21" s="62"/>
      <c r="D21" s="227">
        <f>B21-C21</f>
        <v>0</v>
      </c>
      <c r="E21" s="62"/>
      <c r="F21" s="62"/>
      <c r="G21" s="227">
        <f>F21-E21-D21</f>
        <v>0</v>
      </c>
      <c r="H21" s="247">
        <f>Blad12!B86</f>
        <v>0.413</v>
      </c>
      <c r="I21" s="247">
        <f>Blad12!C86</f>
        <v>0.085</v>
      </c>
      <c r="J21" s="227">
        <f>ROUND(D21*ROUND(H21*Blad3!$Z$4,3),0)</f>
        <v>0</v>
      </c>
      <c r="K21" s="227">
        <f>ROUND(D21*ROUND(I21*Blad3!$AA$4,3),0)</f>
        <v>0</v>
      </c>
      <c r="L21" s="227">
        <f>ROUND(B21*ROUND(H21*Blad3!Z$4,3),0)+ROUND(B21*ROUND(I21*Blad3!AA$4,3),0)</f>
        <v>0</v>
      </c>
      <c r="M21" s="247">
        <f>Blad12!D86</f>
        <v>0.413</v>
      </c>
      <c r="N21" s="247">
        <f>Blad12!E86</f>
        <v>0.085</v>
      </c>
      <c r="O21" s="228">
        <f>ROUND(($F21)*ROUND(M21*Blad3!$AB$5,3),0)</f>
        <v>0</v>
      </c>
      <c r="P21" s="228">
        <f>ROUND(($F21)*ROUND(N21*Blad3!$AC$5,3),0)</f>
        <v>0</v>
      </c>
      <c r="Q21" s="228">
        <f>O21+P21</f>
        <v>0</v>
      </c>
      <c r="T21" s="30"/>
      <c r="U21" s="30"/>
    </row>
    <row r="22" spans="1:21" ht="12.75">
      <c r="A22" s="296"/>
      <c r="B22" s="229"/>
      <c r="C22" s="229"/>
      <c r="D22" s="229"/>
      <c r="E22" s="229"/>
      <c r="F22" s="229"/>
      <c r="G22" s="230"/>
      <c r="H22" s="230"/>
      <c r="I22" s="230"/>
      <c r="O22" s="229"/>
      <c r="P22" s="229"/>
      <c r="T22" s="30"/>
      <c r="U22" s="30"/>
    </row>
    <row r="23" spans="1:21" ht="12.75">
      <c r="A23" s="305" t="s">
        <v>62</v>
      </c>
      <c r="B23" s="229"/>
      <c r="C23" s="229"/>
      <c r="D23" s="229"/>
      <c r="E23" s="229"/>
      <c r="F23" s="229"/>
      <c r="G23" s="230"/>
      <c r="H23" s="202"/>
      <c r="I23" s="230"/>
      <c r="O23" s="229"/>
      <c r="P23" s="229"/>
      <c r="T23" s="30"/>
      <c r="U23" s="30"/>
    </row>
    <row r="24" spans="1:21" ht="12.75">
      <c r="A24" s="306" t="s">
        <v>469</v>
      </c>
      <c r="B24" s="62"/>
      <c r="C24" s="62"/>
      <c r="D24" s="227">
        <f>B24-C24</f>
        <v>0</v>
      </c>
      <c r="E24" s="62"/>
      <c r="F24" s="62"/>
      <c r="G24" s="227">
        <f>F24-E24-D24</f>
        <v>0</v>
      </c>
      <c r="H24" s="247">
        <f>Blad12!B87</f>
        <v>0.463</v>
      </c>
      <c r="I24" s="247">
        <f>Blad12!C87</f>
        <v>0.108</v>
      </c>
      <c r="J24" s="227">
        <f>ROUND(D24*ROUND(H24*Blad3!$Z$4,3),0)</f>
        <v>0</v>
      </c>
      <c r="K24" s="227">
        <f>ROUND(D24*ROUND(I24*Blad3!$AA$4,3),0)</f>
        <v>0</v>
      </c>
      <c r="L24" s="227">
        <f>ROUND(B24*ROUND(H24*Blad3!Z$4,3),0)+ROUND(B24*ROUND(I24*Blad3!AA$4,3),0)</f>
        <v>0</v>
      </c>
      <c r="M24" s="247">
        <f>Blad12!D87</f>
        <v>0.463</v>
      </c>
      <c r="N24" s="247">
        <f>Blad12!E87</f>
        <v>0.108</v>
      </c>
      <c r="O24" s="228">
        <f>ROUND(($F24)*ROUND(M24*Blad3!$AB$5,3),0)</f>
        <v>0</v>
      </c>
      <c r="P24" s="228">
        <f>ROUND(($F24)*ROUND(N24*Blad3!$AC$5,3),0)</f>
        <v>0</v>
      </c>
      <c r="Q24" s="228">
        <f>O24+P24</f>
        <v>0</v>
      </c>
      <c r="T24" s="30"/>
      <c r="U24" s="30"/>
    </row>
    <row r="25" spans="1:21" ht="12.75">
      <c r="A25" s="296"/>
      <c r="B25" s="229"/>
      <c r="C25" s="229"/>
      <c r="D25" s="229"/>
      <c r="E25" s="229"/>
      <c r="F25" s="229"/>
      <c r="G25" s="230"/>
      <c r="H25" s="230"/>
      <c r="I25" s="230"/>
      <c r="O25" s="229"/>
      <c r="P25" s="229"/>
      <c r="T25" s="30"/>
      <c r="U25" s="30"/>
    </row>
    <row r="26" spans="1:21" ht="12.75">
      <c r="A26" s="305" t="s">
        <v>63</v>
      </c>
      <c r="B26" s="229"/>
      <c r="C26" s="229"/>
      <c r="D26" s="229"/>
      <c r="E26" s="229"/>
      <c r="F26" s="229"/>
      <c r="G26" s="230"/>
      <c r="H26" s="230"/>
      <c r="I26" s="230"/>
      <c r="O26" s="229"/>
      <c r="P26" s="229"/>
      <c r="T26" s="30"/>
      <c r="U26" s="30"/>
    </row>
    <row r="27" spans="1:21" ht="12.75">
      <c r="A27" s="306" t="s">
        <v>254</v>
      </c>
      <c r="B27" s="62"/>
      <c r="C27" s="62"/>
      <c r="D27" s="227">
        <f>B27-C27</f>
        <v>0</v>
      </c>
      <c r="E27" s="62"/>
      <c r="F27" s="62"/>
      <c r="G27" s="227">
        <f>F27-E27-D27</f>
        <v>0</v>
      </c>
      <c r="H27" s="247">
        <f>Blad12!B89</f>
        <v>0.849</v>
      </c>
      <c r="I27" s="247">
        <f>Blad12!C89</f>
        <v>0.17</v>
      </c>
      <c r="J27" s="227">
        <f>ROUND(D27*ROUND(H27*Blad3!$Z$4,3),0)</f>
        <v>0</v>
      </c>
      <c r="K27" s="227">
        <f>ROUND(D27*ROUND(I27*Blad3!$AA$4,3),0)</f>
        <v>0</v>
      </c>
      <c r="L27" s="227">
        <f>ROUND(B27*ROUND(H27*Blad3!Z$4,3),0)+ROUND(B27*ROUND(I27*Blad3!AA$4,3),0)</f>
        <v>0</v>
      </c>
      <c r="M27" s="247">
        <f>Blad12!D89</f>
        <v>0.849</v>
      </c>
      <c r="N27" s="247">
        <f>Blad12!E89</f>
        <v>0.17</v>
      </c>
      <c r="O27" s="228">
        <f>ROUND(($F27)*ROUND(M27*Blad3!$AB$5,3),0)</f>
        <v>0</v>
      </c>
      <c r="P27" s="228">
        <f>ROUND(($F27)*ROUND(N27*Blad3!$AC$5,3),0)</f>
        <v>0</v>
      </c>
      <c r="Q27" s="228">
        <f>O27+P27</f>
        <v>0</v>
      </c>
      <c r="T27" s="30"/>
      <c r="U27" s="30"/>
    </row>
    <row r="28" spans="1:21" ht="12.75">
      <c r="A28" s="296"/>
      <c r="B28" s="229"/>
      <c r="C28" s="229"/>
      <c r="D28" s="229"/>
      <c r="E28" s="229"/>
      <c r="F28" s="229"/>
      <c r="G28" s="230"/>
      <c r="H28" s="230"/>
      <c r="I28" s="230"/>
      <c r="O28" s="229"/>
      <c r="P28" s="229"/>
      <c r="T28" s="30"/>
      <c r="U28" s="30"/>
    </row>
    <row r="29" spans="1:21" ht="12.75">
      <c r="A29" s="305" t="s">
        <v>176</v>
      </c>
      <c r="B29" s="229"/>
      <c r="C29" s="229"/>
      <c r="D29" s="229"/>
      <c r="E29" s="229"/>
      <c r="F29" s="229"/>
      <c r="G29" s="230"/>
      <c r="H29" s="230"/>
      <c r="I29" s="230"/>
      <c r="O29" s="229"/>
      <c r="P29" s="229"/>
      <c r="T29" s="30"/>
      <c r="U29" s="30"/>
    </row>
    <row r="30" spans="1:21" ht="12.75">
      <c r="A30" s="306" t="s">
        <v>470</v>
      </c>
      <c r="B30" s="62"/>
      <c r="C30" s="62"/>
      <c r="D30" s="227">
        <f>B30-C30</f>
        <v>0</v>
      </c>
      <c r="E30" s="62"/>
      <c r="F30" s="62"/>
      <c r="G30" s="227">
        <f>F30-E30-D30</f>
        <v>0</v>
      </c>
      <c r="H30" s="247">
        <f>Blad12!B88</f>
        <v>0.849</v>
      </c>
      <c r="I30" s="247">
        <f>Blad12!C88</f>
        <v>0.17</v>
      </c>
      <c r="J30" s="227">
        <f>ROUND(D30*ROUND(H30*Blad3!$Z$4,3),0)</f>
        <v>0</v>
      </c>
      <c r="K30" s="227">
        <f>ROUND(D30*ROUND(I30*Blad3!$AA$4,3),0)</f>
        <v>0</v>
      </c>
      <c r="L30" s="227">
        <f>ROUND(B30*ROUND(H30*Blad3!Z$4,3),0)+ROUND(B30*ROUND(I30*Blad3!AA$4,3),0)</f>
        <v>0</v>
      </c>
      <c r="M30" s="247">
        <f>Blad12!D88</f>
        <v>0.849</v>
      </c>
      <c r="N30" s="247">
        <f>Blad12!E88</f>
        <v>0.17</v>
      </c>
      <c r="O30" s="228">
        <f>ROUND(($F30)*ROUND(M30*Blad3!$AB$5,3),0)</f>
        <v>0</v>
      </c>
      <c r="P30" s="228">
        <f>ROUND(($F30)*ROUND(N30*Blad3!$AC$5,3),0)</f>
        <v>0</v>
      </c>
      <c r="Q30" s="228">
        <f>O30+P30</f>
        <v>0</v>
      </c>
      <c r="T30" s="30"/>
      <c r="U30" s="30"/>
    </row>
    <row r="31" spans="1:21" ht="12.75">
      <c r="A31" s="296"/>
      <c r="B31" s="229"/>
      <c r="C31" s="229"/>
      <c r="D31" s="229"/>
      <c r="E31" s="229"/>
      <c r="F31" s="229"/>
      <c r="G31" s="230"/>
      <c r="H31" s="230"/>
      <c r="I31" s="230"/>
      <c r="O31" s="229"/>
      <c r="P31" s="229"/>
      <c r="T31" s="30"/>
      <c r="U31" s="30"/>
    </row>
    <row r="32" spans="1:21" ht="12.75">
      <c r="A32" s="305" t="s">
        <v>65</v>
      </c>
      <c r="B32" s="229"/>
      <c r="C32" s="229"/>
      <c r="D32" s="229"/>
      <c r="E32" s="229"/>
      <c r="F32" s="229"/>
      <c r="G32" s="230"/>
      <c r="H32" s="230"/>
      <c r="I32" s="230"/>
      <c r="O32" s="229"/>
      <c r="P32" s="229"/>
      <c r="T32" s="30"/>
      <c r="U32" s="30"/>
    </row>
    <row r="33" spans="1:21" ht="12.75">
      <c r="A33" s="306" t="s">
        <v>64</v>
      </c>
      <c r="B33" s="62"/>
      <c r="C33" s="62"/>
      <c r="D33" s="227">
        <f>B33-C33</f>
        <v>0</v>
      </c>
      <c r="E33" s="62"/>
      <c r="F33" s="62"/>
      <c r="G33" s="227">
        <f>F33-E33-D33</f>
        <v>0</v>
      </c>
      <c r="H33" s="244">
        <f>Blad12!B78</f>
        <v>9.55</v>
      </c>
      <c r="I33" s="244">
        <f>Blad12!C78</f>
        <v>5.27</v>
      </c>
      <c r="J33" s="227">
        <f>ROUND(D33*ROUND(H33*Blad3!$Z$4,2),0)</f>
        <v>0</v>
      </c>
      <c r="K33" s="227">
        <f>ROUND(D33*ROUND(I33*Blad3!$AA$4,2),0)</f>
        <v>0</v>
      </c>
      <c r="L33" s="227">
        <f>ROUND(B33*ROUND(H33*Blad3!Z$4,2),0)+ROUND(B33*ROUND(I33*Blad3!AA$4,2),0)</f>
        <v>0</v>
      </c>
      <c r="M33" s="244">
        <f>Blad12!D78</f>
        <v>9.71</v>
      </c>
      <c r="N33" s="244">
        <f>Blad12!E78</f>
        <v>5.31</v>
      </c>
      <c r="O33" s="228">
        <f>ROUND(($F33)*ROUND(M33*Blad3!$AB$5,2),0)</f>
        <v>0</v>
      </c>
      <c r="P33" s="228">
        <f>ROUND(($F33)*ROUND(N33*Blad3!$AC$5,2),0)</f>
        <v>0</v>
      </c>
      <c r="Q33" s="228">
        <f>O33+P33</f>
        <v>0</v>
      </c>
      <c r="T33" s="30"/>
      <c r="U33" s="30"/>
    </row>
    <row r="34" spans="1:21" ht="12.75">
      <c r="A34" s="296"/>
      <c r="B34" s="230"/>
      <c r="C34" s="230"/>
      <c r="D34" s="230"/>
      <c r="E34" s="230"/>
      <c r="F34" s="230"/>
      <c r="G34" s="230"/>
      <c r="H34" s="230" t="s">
        <v>265</v>
      </c>
      <c r="I34" s="230"/>
      <c r="O34" s="229"/>
      <c r="P34" s="229"/>
      <c r="T34" s="30"/>
      <c r="U34" s="30"/>
    </row>
    <row r="35" spans="1:21" ht="12.75">
      <c r="A35" s="305" t="s">
        <v>66</v>
      </c>
      <c r="B35" s="202"/>
      <c r="C35" s="202"/>
      <c r="D35" s="230"/>
      <c r="E35" s="230"/>
      <c r="F35" s="230"/>
      <c r="G35" s="230"/>
      <c r="H35" s="230"/>
      <c r="I35" s="230"/>
      <c r="O35" s="229"/>
      <c r="P35" s="229"/>
      <c r="T35" s="30"/>
      <c r="U35" s="30"/>
    </row>
    <row r="36" spans="1:21" ht="12.75">
      <c r="A36" s="306" t="s">
        <v>181</v>
      </c>
      <c r="B36" s="62"/>
      <c r="C36" s="62"/>
      <c r="D36" s="227">
        <f>B36-C36</f>
        <v>0</v>
      </c>
      <c r="E36" s="62"/>
      <c r="F36" s="62"/>
      <c r="G36" s="227">
        <f>F36-E36-D36</f>
        <v>0</v>
      </c>
      <c r="H36" s="248">
        <f>Blad12!B83</f>
        <v>6.92</v>
      </c>
      <c r="I36" s="248">
        <f>Blad12!C83</f>
        <v>1.95</v>
      </c>
      <c r="J36" s="227">
        <f>ROUND(D36*ROUND(H36*Blad3!$Z$4,2),0)</f>
        <v>0</v>
      </c>
      <c r="K36" s="227">
        <f>ROUND(D36*ROUND(I36*Blad3!$AA$4,2),0)</f>
        <v>0</v>
      </c>
      <c r="L36" s="227">
        <f>ROUND(B36*ROUND(H36*Blad3!Z$4,2),0)+ROUND(B36*ROUND(I36*Blad3!AA$4,2),0)</f>
        <v>0</v>
      </c>
      <c r="M36" s="248">
        <f>Blad12!D83</f>
        <v>7.03</v>
      </c>
      <c r="N36" s="248">
        <f>Blad12!E83</f>
        <v>1.97</v>
      </c>
      <c r="O36" s="228">
        <f>ROUND(($F36)*ROUND(M36*Blad3!$AB$5,2),0)</f>
        <v>0</v>
      </c>
      <c r="P36" s="228">
        <f>ROUND(($F36)*ROUND(N36*Blad3!$AC$5,2),0)</f>
        <v>0</v>
      </c>
      <c r="Q36" s="228">
        <f>O36+P36</f>
        <v>0</v>
      </c>
      <c r="T36" s="30"/>
      <c r="U36" s="30"/>
    </row>
    <row r="37" spans="1:21" ht="12.75">
      <c r="A37" s="306" t="s">
        <v>199</v>
      </c>
      <c r="B37" s="62"/>
      <c r="C37" s="62"/>
      <c r="D37" s="227">
        <f>B37-C37</f>
        <v>0</v>
      </c>
      <c r="E37" s="62"/>
      <c r="F37" s="62"/>
      <c r="G37" s="227">
        <f>F37-E37-D37</f>
        <v>0</v>
      </c>
      <c r="H37" s="248">
        <f>Blad12!B84</f>
        <v>234.26</v>
      </c>
      <c r="I37" s="248">
        <f>Blad12!C84</f>
        <v>198.88</v>
      </c>
      <c r="J37" s="227">
        <f>ROUND(D37*ROUND(H37*Blad3!$Z$4,2),0)</f>
        <v>0</v>
      </c>
      <c r="K37" s="227">
        <f>ROUND(D37*ROUND(I37*Blad3!$AA$4,2),0)</f>
        <v>0</v>
      </c>
      <c r="L37" s="227">
        <f>ROUND(B37*ROUND(H37*Blad3!Z$4,2),0)+ROUND(B37*ROUND(I37*Blad3!AA$4,2),0)</f>
        <v>0</v>
      </c>
      <c r="M37" s="248">
        <f>Blad12!D84</f>
        <v>238.13</v>
      </c>
      <c r="N37" s="248">
        <f>Blad12!E84</f>
        <v>200.43</v>
      </c>
      <c r="O37" s="228">
        <f>ROUND(($F37)*ROUND(M37*Blad3!$AB$5,2),0)</f>
        <v>0</v>
      </c>
      <c r="P37" s="228">
        <f>ROUND(($F37)*ROUND(N37*Blad3!$AC$5,2),0)</f>
        <v>0</v>
      </c>
      <c r="Q37" s="228">
        <f>O37+P37</f>
        <v>0</v>
      </c>
      <c r="T37" s="30"/>
      <c r="U37" s="30"/>
    </row>
    <row r="38" spans="1:21" ht="12.75">
      <c r="A38" s="306" t="s">
        <v>200</v>
      </c>
      <c r="B38" s="62"/>
      <c r="C38" s="62"/>
      <c r="D38" s="227">
        <f>B38-C38</f>
        <v>0</v>
      </c>
      <c r="E38" s="62"/>
      <c r="F38" s="62"/>
      <c r="G38" s="227">
        <f>F38-E38-D38</f>
        <v>0</v>
      </c>
      <c r="H38" s="244">
        <f>Blad12!B85</f>
        <v>199.18</v>
      </c>
      <c r="I38" s="244">
        <f>Blad12!C85</f>
        <v>627.24</v>
      </c>
      <c r="J38" s="227">
        <f>ROUND(D38*ROUND(H38*Blad3!$Z$4,2),0)</f>
        <v>0</v>
      </c>
      <c r="K38" s="227">
        <f>ROUND(D38*ROUND(I38*Blad3!$AA$4,2),0)</f>
        <v>0</v>
      </c>
      <c r="L38" s="227">
        <f>ROUND(B38*ROUND(H38*Blad3!Z$4,2),0)+ROUND(B38*ROUND(I38*Blad3!AA$4,2),0)</f>
        <v>0</v>
      </c>
      <c r="M38" s="244">
        <f>Blad12!D85</f>
        <v>202.47</v>
      </c>
      <c r="N38" s="244">
        <f>Blad12!E85</f>
        <v>632.13</v>
      </c>
      <c r="O38" s="228">
        <f>ROUND(($F38)*ROUND(M38*Blad3!$AB$5,2),0)</f>
        <v>0</v>
      </c>
      <c r="P38" s="228">
        <f>ROUND(($F38)*ROUND(N38*Blad3!$AC$5,2),0)</f>
        <v>0</v>
      </c>
      <c r="Q38" s="228">
        <f>O38+P38</f>
        <v>0</v>
      </c>
      <c r="T38" s="30"/>
      <c r="U38" s="30"/>
    </row>
    <row r="39" spans="1:21" ht="12.75">
      <c r="A39" s="296"/>
      <c r="B39" s="229"/>
      <c r="C39" s="229"/>
      <c r="D39" s="229"/>
      <c r="E39" s="229"/>
      <c r="F39" s="229"/>
      <c r="G39" s="230"/>
      <c r="H39" s="230"/>
      <c r="I39" s="230"/>
      <c r="O39" s="229"/>
      <c r="P39" s="229"/>
      <c r="T39" s="30"/>
      <c r="U39" s="30"/>
    </row>
    <row r="40" spans="1:21" ht="12.75">
      <c r="A40" s="305" t="s">
        <v>67</v>
      </c>
      <c r="B40" s="229"/>
      <c r="C40" s="229"/>
      <c r="D40" s="229"/>
      <c r="E40" s="229"/>
      <c r="F40" s="229"/>
      <c r="G40" s="230"/>
      <c r="H40" s="230"/>
      <c r="I40" s="230"/>
      <c r="O40" s="229"/>
      <c r="P40" s="229"/>
      <c r="T40" s="30"/>
      <c r="U40" s="30"/>
    </row>
    <row r="41" spans="1:21" ht="12.75">
      <c r="A41" s="307" t="s">
        <v>68</v>
      </c>
      <c r="B41" s="62"/>
      <c r="C41" s="62"/>
      <c r="D41" s="227">
        <f>B41-C41</f>
        <v>0</v>
      </c>
      <c r="E41" s="62"/>
      <c r="F41" s="62"/>
      <c r="G41" s="227">
        <f>F41-E41-D41</f>
        <v>0</v>
      </c>
      <c r="H41" s="244">
        <f>Blad3!I15</f>
        <v>0</v>
      </c>
      <c r="I41" s="244">
        <f>Blad3!J15</f>
        <v>0</v>
      </c>
      <c r="J41" s="227">
        <f>ROUND(D41*ROUND(H41*Blad3!$Z$4,2),0)</f>
        <v>0</v>
      </c>
      <c r="K41" s="227">
        <f>ROUND(D41*ROUND(I41*Blad3!$AA$4,2),0)</f>
        <v>0</v>
      </c>
      <c r="L41" s="227">
        <f>ROUND(B41*ROUND(H41*Blad3!Z$4,2),0)+ROUND(B41*ROUND(I41*Blad3!AA$4,2),0)</f>
        <v>0</v>
      </c>
      <c r="M41" s="244">
        <f>Blad3!N15</f>
        <v>0</v>
      </c>
      <c r="N41" s="244">
        <f>Blad3!O15</f>
        <v>0</v>
      </c>
      <c r="O41" s="228">
        <f>ROUND(($F41)*ROUND(M41*Blad3!$AB$5,2),0)</f>
        <v>0</v>
      </c>
      <c r="P41" s="228">
        <f>ROUND(($F41)*ROUND(N41*Blad3!$AC$5,2),0)</f>
        <v>0</v>
      </c>
      <c r="Q41" s="228">
        <f>O41+P41</f>
        <v>0</v>
      </c>
      <c r="T41" s="30"/>
      <c r="U41" s="30"/>
    </row>
    <row r="42" spans="1:21" ht="12.75">
      <c r="A42" s="296"/>
      <c r="B42" s="229"/>
      <c r="C42" s="229"/>
      <c r="D42" s="229"/>
      <c r="E42" s="229"/>
      <c r="F42" s="229"/>
      <c r="G42" s="230"/>
      <c r="I42" s="230"/>
      <c r="O42" s="229"/>
      <c r="P42" s="229"/>
      <c r="T42" s="30"/>
      <c r="U42" s="30"/>
    </row>
    <row r="43" spans="1:21" ht="12.75">
      <c r="A43" s="308" t="s">
        <v>471</v>
      </c>
      <c r="B43" s="62"/>
      <c r="C43" s="62"/>
      <c r="D43" s="227">
        <f>B43-C43</f>
        <v>0</v>
      </c>
      <c r="E43" s="62"/>
      <c r="F43" s="62"/>
      <c r="G43" s="227">
        <f>F43-E43-D43</f>
        <v>0</v>
      </c>
      <c r="H43" s="249">
        <v>1</v>
      </c>
      <c r="I43" s="202"/>
      <c r="J43" s="227">
        <f>D43*$H43</f>
        <v>0</v>
      </c>
      <c r="L43" s="250">
        <f>B43</f>
        <v>0</v>
      </c>
      <c r="M43" s="249">
        <v>1</v>
      </c>
      <c r="N43" s="202"/>
      <c r="O43" s="227">
        <f>($F43)*M43</f>
        <v>0</v>
      </c>
      <c r="Q43" s="228">
        <f>O43+P43</f>
        <v>0</v>
      </c>
      <c r="T43" s="30"/>
      <c r="U43" s="30"/>
    </row>
    <row r="44" spans="1:21" ht="12.75">
      <c r="A44" s="308" t="s">
        <v>472</v>
      </c>
      <c r="B44" s="62"/>
      <c r="C44" s="62"/>
      <c r="D44" s="227">
        <f>B44-C44</f>
        <v>0</v>
      </c>
      <c r="E44" s="62"/>
      <c r="F44" s="62"/>
      <c r="G44" s="227">
        <f>F44-E44-D44</f>
        <v>0</v>
      </c>
      <c r="H44" s="202"/>
      <c r="I44" s="249">
        <v>1</v>
      </c>
      <c r="K44" s="227">
        <f>D44*$I44</f>
        <v>0</v>
      </c>
      <c r="L44" s="101">
        <f>B44</f>
        <v>0</v>
      </c>
      <c r="M44" s="202"/>
      <c r="N44" s="249">
        <v>1</v>
      </c>
      <c r="P44" s="227">
        <f>($F44)*N44</f>
        <v>0</v>
      </c>
      <c r="Q44" s="228">
        <f>O44+P44</f>
        <v>0</v>
      </c>
      <c r="T44" s="30"/>
      <c r="U44" s="30"/>
    </row>
    <row r="45" spans="1:21" ht="12.75">
      <c r="A45" s="231"/>
      <c r="B45" s="229"/>
      <c r="C45" s="229"/>
      <c r="D45" s="229"/>
      <c r="E45" s="229"/>
      <c r="F45" s="229"/>
      <c r="H45" s="230"/>
      <c r="O45" s="229"/>
      <c r="P45" s="229"/>
      <c r="T45" s="30"/>
      <c r="U45" s="30"/>
    </row>
    <row r="46" spans="1:21" ht="12.75">
      <c r="A46" s="223" t="s">
        <v>179</v>
      </c>
      <c r="B46" s="229"/>
      <c r="C46" s="229"/>
      <c r="D46" s="229"/>
      <c r="E46" s="229"/>
      <c r="F46" s="229"/>
      <c r="H46" s="251"/>
      <c r="I46" s="251"/>
      <c r="J46" s="252">
        <f>SUM(J10:J44)</f>
        <v>0</v>
      </c>
      <c r="K46" s="252">
        <f>SUM(K10:K44)</f>
        <v>0</v>
      </c>
      <c r="L46" s="228">
        <f>SUM(L10:L44)</f>
        <v>0</v>
      </c>
      <c r="M46" s="228"/>
      <c r="N46" s="228"/>
      <c r="O46" s="228">
        <f>SUM(O10:O44)</f>
        <v>0</v>
      </c>
      <c r="P46" s="228">
        <f>SUM(P10:P44)</f>
        <v>0</v>
      </c>
      <c r="Q46" s="228">
        <f>O46+P46</f>
        <v>0</v>
      </c>
      <c r="T46" s="30"/>
      <c r="U46" s="30"/>
    </row>
    <row r="47" spans="1:14" ht="12.75">
      <c r="A47" s="223"/>
      <c r="B47" s="229"/>
      <c r="C47" s="229"/>
      <c r="D47" s="229"/>
      <c r="E47" s="229"/>
      <c r="F47" s="229"/>
      <c r="H47" s="251"/>
      <c r="I47" s="251"/>
      <c r="J47" s="251" t="s">
        <v>475</v>
      </c>
      <c r="K47" s="251"/>
      <c r="L47" s="251"/>
      <c r="M47" s="251"/>
      <c r="N47" s="251"/>
    </row>
    <row r="48" spans="1:19" ht="15" customHeight="1">
      <c r="A48" s="313" t="s">
        <v>525</v>
      </c>
      <c r="B48" s="3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0"/>
      <c r="P48" s="80"/>
      <c r="Q48" s="80"/>
      <c r="R48" s="17"/>
      <c r="S48"/>
    </row>
    <row r="49" spans="1:14" ht="12.75">
      <c r="A49" s="223"/>
      <c r="B49" s="229"/>
      <c r="C49" s="229"/>
      <c r="D49" s="229"/>
      <c r="E49" s="229"/>
      <c r="F49" s="229"/>
      <c r="H49" s="251"/>
      <c r="I49" s="251"/>
      <c r="J49" s="251"/>
      <c r="K49" s="251"/>
      <c r="L49" s="251"/>
      <c r="M49" s="251"/>
      <c r="N49" s="251"/>
    </row>
    <row r="50" spans="1:6" ht="12.75">
      <c r="A50" s="286" t="s">
        <v>395</v>
      </c>
      <c r="B50" s="229"/>
      <c r="C50" s="229"/>
      <c r="D50" s="229"/>
      <c r="E50" s="229"/>
      <c r="F50" s="229"/>
    </row>
    <row r="51" spans="1:9" ht="12.75">
      <c r="A51" s="296" t="s">
        <v>473</v>
      </c>
      <c r="B51" s="253"/>
      <c r="C51" s="253"/>
      <c r="D51" s="253"/>
      <c r="E51" s="253"/>
      <c r="F51" s="253"/>
      <c r="G51" s="253"/>
      <c r="H51" s="253"/>
      <c r="I51" s="253"/>
    </row>
    <row r="52" spans="1:9" ht="12.75">
      <c r="A52" s="296" t="s">
        <v>185</v>
      </c>
      <c r="B52" s="253"/>
      <c r="C52" s="253"/>
      <c r="D52" s="253"/>
      <c r="E52" s="253"/>
      <c r="F52" s="253"/>
      <c r="G52" s="253"/>
      <c r="H52" s="253"/>
      <c r="I52" s="253"/>
    </row>
    <row r="53" spans="1:9" ht="12.75">
      <c r="A53" s="253" t="s">
        <v>247</v>
      </c>
      <c r="B53" s="253"/>
      <c r="C53" s="253"/>
      <c r="D53" s="253"/>
      <c r="E53" s="253"/>
      <c r="F53" s="253"/>
      <c r="G53" s="253"/>
      <c r="H53" s="253"/>
      <c r="I53" s="253"/>
    </row>
    <row r="54" spans="1:9" ht="12.75">
      <c r="A54" s="253" t="s">
        <v>186</v>
      </c>
      <c r="B54" s="253"/>
      <c r="C54" s="253"/>
      <c r="D54" s="253"/>
      <c r="E54" s="253"/>
      <c r="F54" s="253"/>
      <c r="G54" s="253"/>
      <c r="H54" s="253"/>
      <c r="I54" s="253"/>
    </row>
    <row r="55" spans="1:9" ht="12.75">
      <c r="A55" s="253" t="s">
        <v>248</v>
      </c>
      <c r="B55" s="253"/>
      <c r="C55" s="253"/>
      <c r="D55" s="253"/>
      <c r="E55" s="253"/>
      <c r="F55" s="253"/>
      <c r="G55" s="253"/>
      <c r="H55" s="253"/>
      <c r="I55" s="253"/>
    </row>
    <row r="56" spans="1:9" ht="12.75">
      <c r="A56" s="253" t="s">
        <v>187</v>
      </c>
      <c r="B56" s="253"/>
      <c r="C56" s="253"/>
      <c r="D56" s="253"/>
      <c r="E56" s="253"/>
      <c r="F56" s="253"/>
      <c r="G56" s="253"/>
      <c r="H56" s="253"/>
      <c r="I56" s="253"/>
    </row>
    <row r="57" spans="1:9" ht="12.75">
      <c r="A57" s="296" t="s">
        <v>188</v>
      </c>
      <c r="B57" s="253"/>
      <c r="C57" s="253"/>
      <c r="D57" s="253"/>
      <c r="E57" s="253"/>
      <c r="F57" s="253"/>
      <c r="G57" s="253"/>
      <c r="H57" s="253"/>
      <c r="I57" s="253"/>
    </row>
    <row r="58" spans="1:9" ht="12.75">
      <c r="A58" s="231"/>
      <c r="B58" s="230"/>
      <c r="C58" s="253"/>
      <c r="D58" s="253"/>
      <c r="E58" s="253"/>
      <c r="F58" s="253"/>
      <c r="G58" s="253"/>
      <c r="H58" s="253"/>
      <c r="I58" s="253"/>
    </row>
    <row r="59" spans="1:9" ht="12.75">
      <c r="A59" s="65"/>
      <c r="B59" s="61"/>
      <c r="C59" s="61"/>
      <c r="D59" s="61"/>
      <c r="E59" s="61"/>
      <c r="F59" s="61"/>
      <c r="G59" s="230"/>
      <c r="H59" s="230"/>
      <c r="I59" s="230"/>
    </row>
    <row r="60" spans="1:9" ht="12.75">
      <c r="A60" s="65"/>
      <c r="B60" s="61"/>
      <c r="C60" s="61"/>
      <c r="D60" s="61"/>
      <c r="E60" s="61"/>
      <c r="F60" s="61"/>
      <c r="G60" s="230"/>
      <c r="H60" s="230"/>
      <c r="I60" s="230"/>
    </row>
    <row r="61" spans="1:9" ht="12.75">
      <c r="A61" s="65"/>
      <c r="B61" s="61"/>
      <c r="C61" s="61"/>
      <c r="D61" s="61"/>
      <c r="E61" s="61"/>
      <c r="F61" s="61"/>
      <c r="G61" s="230"/>
      <c r="H61" s="230"/>
      <c r="I61" s="230"/>
    </row>
    <row r="62" spans="1:9" ht="12.75">
      <c r="A62" s="65"/>
      <c r="B62" s="61"/>
      <c r="C62" s="61"/>
      <c r="D62" s="61"/>
      <c r="E62" s="61"/>
      <c r="F62" s="61"/>
      <c r="G62" s="230"/>
      <c r="H62" s="230"/>
      <c r="I62" s="230"/>
    </row>
    <row r="63" spans="1:9" ht="12.75">
      <c r="A63" s="65"/>
      <c r="B63" s="61"/>
      <c r="C63" s="61"/>
      <c r="D63" s="61"/>
      <c r="E63" s="61"/>
      <c r="F63" s="61"/>
      <c r="G63" s="230"/>
      <c r="H63" s="230"/>
      <c r="I63" s="230"/>
    </row>
    <row r="64" spans="3:9" ht="12.75">
      <c r="C64" s="61"/>
      <c r="D64" s="61"/>
      <c r="E64" s="61"/>
      <c r="F64" s="61"/>
      <c r="G64" s="230"/>
      <c r="H64" s="230"/>
      <c r="I64" s="230"/>
    </row>
  </sheetData>
  <sheetProtection password="CDFB" sheet="1" objects="1" scenarios="1"/>
  <mergeCells count="1">
    <mergeCell ref="M6:P6"/>
  </mergeCells>
  <printOptions/>
  <pageMargins left="0.75" right="0.75" top="1" bottom="1" header="0.5" footer="0.5"/>
  <pageSetup fitToHeight="1" fitToWidth="1" horizontalDpi="600" verticalDpi="600" orientation="landscape" scale="48" r:id="rId1"/>
  <headerFooter alignWithMargins="0">
    <oddFooter>&amp;Rblad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">
    <tabColor indexed="50"/>
  </sheetPr>
  <dimension ref="A1:AA87"/>
  <sheetViews>
    <sheetView view="pageBreakPreview" zoomScale="60" zoomScaleNormal="75" workbookViewId="0" topLeftCell="A1">
      <pane xSplit="1" ySplit="9" topLeftCell="B10" activePane="bottomRight" state="frozen"/>
      <selection pane="topLeft" activeCell="C54" sqref="C54"/>
      <selection pane="topRight" activeCell="C54" sqref="C54"/>
      <selection pane="bottomLeft" activeCell="C54" sqref="C54"/>
      <selection pane="bottomRight" activeCell="K48" sqref="K48"/>
    </sheetView>
  </sheetViews>
  <sheetFormatPr defaultColWidth="9.140625" defaultRowHeight="12.75"/>
  <cols>
    <col min="1" max="1" width="31.57421875" style="0" customWidth="1"/>
    <col min="2" max="2" width="7.7109375" style="0" customWidth="1"/>
    <col min="4" max="4" width="10.57421875" style="0" customWidth="1"/>
    <col min="5" max="5" width="8.140625" style="0" customWidth="1"/>
    <col min="6" max="6" width="9.28125" style="0" customWidth="1"/>
    <col min="7" max="7" width="10.7109375" style="0" bestFit="1" customWidth="1"/>
    <col min="8" max="8" width="10.7109375" style="0" customWidth="1"/>
    <col min="9" max="9" width="10.421875" style="0" customWidth="1"/>
    <col min="10" max="10" width="11.00390625" style="0" customWidth="1"/>
    <col min="11" max="12" width="11.7109375" style="0" customWidth="1"/>
    <col min="13" max="13" width="14.28125" style="0" customWidth="1"/>
    <col min="14" max="15" width="11.7109375" style="0" customWidth="1"/>
    <col min="16" max="16" width="17.00390625" style="0" customWidth="1"/>
    <col min="17" max="17" width="17.7109375" style="0" customWidth="1"/>
    <col min="18" max="18" width="16.28125" style="0" customWidth="1"/>
    <col min="20" max="16384" width="9.140625" style="30" customWidth="1"/>
  </cols>
  <sheetData>
    <row r="1" spans="1:15" ht="15" customHeight="1">
      <c r="A1" s="2" t="s">
        <v>396</v>
      </c>
      <c r="B1" s="5"/>
      <c r="C1" s="17"/>
      <c r="D1" s="17"/>
      <c r="E1" s="17"/>
      <c r="F1" s="17"/>
      <c r="G1" s="17"/>
      <c r="H1" s="17"/>
      <c r="I1" s="80"/>
      <c r="J1" s="80"/>
      <c r="K1" s="17"/>
      <c r="L1" s="17"/>
      <c r="M1" s="17"/>
      <c r="N1" s="17"/>
      <c r="O1" s="17"/>
    </row>
    <row r="2" spans="1:15" ht="15" customHeight="1">
      <c r="A2" s="2"/>
      <c r="B2" s="5"/>
      <c r="C2" s="17"/>
      <c r="D2" s="17"/>
      <c r="E2" s="17"/>
      <c r="F2" s="17"/>
      <c r="G2" s="17"/>
      <c r="H2" s="17"/>
      <c r="I2" s="80"/>
      <c r="J2" s="80"/>
      <c r="K2" s="17"/>
      <c r="L2" s="17"/>
      <c r="M2" s="17"/>
      <c r="N2" s="17"/>
      <c r="O2" s="17"/>
    </row>
    <row r="3" spans="2:18" ht="15" customHeight="1">
      <c r="B3" s="56" t="s">
        <v>54</v>
      </c>
      <c r="C3" s="37" t="s">
        <v>10</v>
      </c>
      <c r="D3" s="53" t="s">
        <v>210</v>
      </c>
      <c r="E3" s="37" t="s">
        <v>408</v>
      </c>
      <c r="F3" s="53" t="s">
        <v>210</v>
      </c>
      <c r="G3" s="83" t="s">
        <v>180</v>
      </c>
      <c r="H3" s="53" t="s">
        <v>408</v>
      </c>
      <c r="I3" s="85"/>
      <c r="J3" s="86" t="s">
        <v>393</v>
      </c>
      <c r="K3" s="87"/>
      <c r="L3" s="87"/>
      <c r="M3" s="99" t="s">
        <v>245</v>
      </c>
      <c r="N3" s="370" t="s">
        <v>394</v>
      </c>
      <c r="O3" s="371"/>
      <c r="P3" s="371"/>
      <c r="Q3" s="73"/>
      <c r="R3" s="99" t="s">
        <v>245</v>
      </c>
    </row>
    <row r="4" spans="2:18" ht="15" customHeight="1">
      <c r="B4" s="57" t="s">
        <v>55</v>
      </c>
      <c r="C4" s="42">
        <v>2004</v>
      </c>
      <c r="D4" s="54">
        <v>2004</v>
      </c>
      <c r="E4" s="54">
        <v>2004</v>
      </c>
      <c r="F4" s="54">
        <v>2005</v>
      </c>
      <c r="G4" s="84">
        <v>2005</v>
      </c>
      <c r="H4" s="54">
        <v>2005</v>
      </c>
      <c r="I4" s="88" t="s">
        <v>218</v>
      </c>
      <c r="J4" s="89"/>
      <c r="K4" s="70" t="s">
        <v>408</v>
      </c>
      <c r="L4" s="98" t="s">
        <v>408</v>
      </c>
      <c r="M4" s="100">
        <v>2004</v>
      </c>
      <c r="N4" s="88" t="s">
        <v>218</v>
      </c>
      <c r="O4" s="89"/>
      <c r="P4" s="70" t="s">
        <v>219</v>
      </c>
      <c r="Q4" s="98" t="s">
        <v>219</v>
      </c>
      <c r="R4" s="100">
        <v>2005</v>
      </c>
    </row>
    <row r="5" spans="2:18" ht="15" customHeight="1">
      <c r="B5" s="7" t="s">
        <v>56</v>
      </c>
      <c r="C5" s="39"/>
      <c r="D5" s="39"/>
      <c r="E5" s="39"/>
      <c r="F5" s="39"/>
      <c r="G5" s="198" t="s">
        <v>511</v>
      </c>
      <c r="H5" s="39"/>
      <c r="I5" s="90" t="s">
        <v>108</v>
      </c>
      <c r="J5" s="90" t="s">
        <v>109</v>
      </c>
      <c r="K5" s="91" t="s">
        <v>108</v>
      </c>
      <c r="L5" s="91" t="s">
        <v>109</v>
      </c>
      <c r="M5" s="68"/>
      <c r="N5" s="90" t="s">
        <v>108</v>
      </c>
      <c r="O5" s="90" t="s">
        <v>109</v>
      </c>
      <c r="P5" s="91" t="s">
        <v>108</v>
      </c>
      <c r="Q5" s="91" t="s">
        <v>109</v>
      </c>
      <c r="R5" s="68"/>
    </row>
    <row r="6" spans="1:18" ht="15" customHeight="1">
      <c r="A6" s="1"/>
      <c r="B6" s="40"/>
      <c r="C6" s="38"/>
      <c r="D6" s="38"/>
      <c r="E6" s="38"/>
      <c r="F6" s="38"/>
      <c r="G6" s="38"/>
      <c r="H6" s="38"/>
      <c r="I6" s="81"/>
      <c r="J6" s="81"/>
      <c r="K6" s="38"/>
      <c r="L6" s="38"/>
      <c r="M6" s="38"/>
      <c r="N6" s="38"/>
      <c r="O6" s="38"/>
      <c r="P6" s="38"/>
      <c r="Q6" s="38"/>
      <c r="R6" s="38"/>
    </row>
    <row r="7" spans="1:18" ht="15" customHeight="1">
      <c r="A7" s="1" t="s">
        <v>242</v>
      </c>
      <c r="B7" s="40"/>
      <c r="C7" s="38"/>
      <c r="D7" s="38"/>
      <c r="E7" s="38"/>
      <c r="F7" s="38"/>
      <c r="G7" s="38"/>
      <c r="H7" s="38"/>
      <c r="I7" s="81" t="s">
        <v>265</v>
      </c>
      <c r="J7" s="81"/>
      <c r="K7" s="64">
        <f>Blad3!K36</f>
        <v>0</v>
      </c>
      <c r="L7" s="64">
        <f>Blad3!L36</f>
        <v>0</v>
      </c>
      <c r="M7" s="139">
        <f>Blad3!M36</f>
        <v>0</v>
      </c>
      <c r="N7" s="141"/>
      <c r="O7" s="142"/>
      <c r="P7" s="140">
        <f>Blad3!P36</f>
        <v>0</v>
      </c>
      <c r="Q7" s="64">
        <f>Blad3!Q36</f>
        <v>0</v>
      </c>
      <c r="R7" s="64">
        <f>Blad3!R36</f>
        <v>0</v>
      </c>
    </row>
    <row r="8" spans="1:23" ht="15" customHeight="1">
      <c r="A8" s="1"/>
      <c r="B8" s="40"/>
      <c r="C8" s="38"/>
      <c r="D8" s="38"/>
      <c r="E8" s="38"/>
      <c r="F8" s="38"/>
      <c r="G8" s="38"/>
      <c r="H8" s="38"/>
      <c r="I8" s="81"/>
      <c r="J8" s="81"/>
      <c r="K8" s="38"/>
      <c r="L8" s="38"/>
      <c r="M8" s="38"/>
      <c r="N8" s="38"/>
      <c r="O8" s="38"/>
      <c r="P8" s="38"/>
      <c r="Q8" s="38"/>
      <c r="R8" s="38"/>
      <c r="T8" s="15"/>
      <c r="U8" s="15"/>
      <c r="V8" s="15"/>
      <c r="W8" s="15"/>
    </row>
    <row r="9" spans="20:21" ht="12.75">
      <c r="T9"/>
      <c r="U9"/>
    </row>
    <row r="10" spans="1:27" ht="12.75">
      <c r="A10" s="104" t="s">
        <v>205</v>
      </c>
      <c r="B10" s="209"/>
      <c r="C10" s="33"/>
      <c r="D10" s="33"/>
      <c r="E10" s="20">
        <f aca="true" t="shared" si="0" ref="E10:E17">C10-D10</f>
        <v>0</v>
      </c>
      <c r="F10" s="33"/>
      <c r="G10" s="33"/>
      <c r="H10" s="226">
        <f>G10-F10-E10</f>
        <v>0</v>
      </c>
      <c r="I10" s="92">
        <f>Blad12!B26</f>
        <v>0</v>
      </c>
      <c r="J10" s="92">
        <f>Blad12!C26</f>
        <v>14235</v>
      </c>
      <c r="K10" s="50">
        <f>ROUND(E10*ROUND(I10*Blad3!$Z$4,0),0)</f>
        <v>0</v>
      </c>
      <c r="L10" s="20">
        <f>ROUND(E10*ROUND(J10*Blad3!$AA$4,0),0)</f>
        <v>0</v>
      </c>
      <c r="M10" s="20">
        <f>ROUND(C10*ROUND(I10*Blad3!$Z$4,0),0)+ROUND(C10*ROUND(J10*Blad3!$AA$4,0),0)</f>
        <v>0</v>
      </c>
      <c r="N10" s="92">
        <f>Blad12!D26</f>
        <v>0</v>
      </c>
      <c r="O10" s="92">
        <f>Blad12!E26</f>
        <v>14346</v>
      </c>
      <c r="P10" s="20">
        <f>ROUND(($G10)*ROUND(N10*Blad3!$AB$5,0),0)</f>
        <v>0</v>
      </c>
      <c r="Q10" s="20">
        <f>ROUND(($G10)*ROUND(O10*Blad3!$AC$5,0),0)</f>
        <v>0</v>
      </c>
      <c r="R10" s="20">
        <f>ROUND(G10*ROUND(N10*Blad3!$AB$5,0),0)+ROUND(G10*ROUND(O10*Blad3!$AC$5,0),0)</f>
        <v>0</v>
      </c>
      <c r="T10"/>
      <c r="U10"/>
      <c r="V10"/>
      <c r="W10"/>
      <c r="X10"/>
      <c r="Y10"/>
      <c r="Z10"/>
      <c r="AA10"/>
    </row>
    <row r="11" spans="1:27" ht="12.75">
      <c r="A11" s="104" t="s">
        <v>206</v>
      </c>
      <c r="B11" s="209"/>
      <c r="C11" s="33"/>
      <c r="D11" s="33"/>
      <c r="E11" s="20">
        <f t="shared" si="0"/>
        <v>0</v>
      </c>
      <c r="F11" s="33"/>
      <c r="G11" s="33"/>
      <c r="H11" s="226">
        <f aca="true" t="shared" si="1" ref="H11:H35">G11-F11-E11</f>
        <v>0</v>
      </c>
      <c r="I11" s="92">
        <f>Blad12!B27</f>
        <v>0</v>
      </c>
      <c r="J11" s="92">
        <f>Blad12!C27</f>
        <v>12174</v>
      </c>
      <c r="K11" s="50">
        <f>ROUND(E11*ROUND(I11*Blad3!$Z$4,0),0)</f>
        <v>0</v>
      </c>
      <c r="L11" s="20">
        <f>ROUND(E11*ROUND(J11*Blad3!$AA$4,0),0)</f>
        <v>0</v>
      </c>
      <c r="M11" s="20">
        <f>ROUND(C11*ROUND(I11*Blad3!$Z$4,0),0)+ROUND(C11*ROUND(J11*Blad3!$AA$4,0),0)</f>
        <v>0</v>
      </c>
      <c r="N11" s="92">
        <f>Blad12!D27</f>
        <v>0</v>
      </c>
      <c r="O11" s="92">
        <f>Blad12!E27</f>
        <v>12268.96</v>
      </c>
      <c r="P11" s="20">
        <f>ROUND(($G11)*ROUND(N11*Blad3!$AB$5,0),0)</f>
        <v>0</v>
      </c>
      <c r="Q11" s="20">
        <f>ROUND(($G11)*ROUND(O11*Blad3!$AC$5,0),0)</f>
        <v>0</v>
      </c>
      <c r="R11" s="20">
        <f>ROUND(G11*ROUND(N11*Blad3!$AB$5,0),0)+ROUND(G11*ROUND(O11*Blad3!$AC$5,0),0)</f>
        <v>0</v>
      </c>
      <c r="T11"/>
      <c r="U11"/>
      <c r="V11"/>
      <c r="W11"/>
      <c r="X11"/>
      <c r="Y11"/>
      <c r="Z11"/>
      <c r="AA11"/>
    </row>
    <row r="12" spans="1:27" ht="12.75">
      <c r="A12" s="104" t="s">
        <v>207</v>
      </c>
      <c r="B12" s="209"/>
      <c r="C12" s="33"/>
      <c r="D12" s="33"/>
      <c r="E12" s="20">
        <f t="shared" si="0"/>
        <v>0</v>
      </c>
      <c r="F12" s="33"/>
      <c r="G12" s="33"/>
      <c r="H12" s="226">
        <f t="shared" si="1"/>
        <v>0</v>
      </c>
      <c r="I12" s="92">
        <f>Blad12!B28</f>
        <v>0</v>
      </c>
      <c r="J12" s="92">
        <f>Blad12!C28</f>
        <v>20331</v>
      </c>
      <c r="K12" s="50">
        <f>ROUND(E12*ROUND(I12*Blad3!$Z$4,0),0)</f>
        <v>0</v>
      </c>
      <c r="L12" s="20">
        <f>ROUND(E12*ROUND(J12*Blad3!$AA$4,0),0)</f>
        <v>0</v>
      </c>
      <c r="M12" s="20">
        <f>ROUND(C12*ROUND(I12*Blad3!$Z$4,0),0)+ROUND(C12*ROUND(J12*Blad3!$AA$4,0),0)</f>
        <v>0</v>
      </c>
      <c r="N12" s="92">
        <f>Blad12!D28</f>
        <v>0</v>
      </c>
      <c r="O12" s="92">
        <f>Blad12!E28</f>
        <v>20489.58</v>
      </c>
      <c r="P12" s="20">
        <f>ROUND(($G12)*ROUND(N12*Blad3!$AB$5,0),0)</f>
        <v>0</v>
      </c>
      <c r="Q12" s="20">
        <f>ROUND(($G12)*ROUND(O12*Blad3!$AC$5,0),0)</f>
        <v>0</v>
      </c>
      <c r="R12" s="20">
        <f>ROUND(G12*ROUND(N12*Blad3!$AB$5,0),0)+ROUND(G12*ROUND(O12*Blad3!$AC$5,0),0)</f>
        <v>0</v>
      </c>
      <c r="T12"/>
      <c r="U12"/>
      <c r="V12"/>
      <c r="W12"/>
      <c r="X12"/>
      <c r="Y12"/>
      <c r="Z12"/>
      <c r="AA12"/>
    </row>
    <row r="13" spans="1:27" ht="12.75">
      <c r="A13" s="104" t="s">
        <v>208</v>
      </c>
      <c r="B13" s="209"/>
      <c r="C13" s="33"/>
      <c r="D13" s="33"/>
      <c r="E13" s="20">
        <f t="shared" si="0"/>
        <v>0</v>
      </c>
      <c r="F13" s="33"/>
      <c r="G13" s="33"/>
      <c r="H13" s="226">
        <f t="shared" si="1"/>
        <v>0</v>
      </c>
      <c r="I13" s="92">
        <f>Blad12!B29</f>
        <v>0</v>
      </c>
      <c r="J13" s="92">
        <f>Blad12!C29</f>
        <v>9739</v>
      </c>
      <c r="K13" s="50">
        <f>ROUND(E13*ROUND(I13*Blad3!$Z$4,0),0)</f>
        <v>0</v>
      </c>
      <c r="L13" s="20">
        <f>ROUND(E13*ROUND(J13*Blad3!$AA$4,0),0)</f>
        <v>0</v>
      </c>
      <c r="M13" s="20">
        <f>ROUND(C13*ROUND(I13*Blad3!$Z$4,0),0)+ROUND(C13*ROUND(J13*Blad3!$AA$4,0),0)</f>
        <v>0</v>
      </c>
      <c r="N13" s="92">
        <f>Blad12!D29</f>
        <v>0</v>
      </c>
      <c r="O13" s="92">
        <f>Blad12!E29</f>
        <v>9814.96</v>
      </c>
      <c r="P13" s="20">
        <f>ROUND(($G13)*ROUND(N13*Blad3!$AB$5,0),0)</f>
        <v>0</v>
      </c>
      <c r="Q13" s="20">
        <f>ROUND(($G13)*ROUND(O13*Blad3!$AC$5,0),0)</f>
        <v>0</v>
      </c>
      <c r="R13" s="20">
        <f>ROUND(G13*ROUND(N13*Blad3!$AB$5,0),0)+ROUND(G13*ROUND(O13*Blad3!$AC$5,0),0)</f>
        <v>0</v>
      </c>
      <c r="T13"/>
      <c r="U13"/>
      <c r="V13"/>
      <c r="W13"/>
      <c r="X13"/>
      <c r="Y13"/>
      <c r="Z13"/>
      <c r="AA13"/>
    </row>
    <row r="14" spans="1:27" ht="12.75">
      <c r="A14" s="104" t="s">
        <v>209</v>
      </c>
      <c r="B14" s="209"/>
      <c r="C14" s="33"/>
      <c r="D14" s="33"/>
      <c r="E14" s="20">
        <f t="shared" si="0"/>
        <v>0</v>
      </c>
      <c r="F14" s="33"/>
      <c r="G14" s="33"/>
      <c r="H14" s="226">
        <f t="shared" si="1"/>
        <v>0</v>
      </c>
      <c r="I14" s="92">
        <f>Blad12!B30</f>
        <v>0</v>
      </c>
      <c r="J14" s="92">
        <f>Blad12!C30</f>
        <v>15339</v>
      </c>
      <c r="K14" s="50">
        <f>ROUND(E14*ROUND(I14*Blad3!$Z$4,0),0)</f>
        <v>0</v>
      </c>
      <c r="L14" s="20">
        <f>ROUND(E14*ROUND(J14*Blad3!$AA$4,0),0)</f>
        <v>0</v>
      </c>
      <c r="M14" s="20">
        <f>ROUND(C14*ROUND(I14*Blad3!$Z$4,0),0)+ROUND(C14*ROUND(J14*Blad3!$AA$4,0),0)</f>
        <v>0</v>
      </c>
      <c r="N14" s="92">
        <f>Blad12!D30</f>
        <v>0</v>
      </c>
      <c r="O14" s="92">
        <f>Blad12!E30</f>
        <v>15458.64</v>
      </c>
      <c r="P14" s="20">
        <f>ROUND(($G14)*ROUND(N14*Blad3!$AB$5,0),0)</f>
        <v>0</v>
      </c>
      <c r="Q14" s="20">
        <f>ROUND(($G14)*ROUND(O14*Blad3!$AC$5,0),0)</f>
        <v>0</v>
      </c>
      <c r="R14" s="20">
        <f>ROUND(G14*ROUND(N14*Blad3!$AB$5,0),0)+ROUND(G14*ROUND(O14*Blad3!$AC$5,0),0)</f>
        <v>0</v>
      </c>
      <c r="T14"/>
      <c r="U14"/>
      <c r="V14"/>
      <c r="W14"/>
      <c r="X14"/>
      <c r="Y14"/>
      <c r="Z14"/>
      <c r="AA14"/>
    </row>
    <row r="15" spans="1:27" ht="12.75">
      <c r="A15" s="104" t="s">
        <v>269</v>
      </c>
      <c r="B15" s="209"/>
      <c r="C15" s="33"/>
      <c r="D15" s="33"/>
      <c r="E15" s="20">
        <f t="shared" si="0"/>
        <v>0</v>
      </c>
      <c r="F15" s="33"/>
      <c r="G15" s="33"/>
      <c r="H15" s="226">
        <f t="shared" si="1"/>
        <v>0</v>
      </c>
      <c r="I15" s="92">
        <f>Blad12!B31</f>
        <v>0</v>
      </c>
      <c r="J15" s="92">
        <f>Blad12!C31</f>
        <v>11887.18</v>
      </c>
      <c r="K15" s="50">
        <f>ROUND(E15*ROUND(I15*Blad3!$Z$4,2),0)</f>
        <v>0</v>
      </c>
      <c r="L15" s="20">
        <f>ROUND(E15*ROUND(J15*Blad3!$AA$4,2),0)</f>
        <v>0</v>
      </c>
      <c r="M15" s="20">
        <f>ROUND(C15*ROUND(I15*Blad3!$Z$4,2),0)+ROUND(C15*ROUND(J15*Blad3!$AA$4,2),0)</f>
        <v>0</v>
      </c>
      <c r="N15" s="92">
        <f>Blad12!D31</f>
        <v>0</v>
      </c>
      <c r="O15" s="92">
        <f>Blad12!E31</f>
        <v>11979.9</v>
      </c>
      <c r="P15" s="20">
        <f>ROUND(($G15)*ROUND(N15*Blad3!$AB$5,0),0)</f>
        <v>0</v>
      </c>
      <c r="Q15" s="20">
        <f>ROUND(($G15)*ROUND(O15*Blad3!$AC$5,0),0)</f>
        <v>0</v>
      </c>
      <c r="R15" s="20">
        <f>ROUND(G15*ROUND(N15*Blad3!$AB$5,0),0)+ROUND(G15*ROUND(O15*Blad3!$AC$5,0),0)</f>
        <v>0</v>
      </c>
      <c r="T15"/>
      <c r="U15"/>
      <c r="V15"/>
      <c r="W15"/>
      <c r="X15"/>
      <c r="Y15"/>
      <c r="Z15"/>
      <c r="AA15"/>
    </row>
    <row r="16" spans="1:27" ht="12.75">
      <c r="A16" s="104" t="s">
        <v>270</v>
      </c>
      <c r="B16" s="209"/>
      <c r="C16" s="33"/>
      <c r="D16" s="33"/>
      <c r="E16" s="20">
        <f t="shared" si="0"/>
        <v>0</v>
      </c>
      <c r="F16" s="33"/>
      <c r="G16" s="33"/>
      <c r="H16" s="226">
        <f t="shared" si="1"/>
        <v>0</v>
      </c>
      <c r="I16" s="92">
        <f>Blad12!B32</f>
        <v>0</v>
      </c>
      <c r="J16" s="92">
        <f>Blad12!C32</f>
        <v>9589.66</v>
      </c>
      <c r="K16" s="50">
        <f>ROUND(E16*ROUND(I16*Blad3!$Z$4,2),0)</f>
        <v>0</v>
      </c>
      <c r="L16" s="20">
        <f>ROUND(E16*ROUND(J16*Blad3!$AA$4,2),0)</f>
        <v>0</v>
      </c>
      <c r="M16" s="20">
        <f>ROUND(C16*ROUND(I16*Blad3!$Z$4,2),0)+ROUND(C16*ROUND(J16*Blad3!$AA$4,2),0)</f>
        <v>0</v>
      </c>
      <c r="N16" s="92">
        <f>Blad12!D32</f>
        <v>0</v>
      </c>
      <c r="O16" s="92">
        <f>Blad12!E32</f>
        <v>9664.46</v>
      </c>
      <c r="P16" s="20">
        <f>ROUND(($G16)*ROUND(N16*Blad3!$AB$5,0),0)</f>
        <v>0</v>
      </c>
      <c r="Q16" s="20">
        <f>ROUND(($G16)*ROUND(O16*Blad3!$AC$5,0),0)</f>
        <v>0</v>
      </c>
      <c r="R16" s="20">
        <f>ROUND(G16*ROUND(N16*Blad3!$AB$5,0),0)+ROUND(G16*ROUND(O16*Blad3!$AC$5,0),0)</f>
        <v>0</v>
      </c>
      <c r="T16"/>
      <c r="U16"/>
      <c r="V16"/>
      <c r="W16"/>
      <c r="X16"/>
      <c r="Y16"/>
      <c r="Z16"/>
      <c r="AA16"/>
    </row>
    <row r="17" spans="1:27" ht="12.75">
      <c r="A17" s="104" t="s">
        <v>203</v>
      </c>
      <c r="B17" s="209"/>
      <c r="C17" s="33"/>
      <c r="D17" s="33"/>
      <c r="E17" s="20">
        <f t="shared" si="0"/>
        <v>0</v>
      </c>
      <c r="F17" s="33"/>
      <c r="G17" s="33"/>
      <c r="H17" s="226">
        <f t="shared" si="1"/>
        <v>0</v>
      </c>
      <c r="I17" s="92">
        <f>Blad12!B33</f>
        <v>9578</v>
      </c>
      <c r="J17" s="92">
        <f>Blad12!C33</f>
        <v>5351</v>
      </c>
      <c r="K17" s="50">
        <f>ROUND(E17*ROUND(I17*Blad3!$Z$4,2),0)</f>
        <v>0</v>
      </c>
      <c r="L17" s="20">
        <f>ROUND(E17*ROUND(J17*Blad3!$AA$4,2),0)</f>
        <v>0</v>
      </c>
      <c r="M17" s="20">
        <f>ROUND(C17*ROUND(I17*Blad3!$Z$4,2),0)+ROUND(C17*ROUND(J17*Blad3!$AA$4,2),0)</f>
        <v>0</v>
      </c>
      <c r="N17" s="92">
        <f>Blad12!D33</f>
        <v>9736.04</v>
      </c>
      <c r="O17" s="92">
        <f>Blad12!E33</f>
        <v>5392.74</v>
      </c>
      <c r="P17" s="20">
        <f>ROUND(($G17)*ROUND(N17*Blad3!$AB$5,0),0)</f>
        <v>0</v>
      </c>
      <c r="Q17" s="20">
        <f>ROUND(($G17)*ROUND(O17*Blad3!$AC$5,0),0)</f>
        <v>0</v>
      </c>
      <c r="R17" s="20">
        <f>ROUND(G17*ROUND(N17*Blad3!$AB$5,0),0)+ROUND(G17*ROUND(O17*Blad3!$AC$5,0),0)</f>
        <v>0</v>
      </c>
      <c r="T17"/>
      <c r="U17"/>
      <c r="V17"/>
      <c r="W17"/>
      <c r="X17"/>
      <c r="Y17"/>
      <c r="Z17"/>
      <c r="AA17"/>
    </row>
    <row r="18" spans="1:27" ht="15.75">
      <c r="A18" s="104" t="s">
        <v>271</v>
      </c>
      <c r="B18" s="209" t="s">
        <v>263</v>
      </c>
      <c r="C18" s="33"/>
      <c r="D18" s="33"/>
      <c r="E18" s="178">
        <f>(IF(C18&lt;1000,0,C18-1000))-(IF(D18&lt;1000,0,D18-1000))</f>
        <v>0</v>
      </c>
      <c r="F18" s="225"/>
      <c r="G18" s="33"/>
      <c r="H18" s="226">
        <f t="shared" si="1"/>
        <v>0</v>
      </c>
      <c r="I18" s="114">
        <f>Blad12!B34</f>
        <v>641.19</v>
      </c>
      <c r="J18" s="114">
        <f>Blad12!C34</f>
        <v>67.47</v>
      </c>
      <c r="K18" s="50">
        <f>ROUND((E18)*ROUND(I18*Blad3!$Z$4,2),0)</f>
        <v>0</v>
      </c>
      <c r="L18" s="20">
        <f>ROUND((E18)*ROUND(J18*Blad3!$AA$4,2),0)</f>
        <v>0</v>
      </c>
      <c r="M18" s="117">
        <f>IF(C18&gt;1000,ROUND((C18-1000)*ROUND(I18*Blad3!$Z$4,2),0)+ROUND((C18-1000)*ROUND(J18*Blad3!$AA$4,2),0),0)</f>
        <v>0</v>
      </c>
      <c r="N18" s="92">
        <f>Blad12!D34</f>
        <v>651.77</v>
      </c>
      <c r="O18" s="92">
        <f>Blad12!E34</f>
        <v>68</v>
      </c>
      <c r="P18" s="20">
        <f>IF($G18&gt;1000,ROUND(($G18-1000)*ROUND(N18*Blad3!$AB$5,2),0),0)</f>
        <v>0</v>
      </c>
      <c r="Q18" s="20">
        <f>IF($G18&gt;1000,ROUND(($G18-1000)*ROUND(O18*Blad3!$AC$5,2),0),0)</f>
        <v>0</v>
      </c>
      <c r="R18" s="344">
        <f>IF($G18&gt;1000,ROUND(($G18-1000)*ROUND(N18*Blad3!$AB$5,2),0)+ROUND(($G18-1000)*ROUND(O18*Blad3!$AC$5,2),0),0)</f>
        <v>0</v>
      </c>
      <c r="T18"/>
      <c r="U18"/>
      <c r="V18"/>
      <c r="W18"/>
      <c r="X18"/>
      <c r="Y18"/>
      <c r="Z18"/>
      <c r="AA18"/>
    </row>
    <row r="19" spans="1:27" ht="12.75">
      <c r="A19" s="104" t="s">
        <v>24</v>
      </c>
      <c r="B19" s="209" t="s">
        <v>122</v>
      </c>
      <c r="C19" s="33"/>
      <c r="D19" s="33"/>
      <c r="E19" s="20">
        <f aca="true" t="shared" si="2" ref="E19:E35">C19-D19</f>
        <v>0</v>
      </c>
      <c r="F19" s="33"/>
      <c r="G19" s="33"/>
      <c r="H19" s="226">
        <f t="shared" si="1"/>
        <v>0</v>
      </c>
      <c r="I19" s="92">
        <f>Blad12!B47</f>
        <v>402.08</v>
      </c>
      <c r="J19" s="92">
        <f>Blad12!C47</f>
        <v>262.75</v>
      </c>
      <c r="K19" s="50">
        <f>ROUND(E19*ROUND(I19*Blad3!$Z$4,2),0)</f>
        <v>0</v>
      </c>
      <c r="L19" s="20">
        <f>ROUND(E19*ROUND(J19*Blad3!$AA$4,2),0)</f>
        <v>0</v>
      </c>
      <c r="M19" s="20">
        <f>ROUND(C19*ROUND(I19*Blad3!$Z$4,2),0)+ROUND(C19*ROUND(J19*Blad3!$AA$4,2),0)</f>
        <v>0</v>
      </c>
      <c r="N19" s="92">
        <f>Blad12!D47</f>
        <v>408.71</v>
      </c>
      <c r="O19" s="92">
        <f>Blad12!E47</f>
        <v>264.8</v>
      </c>
      <c r="P19" s="20">
        <f>ROUND(($G19)*ROUND(N19*Blad3!$AB$5,0),0)</f>
        <v>0</v>
      </c>
      <c r="Q19" s="20">
        <f>ROUND(($G19)*ROUND(O19*Blad3!$AC$5,0),0)</f>
        <v>0</v>
      </c>
      <c r="R19" s="20">
        <f>ROUND(G19*ROUND(N19*Blad3!$AB$5,0),0)+ROUND(G19*ROUND(O19*Blad3!$AC$5,0),0)</f>
        <v>0</v>
      </c>
      <c r="T19"/>
      <c r="U19"/>
      <c r="V19"/>
      <c r="W19"/>
      <c r="X19"/>
      <c r="Y19"/>
      <c r="Z19"/>
      <c r="AA19"/>
    </row>
    <row r="20" spans="1:27" ht="12.75">
      <c r="A20" s="104" t="s">
        <v>25</v>
      </c>
      <c r="B20" s="209" t="s">
        <v>123</v>
      </c>
      <c r="C20" s="33"/>
      <c r="D20" s="33"/>
      <c r="E20" s="20">
        <f t="shared" si="2"/>
        <v>0</v>
      </c>
      <c r="F20" s="33"/>
      <c r="G20" s="33"/>
      <c r="H20" s="226">
        <f t="shared" si="1"/>
        <v>0</v>
      </c>
      <c r="I20" s="92">
        <f>Blad12!B62</f>
        <v>62.71</v>
      </c>
      <c r="J20" s="92">
        <f>Blad12!C62</f>
        <v>9.85</v>
      </c>
      <c r="K20" s="50">
        <f>ROUND(E20*ROUND(I20*Blad3!$Z$4,2),0)</f>
        <v>0</v>
      </c>
      <c r="L20" s="20">
        <f>ROUND(E20*ROUND(J20*Blad3!$AA$4,2),0)</f>
        <v>0</v>
      </c>
      <c r="M20" s="20">
        <f>ROUND(C20*ROUND(I20*Blad3!$Z$4,2),0)+ROUND(C20*ROUND(J20*Blad3!$AA$4,2),0)</f>
        <v>0</v>
      </c>
      <c r="N20" s="92">
        <f>Blad12!D62</f>
        <v>63.74</v>
      </c>
      <c r="O20" s="92">
        <f>Blad12!E62</f>
        <v>9.93</v>
      </c>
      <c r="P20" s="20">
        <f>ROUND(($G20)*ROUND(N20*Blad3!$AB$5,0),0)</f>
        <v>0</v>
      </c>
      <c r="Q20" s="20">
        <f>ROUND(($G20)*ROUND(O20*Blad3!$AC$5,0),0)</f>
        <v>0</v>
      </c>
      <c r="R20" s="20">
        <f>ROUND(G20*ROUND(N20*Blad3!$AB$5,0),0)+ROUND(G20*ROUND(O20*Blad3!$AC$5,0),0)</f>
        <v>0</v>
      </c>
      <c r="T20"/>
      <c r="U20"/>
      <c r="V20"/>
      <c r="W20"/>
      <c r="X20"/>
      <c r="Y20"/>
      <c r="Z20"/>
      <c r="AA20"/>
    </row>
    <row r="21" spans="1:27" ht="12.75">
      <c r="A21" s="104" t="s">
        <v>198</v>
      </c>
      <c r="B21" s="209"/>
      <c r="C21" s="33"/>
      <c r="D21" s="33"/>
      <c r="E21" s="20">
        <f t="shared" si="2"/>
        <v>0</v>
      </c>
      <c r="F21" s="33"/>
      <c r="G21" s="33"/>
      <c r="H21" s="226">
        <f t="shared" si="1"/>
        <v>0</v>
      </c>
      <c r="I21" s="293">
        <f>Blad12!B63</f>
        <v>1.028</v>
      </c>
      <c r="J21" s="293">
        <f>Blad12!C63</f>
        <v>0.243</v>
      </c>
      <c r="K21" s="50">
        <f>ROUND(E21*ROUND(I21*Blad3!$Z$4,2),0)</f>
        <v>0</v>
      </c>
      <c r="L21" s="20">
        <f>ROUND(E21*ROUND(J21*Blad3!$AA$4,2),0)</f>
        <v>0</v>
      </c>
      <c r="M21" s="20">
        <f>ROUND(C21*ROUND(I21*Blad3!$Z$4,2),0)+ROUND(C21*ROUND(J21*Blad3!$AA$4,2),0)</f>
        <v>0</v>
      </c>
      <c r="N21" s="294">
        <f>Blad12!D63</f>
        <v>1.028</v>
      </c>
      <c r="O21" s="294">
        <f>Blad12!E63</f>
        <v>0.243</v>
      </c>
      <c r="P21" s="20">
        <f>ROUND(($G21)*ROUND(N21*Blad3!$AB$5,0),0)</f>
        <v>0</v>
      </c>
      <c r="Q21" s="20">
        <f>ROUND(($G21)*ROUND(O21*Blad3!$AC$5,0),0)</f>
        <v>0</v>
      </c>
      <c r="R21" s="20">
        <f>ROUND(G21*ROUND(N21*Blad3!$AB$5,0),0)+ROUND(G21*ROUND(O21*Blad3!$AC$5,0),0)</f>
        <v>0</v>
      </c>
      <c r="T21"/>
      <c r="U21"/>
      <c r="V21"/>
      <c r="W21"/>
      <c r="X21"/>
      <c r="Y21"/>
      <c r="Z21"/>
      <c r="AA21"/>
    </row>
    <row r="22" spans="1:27" ht="12.75">
      <c r="A22" s="104" t="s">
        <v>257</v>
      </c>
      <c r="B22" s="209"/>
      <c r="C22" s="33"/>
      <c r="D22" s="33"/>
      <c r="E22" s="20">
        <f t="shared" si="2"/>
        <v>0</v>
      </c>
      <c r="F22" s="33"/>
      <c r="G22" s="33"/>
      <c r="H22" s="226">
        <f t="shared" si="1"/>
        <v>0</v>
      </c>
      <c r="I22" s="92">
        <f>Blad12!B48</f>
        <v>1029.8</v>
      </c>
      <c r="J22" s="92">
        <f>Blad12!C48</f>
        <v>66.5</v>
      </c>
      <c r="K22" s="50">
        <f>ROUND(E22*ROUND(I22*Blad3!$Z$4,2),0)</f>
        <v>0</v>
      </c>
      <c r="L22" s="20">
        <f>ROUND(E22*ROUND(J22*Blad3!$AA$4,2),0)</f>
        <v>0</v>
      </c>
      <c r="M22" s="20">
        <f>ROUND(C22*ROUND(I22*Blad3!$Z$4,2),0)+ROUND(C22*ROUND(J22*Blad3!$AA$4,2),0)</f>
        <v>0</v>
      </c>
      <c r="N22" s="92">
        <f>Blad12!D48</f>
        <v>1046.79</v>
      </c>
      <c r="O22" s="92">
        <f>Blad12!E48</f>
        <v>67.02</v>
      </c>
      <c r="P22" s="20">
        <f>ROUND(($G22)*ROUND(N22*Blad3!$AB$5,0),0)</f>
        <v>0</v>
      </c>
      <c r="Q22" s="20">
        <f>ROUND(($G22)*ROUND(O22*Blad3!$AC$5,0),0)</f>
        <v>0</v>
      </c>
      <c r="R22" s="20">
        <f>ROUND(G22*ROUND(N22*Blad3!$AB$5,0),0)+ROUND(G22*ROUND(O22*Blad3!$AC$5,0),0)</f>
        <v>0</v>
      </c>
      <c r="T22"/>
      <c r="U22"/>
      <c r="V22"/>
      <c r="W22"/>
      <c r="X22"/>
      <c r="Y22"/>
      <c r="Z22"/>
      <c r="AA22"/>
    </row>
    <row r="23" spans="1:27" ht="12.75">
      <c r="A23" s="104" t="s">
        <v>258</v>
      </c>
      <c r="B23" s="209"/>
      <c r="C23" s="33"/>
      <c r="D23" s="33"/>
      <c r="E23" s="20">
        <f t="shared" si="2"/>
        <v>0</v>
      </c>
      <c r="F23" s="33"/>
      <c r="G23" s="33"/>
      <c r="H23" s="226">
        <f t="shared" si="1"/>
        <v>0</v>
      </c>
      <c r="I23" s="92">
        <f>Blad12!B49</f>
        <v>34.9</v>
      </c>
      <c r="J23" s="92">
        <f>Blad12!C49</f>
        <v>19.25</v>
      </c>
      <c r="K23" s="50">
        <f>ROUND(E23*ROUND(I23*Blad3!$Z$4,2),0)</f>
        <v>0</v>
      </c>
      <c r="L23" s="20">
        <f>ROUND(E23*ROUND(J23*Blad3!$AA$4,2),0)</f>
        <v>0</v>
      </c>
      <c r="M23" s="20">
        <f>ROUND(C23*ROUND(I23*Blad3!$Z$4,2),0)+ROUND(C23*ROUND(J23*Blad3!$AA$4,2),0)</f>
        <v>0</v>
      </c>
      <c r="N23" s="92">
        <f>Blad12!D49</f>
        <v>35.48</v>
      </c>
      <c r="O23" s="92">
        <f>Blad12!E49</f>
        <v>19.4</v>
      </c>
      <c r="P23" s="20">
        <f>ROUND(($G23)*ROUND(N23*Blad3!$AB$5,0),0)</f>
        <v>0</v>
      </c>
      <c r="Q23" s="20">
        <f>ROUND(($G23)*ROUND(O23*Blad3!$AC$5,0),0)</f>
        <v>0</v>
      </c>
      <c r="R23" s="20">
        <f>ROUND(G23*ROUND(N23*Blad3!$AB$5,0),0)+ROUND(G23*ROUND(O23*Blad3!$AC$5,0),0)</f>
        <v>0</v>
      </c>
      <c r="T23"/>
      <c r="U23"/>
      <c r="V23"/>
      <c r="W23"/>
      <c r="X23"/>
      <c r="Y23"/>
      <c r="Z23"/>
      <c r="AA23"/>
    </row>
    <row r="24" spans="1:27" ht="12.75">
      <c r="A24" s="104" t="s">
        <v>259</v>
      </c>
      <c r="B24" s="209"/>
      <c r="C24" s="33"/>
      <c r="D24" s="33"/>
      <c r="E24" s="20">
        <f t="shared" si="2"/>
        <v>0</v>
      </c>
      <c r="F24" s="33"/>
      <c r="G24" s="33"/>
      <c r="H24" s="226">
        <f t="shared" si="1"/>
        <v>0</v>
      </c>
      <c r="I24" s="92">
        <f>Blad12!B50</f>
        <v>2287.7</v>
      </c>
      <c r="J24" s="92">
        <f>Blad12!C50</f>
        <v>1073.79</v>
      </c>
      <c r="K24" s="50">
        <f>ROUND(E24*ROUND(I24*Blad3!$Z$4,2),0)</f>
        <v>0</v>
      </c>
      <c r="L24" s="20">
        <f>ROUND(E24*ROUND(J24*Blad3!$AA$4,2),0)</f>
        <v>0</v>
      </c>
      <c r="M24" s="20">
        <f>ROUND(C24*ROUND(I24*Blad3!$Z$4,2),0)+ROUND(C24*ROUND(J24*Blad3!$AA$4,2),0)</f>
        <v>0</v>
      </c>
      <c r="N24" s="92">
        <f>Blad12!D50</f>
        <v>2325.45</v>
      </c>
      <c r="O24" s="92">
        <f>Blad12!E50</f>
        <v>1082.17</v>
      </c>
      <c r="P24" s="20">
        <f>ROUND(($G24)*ROUND(N24*Blad3!$AB$5,0),0)</f>
        <v>0</v>
      </c>
      <c r="Q24" s="20">
        <f>ROUND(($G24)*ROUND(O24*Blad3!$AC$5,0),0)</f>
        <v>0</v>
      </c>
      <c r="R24" s="20">
        <f>ROUND(G24*ROUND(N24*Blad3!$AB$5,0),0)+ROUND(G24*ROUND(O24*Blad3!$AC$5,0),0)</f>
        <v>0</v>
      </c>
      <c r="T24"/>
      <c r="U24"/>
      <c r="V24"/>
      <c r="W24"/>
      <c r="X24"/>
      <c r="Y24"/>
      <c r="Z24"/>
      <c r="AA24"/>
    </row>
    <row r="25" spans="1:27" ht="12.75">
      <c r="A25" s="104" t="s">
        <v>260</v>
      </c>
      <c r="B25" s="209"/>
      <c r="C25" s="33"/>
      <c r="D25" s="33"/>
      <c r="E25" s="20">
        <f t="shared" si="2"/>
        <v>0</v>
      </c>
      <c r="F25" s="33"/>
      <c r="G25" s="33"/>
      <c r="H25" s="226">
        <f t="shared" si="1"/>
        <v>0</v>
      </c>
      <c r="I25" s="92">
        <f>Blad12!B51</f>
        <v>577.41</v>
      </c>
      <c r="J25" s="92">
        <f>Blad12!C51</f>
        <v>106.12</v>
      </c>
      <c r="K25" s="50">
        <f>ROUND(E25*ROUND(I25*Blad3!$Z$4,2),0)</f>
        <v>0</v>
      </c>
      <c r="L25" s="20">
        <f>ROUND(E25*ROUND(J25*Blad3!$AA$4,2),0)</f>
        <v>0</v>
      </c>
      <c r="M25" s="20">
        <f>ROUND(C25*ROUND(I25*Blad3!$Z$4,2),0)+ROUND(C25*ROUND(J25*Blad3!$AA$4,2),0)</f>
        <v>0</v>
      </c>
      <c r="N25" s="92">
        <f>Blad12!D51</f>
        <v>586.94</v>
      </c>
      <c r="O25" s="92">
        <f>Blad12!E51</f>
        <v>106.95</v>
      </c>
      <c r="P25" s="20">
        <f>ROUND(($G25)*ROUND(N25*Blad3!$AB$5,0),0)</f>
        <v>0</v>
      </c>
      <c r="Q25" s="20">
        <f>ROUND(($G25)*ROUND(O25*Blad3!$AC$5,0),0)</f>
        <v>0</v>
      </c>
      <c r="R25" s="20">
        <f>ROUND(G25*ROUND(N25*Blad3!$AB$5,0),0)+ROUND(G25*ROUND(O25*Blad3!$AC$5,0),0)</f>
        <v>0</v>
      </c>
      <c r="T25"/>
      <c r="U25"/>
      <c r="V25"/>
      <c r="W25"/>
      <c r="X25"/>
      <c r="Y25"/>
      <c r="Z25"/>
      <c r="AA25"/>
    </row>
    <row r="26" spans="1:27" ht="12.75">
      <c r="A26" s="104" t="s">
        <v>26</v>
      </c>
      <c r="B26" s="209" t="s">
        <v>28</v>
      </c>
      <c r="C26" s="33"/>
      <c r="D26" s="33"/>
      <c r="E26" s="20">
        <f t="shared" si="2"/>
        <v>0</v>
      </c>
      <c r="F26" s="33"/>
      <c r="G26" s="33"/>
      <c r="H26" s="226">
        <f t="shared" si="1"/>
        <v>0</v>
      </c>
      <c r="I26" s="92">
        <f>Blad12!B38</f>
        <v>318.7</v>
      </c>
      <c r="J26" s="92">
        <f>Blad12!C38</f>
        <v>53.45</v>
      </c>
      <c r="K26" s="50">
        <f>ROUND(E26*ROUND(I26*Blad3!$Z$4,2),0)</f>
        <v>0</v>
      </c>
      <c r="L26" s="20">
        <f>ROUND(E26*ROUND(J26*Blad3!$AA$4,2),0)</f>
        <v>0</v>
      </c>
      <c r="M26" s="20">
        <f>ROUND(C26*ROUND(I26*Blad3!$Z$4,2),0)+ROUND(C26*ROUND(J26*Blad3!$AA$4,2),0)</f>
        <v>0</v>
      </c>
      <c r="N26" s="92">
        <f>Blad12!D38</f>
        <v>323.96</v>
      </c>
      <c r="O26" s="92">
        <f>Blad12!E38</f>
        <v>53.87</v>
      </c>
      <c r="P26" s="20">
        <f>ROUND(($G26)*ROUND(N26*Blad3!$AB$5,0),0)</f>
        <v>0</v>
      </c>
      <c r="Q26" s="20">
        <f>ROUND(($G26)*ROUND(O26*Blad3!$AC$5,0),0)</f>
        <v>0</v>
      </c>
      <c r="R26" s="20">
        <f>ROUND(G26*ROUND(N26*Blad3!$AB$5,0),0)+ROUND(G26*ROUND(O26*Blad3!$AC$5,0),0)</f>
        <v>0</v>
      </c>
      <c r="T26"/>
      <c r="U26"/>
      <c r="V26"/>
      <c r="W26"/>
      <c r="X26"/>
      <c r="Y26"/>
      <c r="Z26"/>
      <c r="AA26"/>
    </row>
    <row r="27" spans="1:27" ht="12.75">
      <c r="A27" s="104" t="s">
        <v>26</v>
      </c>
      <c r="B27" s="209" t="s">
        <v>29</v>
      </c>
      <c r="C27" s="33"/>
      <c r="D27" s="33"/>
      <c r="E27" s="20">
        <f t="shared" si="2"/>
        <v>0</v>
      </c>
      <c r="F27" s="33"/>
      <c r="G27" s="33"/>
      <c r="H27" s="226">
        <f t="shared" si="1"/>
        <v>0</v>
      </c>
      <c r="I27" s="92">
        <f>Blad12!B39</f>
        <v>1020.88</v>
      </c>
      <c r="J27" s="92">
        <f>Blad12!C39</f>
        <v>170.02</v>
      </c>
      <c r="K27" s="50">
        <f>ROUND(E27*ROUND(I27*Blad3!$Z$4,2),0)</f>
        <v>0</v>
      </c>
      <c r="L27" s="20">
        <f>ROUND(E27*ROUND(J27*Blad3!$AA$4,2),0)</f>
        <v>0</v>
      </c>
      <c r="M27" s="20">
        <f>ROUND(C27*ROUND(I27*Blad3!$Z$4,2),0)+ROUND(C27*ROUND(J27*Blad3!$AA$4,2),0)</f>
        <v>0</v>
      </c>
      <c r="N27" s="92">
        <f>Blad12!D39</f>
        <v>1037.72</v>
      </c>
      <c r="O27" s="92">
        <f>Blad12!E39</f>
        <v>171.35</v>
      </c>
      <c r="P27" s="20">
        <f>ROUND(($G27)*ROUND(N27*Blad3!$AB$5,0),0)</f>
        <v>0</v>
      </c>
      <c r="Q27" s="20">
        <f>ROUND(($G27)*ROUND(O27*Blad3!$AC$5,0),0)</f>
        <v>0</v>
      </c>
      <c r="R27" s="20">
        <f>ROUND(G27*ROUND(N27*Blad3!$AB$5,0),0)+ROUND(G27*ROUND(O27*Blad3!$AC$5,0),0)</f>
        <v>0</v>
      </c>
      <c r="T27"/>
      <c r="U27"/>
      <c r="V27"/>
      <c r="W27"/>
      <c r="X27"/>
      <c r="Y27"/>
      <c r="Z27"/>
      <c r="AA27"/>
    </row>
    <row r="28" spans="1:27" ht="12.75">
      <c r="A28" s="104" t="s">
        <v>26</v>
      </c>
      <c r="B28" s="209" t="s">
        <v>30</v>
      </c>
      <c r="C28" s="33"/>
      <c r="D28" s="33"/>
      <c r="E28" s="20">
        <f t="shared" si="2"/>
        <v>0</v>
      </c>
      <c r="F28" s="33"/>
      <c r="G28" s="33"/>
      <c r="H28" s="226">
        <f t="shared" si="1"/>
        <v>0</v>
      </c>
      <c r="I28" s="92">
        <f>Blad12!B40</f>
        <v>1749.07</v>
      </c>
      <c r="J28" s="92">
        <f>Blad12!C40</f>
        <v>291.18</v>
      </c>
      <c r="K28" s="50">
        <f>ROUND(E28*ROUND(I28*Blad3!$Z$4,2),0)</f>
        <v>0</v>
      </c>
      <c r="L28" s="20">
        <f>ROUND(E28*ROUND(J28*Blad3!$AA$4,2),0)</f>
        <v>0</v>
      </c>
      <c r="M28" s="20">
        <f>ROUND(C28*ROUND(I28*Blad3!$Z$4,2),0)+ROUND(C28*ROUND(J28*Blad3!$AA$4,2),0)</f>
        <v>0</v>
      </c>
      <c r="N28" s="92">
        <f>Blad12!D40</f>
        <v>1777.93</v>
      </c>
      <c r="O28" s="92">
        <f>Blad12!E40</f>
        <v>293.45</v>
      </c>
      <c r="P28" s="20">
        <f>ROUND(($G28)*ROUND(N28*Blad3!$AB$5,0),0)</f>
        <v>0</v>
      </c>
      <c r="Q28" s="20">
        <f>ROUND(($G28)*ROUND(O28*Blad3!$AC$5,0),0)</f>
        <v>0</v>
      </c>
      <c r="R28" s="20">
        <f>ROUND(G28*ROUND(N28*Blad3!$AB$5,0),0)+ROUND(G28*ROUND(O28*Blad3!$AC$5,0),0)</f>
        <v>0</v>
      </c>
      <c r="T28"/>
      <c r="U28"/>
      <c r="V28"/>
      <c r="W28"/>
      <c r="X28"/>
      <c r="Y28"/>
      <c r="Z28"/>
      <c r="AA28"/>
    </row>
    <row r="29" spans="1:27" ht="12.75">
      <c r="A29" s="104" t="s">
        <v>26</v>
      </c>
      <c r="B29" s="209" t="s">
        <v>31</v>
      </c>
      <c r="C29" s="33"/>
      <c r="D29" s="33"/>
      <c r="E29" s="20">
        <f t="shared" si="2"/>
        <v>0</v>
      </c>
      <c r="F29" s="33"/>
      <c r="G29" s="33"/>
      <c r="H29" s="226">
        <f t="shared" si="1"/>
        <v>0</v>
      </c>
      <c r="I29" s="92">
        <f>Blad12!B41</f>
        <v>2938.27</v>
      </c>
      <c r="J29" s="92">
        <f>Blad12!C41</f>
        <v>488.7</v>
      </c>
      <c r="K29" s="50">
        <f>ROUND(E29*ROUND(I29*Blad3!$Z$4,2),0)</f>
        <v>0</v>
      </c>
      <c r="L29" s="20">
        <f>ROUND(E29*ROUND(J29*Blad3!$AA$4,2),0)</f>
        <v>0</v>
      </c>
      <c r="M29" s="20">
        <f>ROUND(C29*ROUND(I29*Blad3!$Z$4,2),0)+ROUND(C29*ROUND(J29*Blad3!$AA$4,2),0)</f>
        <v>0</v>
      </c>
      <c r="N29" s="92">
        <f>Blad12!D41</f>
        <v>2986.75</v>
      </c>
      <c r="O29" s="92">
        <f>Blad12!E41</f>
        <v>492.51</v>
      </c>
      <c r="P29" s="20">
        <f>ROUND(($G29)*ROUND(N29*Blad3!$AB$5,0),0)</f>
        <v>0</v>
      </c>
      <c r="Q29" s="20">
        <f>ROUND(($G29)*ROUND(O29*Blad3!$AC$5,0),0)</f>
        <v>0</v>
      </c>
      <c r="R29" s="20">
        <f>ROUND(G29*ROUND(N29*Blad3!$AB$5,0),0)+ROUND(G29*ROUND(O29*Blad3!$AC$5,0),0)</f>
        <v>0</v>
      </c>
      <c r="T29"/>
      <c r="U29"/>
      <c r="V29"/>
      <c r="W29"/>
      <c r="X29"/>
      <c r="Y29"/>
      <c r="Z29"/>
      <c r="AA29"/>
    </row>
    <row r="30" spans="1:27" ht="12.75">
      <c r="A30" s="104" t="s">
        <v>27</v>
      </c>
      <c r="B30" s="209" t="s">
        <v>32</v>
      </c>
      <c r="C30" s="33"/>
      <c r="D30" s="33"/>
      <c r="E30" s="20">
        <f t="shared" si="2"/>
        <v>0</v>
      </c>
      <c r="F30" s="33"/>
      <c r="G30" s="33"/>
      <c r="H30" s="226">
        <f t="shared" si="1"/>
        <v>0</v>
      </c>
      <c r="I30" s="92">
        <f>Blad12!B42</f>
        <v>155.01</v>
      </c>
      <c r="J30" s="92">
        <f>Blad12!C42</f>
        <v>25.96</v>
      </c>
      <c r="K30" s="50">
        <f>ROUND(E30*ROUND(I30*Blad3!$Z$4,2),0)</f>
        <v>0</v>
      </c>
      <c r="L30" s="20">
        <f>ROUND(E30*ROUND(J30*Blad3!$AA$4,2),0)</f>
        <v>0</v>
      </c>
      <c r="M30" s="20">
        <f>ROUND(C30*ROUND(I30*Blad3!$Z$4,2),0)+ROUND(C30*ROUND(J30*Blad3!$AA$4,2),0)</f>
        <v>0</v>
      </c>
      <c r="N30" s="92">
        <f>Blad12!D42</f>
        <v>157.57</v>
      </c>
      <c r="O30" s="92">
        <f>Blad12!E42</f>
        <v>26.16</v>
      </c>
      <c r="P30" s="20">
        <f>ROUND(($G30)*ROUND(N30*Blad3!$AB$5,0),0)</f>
        <v>0</v>
      </c>
      <c r="Q30" s="20">
        <f>ROUND(($G30)*ROUND(O30*Blad3!$AC$5,0),0)</f>
        <v>0</v>
      </c>
      <c r="R30" s="20">
        <f>ROUND(G30*ROUND(N30*Blad3!$AB$5,0),0)+ROUND(G30*ROUND(O30*Blad3!$AC$5,0),0)</f>
        <v>0</v>
      </c>
      <c r="T30"/>
      <c r="U30"/>
      <c r="V30"/>
      <c r="W30"/>
      <c r="X30"/>
      <c r="Y30"/>
      <c r="Z30"/>
      <c r="AA30"/>
    </row>
    <row r="31" spans="1:27" ht="12.75">
      <c r="A31" s="104" t="s">
        <v>27</v>
      </c>
      <c r="B31" s="209" t="s">
        <v>33</v>
      </c>
      <c r="C31" s="33"/>
      <c r="D31" s="33"/>
      <c r="E31" s="20">
        <f t="shared" si="2"/>
        <v>0</v>
      </c>
      <c r="F31" s="33"/>
      <c r="G31" s="33"/>
      <c r="H31" s="226">
        <f t="shared" si="1"/>
        <v>0</v>
      </c>
      <c r="I31" s="92">
        <f>Blad12!B43</f>
        <v>265.08</v>
      </c>
      <c r="J31" s="92">
        <f>Blad12!C43</f>
        <v>39.2</v>
      </c>
      <c r="K31" s="50">
        <f>ROUND(E31*ROUND(I31*Blad3!$Z$4,2),0)</f>
        <v>0</v>
      </c>
      <c r="L31" s="20">
        <f>ROUND(E31*ROUND(J31*Blad3!$AA$4,2),0)</f>
        <v>0</v>
      </c>
      <c r="M31" s="20">
        <f>ROUND(C31*ROUND(I31*Blad3!$Z$4,2),0)+ROUND(C31*ROUND(J31*Blad3!$AA$4,2),0)</f>
        <v>0</v>
      </c>
      <c r="N31" s="92">
        <f>Blad12!D43</f>
        <v>269.45</v>
      </c>
      <c r="O31" s="92">
        <f>Blad12!E43</f>
        <v>39.51</v>
      </c>
      <c r="P31" s="20">
        <f>ROUND(($G31)*ROUND(N31*Blad3!$AB$5,0),0)</f>
        <v>0</v>
      </c>
      <c r="Q31" s="20">
        <f>ROUND(($G31)*ROUND(O31*Blad3!$AC$5,0),0)</f>
        <v>0</v>
      </c>
      <c r="R31" s="20">
        <f>ROUND(G31*ROUND(N31*Blad3!$AB$5,0),0)+ROUND(G31*ROUND(O31*Blad3!$AC$5,0),0)</f>
        <v>0</v>
      </c>
      <c r="T31"/>
      <c r="U31"/>
      <c r="V31"/>
      <c r="W31"/>
      <c r="X31"/>
      <c r="Y31"/>
      <c r="Z31"/>
      <c r="AA31"/>
    </row>
    <row r="32" spans="1:27" ht="12.75">
      <c r="A32" s="104" t="s">
        <v>27</v>
      </c>
      <c r="B32" s="209" t="s">
        <v>34</v>
      </c>
      <c r="C32" s="33"/>
      <c r="D32" s="33"/>
      <c r="E32" s="20">
        <f t="shared" si="2"/>
        <v>0</v>
      </c>
      <c r="F32" s="33"/>
      <c r="G32" s="33"/>
      <c r="H32" s="226">
        <f t="shared" si="1"/>
        <v>0</v>
      </c>
      <c r="I32" s="92">
        <f>Blad12!B44</f>
        <v>539.64</v>
      </c>
      <c r="J32" s="92">
        <f>Blad12!C44</f>
        <v>89.59</v>
      </c>
      <c r="K32" s="50">
        <f>ROUND(E32*ROUND(I32*Blad3!$Z$4,2),0)</f>
        <v>0</v>
      </c>
      <c r="L32" s="20">
        <f>ROUND(E32*ROUND(J32*Blad3!$AA$4,2),0)</f>
        <v>0</v>
      </c>
      <c r="M32" s="20">
        <f>ROUND(C32*ROUND(I32*Blad3!$Z$4,2),0)+ROUND(C32*ROUND(J32*Blad3!$AA$4,2),0)</f>
        <v>0</v>
      </c>
      <c r="N32" s="92">
        <f>Blad12!D44</f>
        <v>548.54</v>
      </c>
      <c r="O32" s="92">
        <f>Blad12!E44</f>
        <v>90.29</v>
      </c>
      <c r="P32" s="20">
        <f>ROUND(($G32)*ROUND(N32*Blad3!$AB$5,0),0)</f>
        <v>0</v>
      </c>
      <c r="Q32" s="20">
        <f>ROUND(($G32)*ROUND(O32*Blad3!$AC$5,0),0)</f>
        <v>0</v>
      </c>
      <c r="R32" s="20">
        <f>ROUND(G32*ROUND(N32*Blad3!$AB$5,0),0)+ROUND(G32*ROUND(O32*Blad3!$AC$5,0),0)</f>
        <v>0</v>
      </c>
      <c r="T32"/>
      <c r="U32"/>
      <c r="V32"/>
      <c r="W32"/>
      <c r="X32"/>
      <c r="Y32"/>
      <c r="Z32"/>
      <c r="AA32"/>
    </row>
    <row r="33" spans="1:27" ht="12.75">
      <c r="A33" s="104" t="s">
        <v>27</v>
      </c>
      <c r="B33" s="209" t="s">
        <v>35</v>
      </c>
      <c r="C33" s="33"/>
      <c r="D33" s="33"/>
      <c r="E33" s="20">
        <f t="shared" si="2"/>
        <v>0</v>
      </c>
      <c r="F33" s="33"/>
      <c r="G33" s="33"/>
      <c r="H33" s="226">
        <f t="shared" si="1"/>
        <v>0</v>
      </c>
      <c r="I33" s="92">
        <f>Blad12!B45</f>
        <v>1909.87</v>
      </c>
      <c r="J33" s="92">
        <f>Blad12!C45</f>
        <v>318.17</v>
      </c>
      <c r="K33" s="50">
        <f>ROUND(E33*ROUND(I33*Blad3!$Z$4,2),0)</f>
        <v>0</v>
      </c>
      <c r="L33" s="20">
        <f>ROUND(E33*ROUND(J33*Blad3!$AA$4,2),0)</f>
        <v>0</v>
      </c>
      <c r="M33" s="20">
        <f>ROUND(C33*ROUND(I33*Blad3!$Z$4,2),0)+ROUND(C33*ROUND(J33*Blad3!$AA$4,2),0)</f>
        <v>0</v>
      </c>
      <c r="N33" s="92">
        <f>Blad12!D45</f>
        <v>1941.38</v>
      </c>
      <c r="O33" s="92">
        <f>Blad12!E45</f>
        <v>320.65</v>
      </c>
      <c r="P33" s="20">
        <f>ROUND(($G33)*ROUND(N33*Blad3!$AB$5,0),0)</f>
        <v>0</v>
      </c>
      <c r="Q33" s="20">
        <f>ROUND(($G33)*ROUND(O33*Blad3!$AC$5,0),0)</f>
        <v>0</v>
      </c>
      <c r="R33" s="20">
        <f>ROUND(G33*ROUND(N33*Blad3!$AB$5,0),0)+ROUND(G33*ROUND(O33*Blad3!$AC$5,0),0)</f>
        <v>0</v>
      </c>
      <c r="T33"/>
      <c r="U33"/>
      <c r="V33"/>
      <c r="W33"/>
      <c r="X33"/>
      <c r="Y33"/>
      <c r="Z33"/>
      <c r="AA33"/>
    </row>
    <row r="34" spans="1:27" ht="12.75">
      <c r="A34" s="104" t="s">
        <v>27</v>
      </c>
      <c r="B34" s="209" t="s">
        <v>256</v>
      </c>
      <c r="C34" s="33"/>
      <c r="D34" s="33"/>
      <c r="E34" s="20">
        <f t="shared" si="2"/>
        <v>0</v>
      </c>
      <c r="F34" s="33"/>
      <c r="G34" s="33"/>
      <c r="H34" s="226">
        <f t="shared" si="1"/>
        <v>0</v>
      </c>
      <c r="I34" s="116">
        <f>Blad12!B46</f>
        <v>1909.87</v>
      </c>
      <c r="J34" s="116">
        <f>Blad12!C46</f>
        <v>4397.77</v>
      </c>
      <c r="K34" s="50">
        <f>ROUND(E34*ROUND(I34*Blad3!$Z$4,2),0)</f>
        <v>0</v>
      </c>
      <c r="L34" s="20">
        <f>ROUND(E34*ROUND(J34*Blad3!$AA$4,2),0)</f>
        <v>0</v>
      </c>
      <c r="M34" s="20">
        <f>ROUND(C34*ROUND(I34*Blad3!$Z$4,2),0)+ROUND(C34*ROUND(J34*Blad3!$AA$4,2),0)</f>
        <v>0</v>
      </c>
      <c r="N34" s="92">
        <f>Blad12!D46</f>
        <v>1941.38</v>
      </c>
      <c r="O34" s="92">
        <f>Blad12!E46</f>
        <v>4432.07</v>
      </c>
      <c r="P34" s="20">
        <f>ROUND(($G34)*ROUND(N34*Blad3!$AB$5,0),0)</f>
        <v>0</v>
      </c>
      <c r="Q34" s="20">
        <f>ROUND(($G34)*ROUND(O34*Blad3!$AC$5,0),0)</f>
        <v>0</v>
      </c>
      <c r="R34" s="20">
        <f>ROUND(G34*ROUND(N34*Blad3!$AB$5,0),0)+ROUND(G34*ROUND(O34*Blad3!$AC$5,0),0)</f>
        <v>0</v>
      </c>
      <c r="T34"/>
      <c r="U34"/>
      <c r="V34"/>
      <c r="W34"/>
      <c r="X34"/>
      <c r="Y34"/>
      <c r="Z34"/>
      <c r="AA34"/>
    </row>
    <row r="35" spans="1:27" ht="12.75">
      <c r="A35" s="104" t="s">
        <v>36</v>
      </c>
      <c r="B35" s="209" t="s">
        <v>37</v>
      </c>
      <c r="C35" s="33"/>
      <c r="D35" s="33"/>
      <c r="E35" s="20">
        <f t="shared" si="2"/>
        <v>0</v>
      </c>
      <c r="F35" s="33"/>
      <c r="G35" s="33"/>
      <c r="H35" s="226">
        <f t="shared" si="1"/>
        <v>0</v>
      </c>
      <c r="I35" s="112">
        <f>Blad3!I15</f>
        <v>0</v>
      </c>
      <c r="J35" s="112">
        <f>Blad3!J15</f>
        <v>0</v>
      </c>
      <c r="K35" s="50">
        <f>ROUND(E35*ROUND(I35*Blad3!$Z$4,2),0)</f>
        <v>0</v>
      </c>
      <c r="L35" s="20">
        <f>ROUND(E35*ROUND(J35*Blad3!$AA$4,2),0)</f>
        <v>0</v>
      </c>
      <c r="M35" s="20">
        <f>ROUND(C35*ROUND(I35*Blad3!$Z$4,2),0)+ROUND(C35*ROUND(J35*Blad3!$AA$4,2),0)</f>
        <v>0</v>
      </c>
      <c r="N35" s="146">
        <f>Blad3!N15</f>
        <v>0</v>
      </c>
      <c r="O35" s="146">
        <f>Blad3!O15</f>
        <v>0</v>
      </c>
      <c r="P35" s="20">
        <f>ROUND(($G35)*ROUND(N35*Blad3!$AB$5,0),0)</f>
        <v>0</v>
      </c>
      <c r="Q35" s="20">
        <f>ROUND(($G35)*ROUND(O35*Blad3!$AC$5,0),0)</f>
        <v>0</v>
      </c>
      <c r="R35" s="20">
        <f>ROUND(G35*ROUND(N35*Blad3!$AB$5,0),0)+ROUND(G35*ROUND(O35*Blad3!$AC$5,0),0)</f>
        <v>0</v>
      </c>
      <c r="T35"/>
      <c r="U35"/>
      <c r="V35"/>
      <c r="W35"/>
      <c r="X35"/>
      <c r="Y35"/>
      <c r="Z35"/>
      <c r="AA35"/>
    </row>
    <row r="36" spans="2:27" ht="12.75">
      <c r="B36" s="5"/>
      <c r="C36" s="17"/>
      <c r="D36" s="17"/>
      <c r="E36" s="17"/>
      <c r="F36" s="17"/>
      <c r="G36" s="17"/>
      <c r="H36" s="17"/>
      <c r="I36" s="111"/>
      <c r="J36" s="111"/>
      <c r="K36" s="108"/>
      <c r="L36" s="108"/>
      <c r="M36" s="19"/>
      <c r="N36" s="108"/>
      <c r="O36" s="108"/>
      <c r="P36" s="19"/>
      <c r="Q36" s="19"/>
      <c r="R36" s="19"/>
      <c r="T36"/>
      <c r="U36"/>
      <c r="V36"/>
      <c r="W36"/>
      <c r="X36"/>
      <c r="Y36"/>
      <c r="Z36"/>
      <c r="AA36"/>
    </row>
    <row r="37" spans="1:27" ht="12.75">
      <c r="A37" t="s">
        <v>241</v>
      </c>
      <c r="B37" s="5"/>
      <c r="C37" s="17"/>
      <c r="D37" s="17"/>
      <c r="E37" s="17"/>
      <c r="F37" s="17"/>
      <c r="G37" s="17"/>
      <c r="H37" s="17"/>
      <c r="I37" s="111"/>
      <c r="J37" s="111"/>
      <c r="K37" s="20">
        <f>SUM(K7:K35)</f>
        <v>0</v>
      </c>
      <c r="L37" s="20">
        <f>SUM(L7:L35)</f>
        <v>0</v>
      </c>
      <c r="M37" s="143">
        <f>SUM(M7:M35)</f>
        <v>0</v>
      </c>
      <c r="N37" s="179"/>
      <c r="O37" s="180"/>
      <c r="P37" s="144">
        <f>SUM(P7:P35)</f>
        <v>0</v>
      </c>
      <c r="Q37" s="20">
        <f>SUM(Q7:Q35)</f>
        <v>0</v>
      </c>
      <c r="R37" s="20">
        <f>SUM(R7:R35)</f>
        <v>0</v>
      </c>
      <c r="T37"/>
      <c r="U37"/>
      <c r="V37"/>
      <c r="W37"/>
      <c r="X37"/>
      <c r="Y37"/>
      <c r="Z37"/>
      <c r="AA37"/>
    </row>
    <row r="38" spans="2:27" ht="12.75">
      <c r="B38" s="5"/>
      <c r="C38" s="17"/>
      <c r="D38" s="17"/>
      <c r="E38" s="17"/>
      <c r="F38" s="17"/>
      <c r="G38" s="17"/>
      <c r="H38" s="17"/>
      <c r="I38" s="111"/>
      <c r="J38" s="111"/>
      <c r="K38" s="26"/>
      <c r="L38" s="26"/>
      <c r="M38" s="26"/>
      <c r="N38" s="103"/>
      <c r="O38" s="103"/>
      <c r="P38" s="26"/>
      <c r="Q38" s="26"/>
      <c r="R38" s="26"/>
      <c r="T38"/>
      <c r="U38"/>
      <c r="V38"/>
      <c r="W38"/>
      <c r="X38"/>
      <c r="Y38"/>
      <c r="Z38"/>
      <c r="AA38"/>
    </row>
    <row r="39" spans="1:18" ht="15" customHeight="1">
      <c r="A39" s="313" t="s">
        <v>525</v>
      </c>
      <c r="B39" s="191"/>
      <c r="C39" s="108"/>
      <c r="D39" s="108"/>
      <c r="E39" s="108"/>
      <c r="F39" s="108"/>
      <c r="G39" s="108"/>
      <c r="H39" s="108"/>
      <c r="I39" s="111"/>
      <c r="J39" s="111"/>
      <c r="K39" s="108"/>
      <c r="L39" s="108"/>
      <c r="M39" s="108"/>
      <c r="N39" s="108"/>
      <c r="O39" s="17"/>
      <c r="P39" s="17"/>
      <c r="Q39" s="17"/>
      <c r="R39" s="17"/>
    </row>
    <row r="40" spans="2:27" ht="12.75">
      <c r="B40" s="5"/>
      <c r="C40" s="17"/>
      <c r="D40" s="17"/>
      <c r="E40" s="17"/>
      <c r="F40" s="17"/>
      <c r="G40" s="17"/>
      <c r="H40" s="17"/>
      <c r="I40" s="111"/>
      <c r="J40" s="111"/>
      <c r="K40" s="108"/>
      <c r="L40" s="108"/>
      <c r="M40" s="108"/>
      <c r="N40" s="108"/>
      <c r="O40" s="108"/>
      <c r="P40" s="104"/>
      <c r="T40"/>
      <c r="U40"/>
      <c r="V40"/>
      <c r="W40"/>
      <c r="X40"/>
      <c r="Y40"/>
      <c r="Z40"/>
      <c r="AA40"/>
    </row>
    <row r="41" spans="1:27" s="65" customFormat="1" ht="12.75">
      <c r="A41" s="104" t="s">
        <v>273</v>
      </c>
      <c r="B41" s="191"/>
      <c r="C41" s="108"/>
      <c r="D41" s="108"/>
      <c r="E41" s="108"/>
      <c r="F41" s="108"/>
      <c r="G41" s="108"/>
      <c r="H41" s="108"/>
      <c r="I41" s="111"/>
      <c r="J41" s="111"/>
      <c r="K41" s="108"/>
      <c r="L41" s="108"/>
      <c r="M41" s="108"/>
      <c r="N41" s="108"/>
      <c r="O41" s="108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</row>
    <row r="42" spans="1:27" s="65" customFormat="1" ht="12.75">
      <c r="A42" s="104" t="s">
        <v>512</v>
      </c>
      <c r="B42" s="191"/>
      <c r="C42" s="108"/>
      <c r="D42" s="108"/>
      <c r="E42" s="108"/>
      <c r="F42" s="108"/>
      <c r="G42" s="108"/>
      <c r="H42" s="108"/>
      <c r="I42" s="111"/>
      <c r="J42" s="111"/>
      <c r="K42" s="108"/>
      <c r="L42" s="108"/>
      <c r="M42" s="108"/>
      <c r="N42" s="108"/>
      <c r="O42" s="108"/>
      <c r="P42" s="104"/>
      <c r="Q42" s="104"/>
      <c r="R42" s="106"/>
      <c r="S42" s="104"/>
      <c r="T42" s="104"/>
      <c r="U42" s="104"/>
      <c r="V42" s="104"/>
      <c r="W42" s="104"/>
      <c r="X42" s="104"/>
      <c r="Y42" s="104"/>
      <c r="Z42" s="104"/>
      <c r="AA42" s="104"/>
    </row>
    <row r="43" spans="1:27" ht="12.75">
      <c r="A43" s="104"/>
      <c r="B43" s="5"/>
      <c r="C43" s="17"/>
      <c r="D43" s="17"/>
      <c r="E43" s="17"/>
      <c r="F43" s="17"/>
      <c r="G43" s="17"/>
      <c r="H43" s="17"/>
      <c r="I43" s="111"/>
      <c r="J43" s="111"/>
      <c r="K43" s="108"/>
      <c r="L43" s="108"/>
      <c r="M43" s="108"/>
      <c r="N43" s="108"/>
      <c r="O43" s="108"/>
      <c r="P43" s="104"/>
      <c r="R43" s="1"/>
      <c r="T43"/>
      <c r="U43"/>
      <c r="V43"/>
      <c r="W43"/>
      <c r="X43"/>
      <c r="Y43"/>
      <c r="Z43"/>
      <c r="AA43"/>
    </row>
    <row r="44" spans="1:27" ht="12.75">
      <c r="A44" s="104" t="s">
        <v>343</v>
      </c>
      <c r="B44" s="5"/>
      <c r="C44" s="17"/>
      <c r="D44" s="17"/>
      <c r="E44" s="17"/>
      <c r="F44" s="17"/>
      <c r="G44" s="17"/>
      <c r="H44" s="17"/>
      <c r="I44" s="111"/>
      <c r="J44" s="111"/>
      <c r="K44" s="108"/>
      <c r="L44" s="108"/>
      <c r="M44" s="108"/>
      <c r="N44" s="108"/>
      <c r="O44" s="108"/>
      <c r="P44" s="104"/>
      <c r="R44" s="1"/>
      <c r="T44"/>
      <c r="U44"/>
      <c r="V44"/>
      <c r="W44"/>
      <c r="X44"/>
      <c r="Y44"/>
      <c r="Z44"/>
      <c r="AA44"/>
    </row>
    <row r="45" spans="1:27" ht="12.75">
      <c r="A45" s="104" t="s">
        <v>344</v>
      </c>
      <c r="B45" s="5"/>
      <c r="C45" s="17"/>
      <c r="D45" s="17"/>
      <c r="E45" s="17"/>
      <c r="F45" s="17"/>
      <c r="G45" s="17"/>
      <c r="H45" s="17"/>
      <c r="I45" s="111"/>
      <c r="J45" s="111"/>
      <c r="K45" s="108"/>
      <c r="L45" s="108"/>
      <c r="M45" s="108"/>
      <c r="N45" s="108"/>
      <c r="O45" s="108"/>
      <c r="P45" s="104"/>
      <c r="R45" s="1"/>
      <c r="T45"/>
      <c r="U45"/>
      <c r="V45"/>
      <c r="W45"/>
      <c r="X45"/>
      <c r="Y45"/>
      <c r="Z45"/>
      <c r="AA45"/>
    </row>
    <row r="46" spans="1:27" ht="12.75">
      <c r="A46" s="104" t="s">
        <v>474</v>
      </c>
      <c r="B46" s="5"/>
      <c r="C46" s="17"/>
      <c r="D46" s="17"/>
      <c r="E46" s="17"/>
      <c r="F46" s="17"/>
      <c r="G46" s="17"/>
      <c r="H46" s="17"/>
      <c r="I46" s="111"/>
      <c r="J46" s="111"/>
      <c r="K46" s="108"/>
      <c r="L46" s="108"/>
      <c r="M46" s="108"/>
      <c r="N46" s="108"/>
      <c r="O46" s="108"/>
      <c r="P46" s="104"/>
      <c r="R46" s="1"/>
      <c r="T46"/>
      <c r="U46"/>
      <c r="V46"/>
      <c r="W46"/>
      <c r="X46"/>
      <c r="Y46"/>
      <c r="Z46"/>
      <c r="AA46"/>
    </row>
    <row r="47" spans="1:27" ht="12.75">
      <c r="A47" s="104" t="s">
        <v>274</v>
      </c>
      <c r="B47" s="5"/>
      <c r="C47" s="17"/>
      <c r="D47" s="17"/>
      <c r="E47" s="17"/>
      <c r="F47" s="17"/>
      <c r="G47" s="17"/>
      <c r="H47" s="17"/>
      <c r="I47" s="111"/>
      <c r="J47" s="111"/>
      <c r="K47" s="108"/>
      <c r="L47" s="108"/>
      <c r="M47" s="108"/>
      <c r="N47" s="108"/>
      <c r="O47" s="108"/>
      <c r="P47" s="104"/>
      <c r="R47" s="1"/>
      <c r="T47"/>
      <c r="U47"/>
      <c r="V47"/>
      <c r="W47"/>
      <c r="X47"/>
      <c r="Y47"/>
      <c r="Z47"/>
      <c r="AA47"/>
    </row>
    <row r="48" spans="1:27" ht="12.75">
      <c r="A48" s="65"/>
      <c r="B48" s="5"/>
      <c r="C48" s="17"/>
      <c r="D48" s="17"/>
      <c r="E48" s="17"/>
      <c r="F48" s="17"/>
      <c r="G48" s="17"/>
      <c r="H48" s="17"/>
      <c r="I48" s="111"/>
      <c r="J48" s="111"/>
      <c r="K48" s="108"/>
      <c r="L48" s="108"/>
      <c r="M48" s="108"/>
      <c r="N48" s="108"/>
      <c r="O48" s="108"/>
      <c r="P48" s="104"/>
      <c r="R48" s="1"/>
      <c r="T48"/>
      <c r="U48"/>
      <c r="V48"/>
      <c r="W48"/>
      <c r="X48"/>
      <c r="Y48"/>
      <c r="Z48"/>
      <c r="AA48"/>
    </row>
    <row r="49" spans="1:27" ht="12.75">
      <c r="A49" s="104" t="s">
        <v>261</v>
      </c>
      <c r="B49" s="5"/>
      <c r="C49" s="17"/>
      <c r="D49" s="17"/>
      <c r="E49" s="17"/>
      <c r="F49" s="17"/>
      <c r="G49" s="17"/>
      <c r="H49" s="17"/>
      <c r="I49" s="111"/>
      <c r="J49" s="111"/>
      <c r="K49" s="108"/>
      <c r="L49" s="108"/>
      <c r="M49" s="108"/>
      <c r="N49" s="108"/>
      <c r="O49" s="108"/>
      <c r="P49" s="104"/>
      <c r="T49"/>
      <c r="U49"/>
      <c r="V49"/>
      <c r="W49"/>
      <c r="X49"/>
      <c r="Y49"/>
      <c r="Z49"/>
      <c r="AA49"/>
    </row>
    <row r="50" spans="1:27" ht="12.75">
      <c r="A50" s="104" t="s">
        <v>272</v>
      </c>
      <c r="B50" s="5"/>
      <c r="C50" s="17"/>
      <c r="D50" s="17"/>
      <c r="E50" s="17"/>
      <c r="F50" s="17"/>
      <c r="G50" s="17"/>
      <c r="H50" s="17"/>
      <c r="I50" s="111"/>
      <c r="J50" s="111"/>
      <c r="K50" s="108"/>
      <c r="L50" s="108"/>
      <c r="M50" s="108"/>
      <c r="N50" s="108"/>
      <c r="O50" s="108"/>
      <c r="P50" s="104"/>
      <c r="T50"/>
      <c r="U50"/>
      <c r="V50"/>
      <c r="W50"/>
      <c r="X50"/>
      <c r="Y50"/>
      <c r="Z50"/>
      <c r="AA50"/>
    </row>
    <row r="51" spans="1:27" ht="12.75">
      <c r="A51" s="104" t="s">
        <v>345</v>
      </c>
      <c r="B51" s="5"/>
      <c r="C51" s="17"/>
      <c r="D51" s="17"/>
      <c r="E51" s="17"/>
      <c r="F51" s="17"/>
      <c r="G51" s="17"/>
      <c r="H51" s="17"/>
      <c r="I51" s="111"/>
      <c r="J51" s="111"/>
      <c r="K51" s="108"/>
      <c r="L51" s="108"/>
      <c r="M51" s="108"/>
      <c r="N51" s="108"/>
      <c r="O51" s="108"/>
      <c r="P51" s="104"/>
      <c r="T51"/>
      <c r="U51"/>
      <c r="V51"/>
      <c r="W51"/>
      <c r="X51"/>
      <c r="Y51"/>
      <c r="Z51"/>
      <c r="AA51"/>
    </row>
    <row r="52" spans="1:24" ht="12.75">
      <c r="A52" s="5"/>
      <c r="B52" s="17"/>
      <c r="C52" s="17"/>
      <c r="D52" s="17"/>
      <c r="E52" s="17"/>
      <c r="F52" s="17"/>
      <c r="G52" s="111"/>
      <c r="H52" s="111"/>
      <c r="I52" s="111"/>
      <c r="J52" s="108"/>
      <c r="K52" s="108"/>
      <c r="L52" s="108"/>
      <c r="M52" s="108"/>
      <c r="N52" s="108"/>
      <c r="O52" s="104"/>
      <c r="T52"/>
      <c r="U52"/>
      <c r="V52"/>
      <c r="W52"/>
      <c r="X52"/>
    </row>
    <row r="53" spans="1:24" ht="12.75">
      <c r="A53" s="5"/>
      <c r="B53" s="17"/>
      <c r="C53" s="17"/>
      <c r="D53" s="17"/>
      <c r="E53" s="17"/>
      <c r="F53" s="17"/>
      <c r="G53" s="111"/>
      <c r="H53" s="111"/>
      <c r="I53" s="111"/>
      <c r="J53" s="108"/>
      <c r="K53" s="108"/>
      <c r="L53" s="108"/>
      <c r="M53" s="108"/>
      <c r="N53" s="108"/>
      <c r="O53" s="104"/>
      <c r="T53"/>
      <c r="U53"/>
      <c r="V53"/>
      <c r="W53"/>
      <c r="X53"/>
    </row>
    <row r="54" spans="1:24" ht="12.75">
      <c r="A54" s="5"/>
      <c r="B54" s="17"/>
      <c r="C54" s="17"/>
      <c r="D54" s="17"/>
      <c r="E54" s="17"/>
      <c r="F54" s="17"/>
      <c r="G54" s="111"/>
      <c r="H54" s="111"/>
      <c r="I54" s="111"/>
      <c r="J54" s="108"/>
      <c r="K54" s="108"/>
      <c r="L54" s="108"/>
      <c r="M54" s="108"/>
      <c r="N54" s="108"/>
      <c r="O54" s="104"/>
      <c r="T54"/>
      <c r="U54"/>
      <c r="V54"/>
      <c r="W54"/>
      <c r="X54"/>
    </row>
    <row r="55" spans="1:24" ht="12.75">
      <c r="A55" s="5"/>
      <c r="B55" s="17"/>
      <c r="C55" s="17"/>
      <c r="D55" s="17"/>
      <c r="E55" s="17"/>
      <c r="F55" s="17"/>
      <c r="G55" s="111"/>
      <c r="H55" s="111"/>
      <c r="I55" s="111"/>
      <c r="J55" s="108"/>
      <c r="K55" s="108"/>
      <c r="L55" s="108"/>
      <c r="M55" s="108"/>
      <c r="N55" s="108"/>
      <c r="O55" s="104"/>
      <c r="T55"/>
      <c r="U55"/>
      <c r="V55"/>
      <c r="W55"/>
      <c r="X55"/>
    </row>
    <row r="56" spans="1:24" ht="12.75">
      <c r="A56" s="5"/>
      <c r="B56" s="17"/>
      <c r="C56" s="17"/>
      <c r="D56" s="17"/>
      <c r="E56" s="17"/>
      <c r="F56" s="17"/>
      <c r="G56" s="111"/>
      <c r="H56" s="111"/>
      <c r="I56" s="111"/>
      <c r="J56" s="108"/>
      <c r="K56" s="108"/>
      <c r="L56" s="108"/>
      <c r="M56" s="108"/>
      <c r="N56" s="108"/>
      <c r="O56" s="104"/>
      <c r="T56"/>
      <c r="U56"/>
      <c r="V56"/>
      <c r="W56"/>
      <c r="X56"/>
    </row>
    <row r="57" spans="1:24" ht="12.75">
      <c r="A57" s="5"/>
      <c r="B57" s="17"/>
      <c r="C57" s="17"/>
      <c r="D57" s="17"/>
      <c r="E57" s="17"/>
      <c r="F57" s="17"/>
      <c r="G57" s="111"/>
      <c r="H57" s="111"/>
      <c r="I57" s="111"/>
      <c r="J57" s="108"/>
      <c r="K57" s="108"/>
      <c r="L57" s="108"/>
      <c r="M57" s="108"/>
      <c r="N57" s="108"/>
      <c r="O57" s="104"/>
      <c r="T57"/>
      <c r="U57"/>
      <c r="V57"/>
      <c r="W57"/>
      <c r="X57"/>
    </row>
    <row r="58" spans="1:24" ht="12.75">
      <c r="A58" s="5"/>
      <c r="B58" s="17"/>
      <c r="C58" s="17"/>
      <c r="D58" s="17"/>
      <c r="E58" s="17"/>
      <c r="F58" s="17"/>
      <c r="G58" s="111"/>
      <c r="H58" s="111"/>
      <c r="I58" s="111"/>
      <c r="J58" s="108"/>
      <c r="K58" s="108"/>
      <c r="L58" s="108"/>
      <c r="M58" s="108"/>
      <c r="N58" s="108"/>
      <c r="O58" s="104"/>
      <c r="T58"/>
      <c r="U58"/>
      <c r="V58"/>
      <c r="W58"/>
      <c r="X58"/>
    </row>
    <row r="59" spans="1:24" ht="12.75">
      <c r="A59" s="5"/>
      <c r="B59" s="17"/>
      <c r="C59" s="17"/>
      <c r="D59" s="17"/>
      <c r="E59" s="17"/>
      <c r="F59" s="17"/>
      <c r="G59" s="111"/>
      <c r="H59" s="111"/>
      <c r="I59" s="111"/>
      <c r="J59" s="108"/>
      <c r="K59" s="108"/>
      <c r="L59" s="108"/>
      <c r="M59" s="108"/>
      <c r="N59" s="108"/>
      <c r="O59" s="104"/>
      <c r="T59"/>
      <c r="U59"/>
      <c r="V59"/>
      <c r="W59"/>
      <c r="X59"/>
    </row>
    <row r="60" spans="1:24" ht="12.75">
      <c r="A60" s="5"/>
      <c r="B60" s="17"/>
      <c r="C60" s="17"/>
      <c r="D60" s="17"/>
      <c r="E60" s="17"/>
      <c r="F60" s="17"/>
      <c r="G60" s="111"/>
      <c r="H60" s="111"/>
      <c r="I60" s="111"/>
      <c r="J60" s="108"/>
      <c r="K60" s="108"/>
      <c r="L60" s="108"/>
      <c r="M60" s="108"/>
      <c r="N60" s="108"/>
      <c r="O60" s="104"/>
      <c r="T60"/>
      <c r="U60"/>
      <c r="V60"/>
      <c r="W60"/>
      <c r="X60"/>
    </row>
    <row r="61" spans="1:24" ht="12.75">
      <c r="A61" s="5"/>
      <c r="B61" s="17"/>
      <c r="C61" s="17"/>
      <c r="D61" s="17"/>
      <c r="E61" s="17"/>
      <c r="F61" s="17"/>
      <c r="G61" s="111"/>
      <c r="H61" s="111"/>
      <c r="I61" s="111"/>
      <c r="J61" s="108"/>
      <c r="K61" s="108"/>
      <c r="L61" s="108"/>
      <c r="M61" s="108"/>
      <c r="N61" s="108"/>
      <c r="O61" s="104"/>
      <c r="T61"/>
      <c r="U61"/>
      <c r="V61"/>
      <c r="W61"/>
      <c r="X61"/>
    </row>
    <row r="62" spans="1:24" ht="12.75">
      <c r="A62" s="5"/>
      <c r="B62" s="17"/>
      <c r="C62" s="17"/>
      <c r="D62" s="17"/>
      <c r="E62" s="17"/>
      <c r="F62" s="17"/>
      <c r="G62" s="111"/>
      <c r="H62" s="111"/>
      <c r="I62" s="111"/>
      <c r="J62" s="108"/>
      <c r="K62" s="108"/>
      <c r="L62" s="108"/>
      <c r="M62" s="108"/>
      <c r="N62" s="108"/>
      <c r="O62" s="104"/>
      <c r="T62"/>
      <c r="U62"/>
      <c r="V62"/>
      <c r="W62"/>
      <c r="X62"/>
    </row>
    <row r="63" spans="1:24" ht="12.75">
      <c r="A63" s="5"/>
      <c r="B63" s="17"/>
      <c r="C63" s="17"/>
      <c r="D63" s="17"/>
      <c r="E63" s="17"/>
      <c r="F63" s="17"/>
      <c r="G63" s="111"/>
      <c r="H63" s="111"/>
      <c r="I63" s="111"/>
      <c r="J63" s="108"/>
      <c r="K63" s="108"/>
      <c r="L63" s="108"/>
      <c r="M63" s="108"/>
      <c r="N63" s="108"/>
      <c r="O63" s="104"/>
      <c r="T63"/>
      <c r="U63"/>
      <c r="V63"/>
      <c r="W63"/>
      <c r="X63"/>
    </row>
    <row r="64" spans="1:24" ht="12.75">
      <c r="A64" s="30"/>
      <c r="B64" s="30"/>
      <c r="C64" s="30"/>
      <c r="D64" s="30"/>
      <c r="E64" s="30"/>
      <c r="F64" s="30"/>
      <c r="G64" s="65"/>
      <c r="H64" s="65"/>
      <c r="I64" s="65"/>
      <c r="J64" s="65"/>
      <c r="K64" s="65"/>
      <c r="L64" s="65"/>
      <c r="M64" s="65"/>
      <c r="N64" s="65"/>
      <c r="O64" s="65"/>
      <c r="P64" s="30"/>
      <c r="T64"/>
      <c r="U64"/>
      <c r="V64"/>
      <c r="W64"/>
      <c r="X64"/>
    </row>
    <row r="65" spans="1:24" ht="12.75">
      <c r="A65" s="30"/>
      <c r="B65" s="30"/>
      <c r="C65" s="30"/>
      <c r="D65" s="30"/>
      <c r="E65" s="30"/>
      <c r="F65" s="30"/>
      <c r="G65" s="65"/>
      <c r="H65" s="65"/>
      <c r="I65" s="65"/>
      <c r="J65" s="30"/>
      <c r="K65" s="30"/>
      <c r="L65" s="30"/>
      <c r="M65" s="30"/>
      <c r="N65" s="30"/>
      <c r="O65" s="30"/>
      <c r="P65" s="30"/>
      <c r="T65"/>
      <c r="U65"/>
      <c r="V65"/>
      <c r="W65"/>
      <c r="X65"/>
    </row>
    <row r="66" spans="1:24" ht="12.75">
      <c r="A66" s="30"/>
      <c r="B66" s="30"/>
      <c r="C66" s="30"/>
      <c r="D66" s="30"/>
      <c r="E66" s="30"/>
      <c r="F66" s="30"/>
      <c r="G66" s="65"/>
      <c r="H66" s="65"/>
      <c r="I66" s="65"/>
      <c r="J66" s="30"/>
      <c r="K66" s="30"/>
      <c r="L66" s="30"/>
      <c r="M66" s="30"/>
      <c r="N66" s="30"/>
      <c r="O66" s="30"/>
      <c r="P66" s="30"/>
      <c r="T66"/>
      <c r="U66"/>
      <c r="V66"/>
      <c r="W66"/>
      <c r="X66"/>
    </row>
    <row r="67" spans="1:24" ht="12.75">
      <c r="A67" s="30"/>
      <c r="B67" s="30"/>
      <c r="C67" s="30"/>
      <c r="D67" s="30"/>
      <c r="E67" s="30"/>
      <c r="F67" s="30"/>
      <c r="G67" s="65"/>
      <c r="H67" s="65"/>
      <c r="I67" s="65"/>
      <c r="J67" s="30"/>
      <c r="K67" s="30"/>
      <c r="L67" s="30"/>
      <c r="M67" s="30"/>
      <c r="N67" s="30"/>
      <c r="O67" s="30"/>
      <c r="P67" s="30"/>
      <c r="T67"/>
      <c r="U67"/>
      <c r="V67"/>
      <c r="W67"/>
      <c r="X67"/>
    </row>
    <row r="68" spans="1:24" ht="12.75">
      <c r="A68" s="30"/>
      <c r="B68" s="30"/>
      <c r="C68" s="30"/>
      <c r="D68" s="30"/>
      <c r="E68" s="30"/>
      <c r="F68" s="30"/>
      <c r="G68" s="65"/>
      <c r="H68" s="65"/>
      <c r="I68" s="65"/>
      <c r="J68" s="30"/>
      <c r="K68" s="30"/>
      <c r="L68" s="30"/>
      <c r="M68" s="30"/>
      <c r="N68" s="30"/>
      <c r="O68" s="30"/>
      <c r="P68" s="30"/>
      <c r="T68"/>
      <c r="U68"/>
      <c r="V68"/>
      <c r="W68"/>
      <c r="X68"/>
    </row>
    <row r="69" spans="1:25" ht="12.75">
      <c r="A69" s="30"/>
      <c r="B69" s="30"/>
      <c r="C69" s="30"/>
      <c r="D69" s="30"/>
      <c r="E69" s="30"/>
      <c r="F69" s="30"/>
      <c r="G69" s="30"/>
      <c r="H69" s="30"/>
      <c r="I69" s="65"/>
      <c r="J69" s="65"/>
      <c r="K69" s="30"/>
      <c r="L69" s="30"/>
      <c r="M69" s="30"/>
      <c r="N69" s="30"/>
      <c r="O69" s="30"/>
      <c r="P69" s="30"/>
      <c r="Q69" s="30"/>
      <c r="T69"/>
      <c r="U69"/>
      <c r="V69"/>
      <c r="W69"/>
      <c r="X69"/>
      <c r="Y69"/>
    </row>
    <row r="70" spans="1:25" ht="12.75">
      <c r="A70" s="30"/>
      <c r="B70" s="30"/>
      <c r="C70" s="30"/>
      <c r="D70" s="30"/>
      <c r="E70" s="30"/>
      <c r="F70" s="30"/>
      <c r="G70" s="30"/>
      <c r="H70" s="30"/>
      <c r="I70" s="65"/>
      <c r="J70" s="65"/>
      <c r="K70" s="30"/>
      <c r="L70" s="30"/>
      <c r="M70" s="30"/>
      <c r="N70" s="30"/>
      <c r="O70" s="30"/>
      <c r="P70" s="30"/>
      <c r="Q70" s="30"/>
      <c r="T70"/>
      <c r="U70"/>
      <c r="V70"/>
      <c r="W70"/>
      <c r="X70"/>
      <c r="Y70"/>
    </row>
    <row r="71" spans="1:25" ht="12.75">
      <c r="A71" s="30"/>
      <c r="B71" s="30"/>
      <c r="C71" s="30"/>
      <c r="D71" s="30"/>
      <c r="E71" s="30"/>
      <c r="F71" s="30"/>
      <c r="G71" s="30"/>
      <c r="H71" s="30"/>
      <c r="I71" s="65"/>
      <c r="J71" s="65"/>
      <c r="K71" s="30"/>
      <c r="L71" s="30"/>
      <c r="M71" s="30"/>
      <c r="N71" s="30"/>
      <c r="O71" s="30"/>
      <c r="P71" s="30"/>
      <c r="Q71" s="30"/>
      <c r="T71"/>
      <c r="U71"/>
      <c r="V71"/>
      <c r="W71"/>
      <c r="X71"/>
      <c r="Y71"/>
    </row>
    <row r="72" spans="1:25" ht="12.75">
      <c r="A72" s="30"/>
      <c r="B72" s="30"/>
      <c r="C72" s="30"/>
      <c r="D72" s="30"/>
      <c r="E72" s="30"/>
      <c r="F72" s="30"/>
      <c r="G72" s="30"/>
      <c r="H72" s="30"/>
      <c r="I72" s="65"/>
      <c r="J72" s="65"/>
      <c r="K72" s="30"/>
      <c r="L72" s="30"/>
      <c r="M72" s="30"/>
      <c r="N72" s="30"/>
      <c r="O72" s="30"/>
      <c r="P72" s="30"/>
      <c r="Q72" s="30"/>
      <c r="T72"/>
      <c r="U72"/>
      <c r="V72"/>
      <c r="W72"/>
      <c r="X72"/>
      <c r="Y72"/>
    </row>
    <row r="73" spans="1:25" ht="12.75">
      <c r="A73" s="30"/>
      <c r="B73" s="30"/>
      <c r="C73" s="30"/>
      <c r="D73" s="30"/>
      <c r="E73" s="30"/>
      <c r="F73" s="30"/>
      <c r="G73" s="30"/>
      <c r="H73" s="30"/>
      <c r="I73" s="65"/>
      <c r="J73" s="65"/>
      <c r="K73" s="30"/>
      <c r="L73" s="30"/>
      <c r="M73" s="30"/>
      <c r="N73" s="30"/>
      <c r="O73" s="30"/>
      <c r="P73" s="30"/>
      <c r="Q73" s="30"/>
      <c r="T73"/>
      <c r="U73"/>
      <c r="V73"/>
      <c r="W73"/>
      <c r="X73"/>
      <c r="Y73"/>
    </row>
    <row r="74" spans="1:25" ht="12.75">
      <c r="A74" s="30"/>
      <c r="B74" s="30"/>
      <c r="C74" s="30"/>
      <c r="D74" s="30"/>
      <c r="E74" s="30"/>
      <c r="F74" s="30"/>
      <c r="G74" s="30"/>
      <c r="H74" s="30"/>
      <c r="I74" s="65"/>
      <c r="J74" s="65"/>
      <c r="K74" s="30"/>
      <c r="L74" s="30"/>
      <c r="M74" s="30"/>
      <c r="N74" s="30"/>
      <c r="O74" s="30"/>
      <c r="P74" s="30"/>
      <c r="Q74" s="30"/>
      <c r="T74"/>
      <c r="U74"/>
      <c r="V74"/>
      <c r="W74"/>
      <c r="X74"/>
      <c r="Y74"/>
    </row>
    <row r="75" spans="9:25" ht="12.75">
      <c r="I75" s="104"/>
      <c r="J75" s="104"/>
      <c r="T75"/>
      <c r="U75"/>
      <c r="V75"/>
      <c r="W75"/>
      <c r="X75"/>
      <c r="Y75"/>
    </row>
    <row r="76" spans="9:25" ht="12.75">
      <c r="I76" s="104"/>
      <c r="J76" s="104"/>
      <c r="T76"/>
      <c r="U76"/>
      <c r="V76"/>
      <c r="W76"/>
      <c r="X76"/>
      <c r="Y76"/>
    </row>
    <row r="77" spans="9:19" ht="12.75">
      <c r="I77" s="104"/>
      <c r="J77" s="104"/>
      <c r="R77" s="30"/>
      <c r="S77" s="30"/>
    </row>
    <row r="78" spans="9:19" ht="12.75">
      <c r="I78" s="104"/>
      <c r="J78" s="104"/>
      <c r="R78" s="30"/>
      <c r="S78" s="30"/>
    </row>
    <row r="79" spans="18:19" ht="12.75">
      <c r="R79" s="30"/>
      <c r="S79" s="30"/>
    </row>
    <row r="80" spans="18:19" ht="12.75">
      <c r="R80" s="30"/>
      <c r="S80" s="30"/>
    </row>
    <row r="81" spans="18:19" ht="12.75">
      <c r="R81" s="30"/>
      <c r="S81" s="30"/>
    </row>
    <row r="82" spans="18:19" ht="12.75">
      <c r="R82" s="30"/>
      <c r="S82" s="30"/>
    </row>
    <row r="83" spans="18:19" ht="12.75">
      <c r="R83" s="30"/>
      <c r="S83" s="30"/>
    </row>
    <row r="84" spans="18:19" ht="12.75">
      <c r="R84" s="30"/>
      <c r="S84" s="30"/>
    </row>
    <row r="85" spans="18:19" ht="12.75">
      <c r="R85" s="30"/>
      <c r="S85" s="30"/>
    </row>
    <row r="86" spans="18:19" ht="12.75">
      <c r="R86" s="30"/>
      <c r="S86" s="30"/>
    </row>
    <row r="87" spans="18:19" ht="12.75">
      <c r="R87" s="30"/>
      <c r="S87" s="30"/>
    </row>
  </sheetData>
  <sheetProtection password="CDFB" sheet="1" objects="1" scenarios="1"/>
  <mergeCells count="1">
    <mergeCell ref="N3:P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0" r:id="rId1"/>
  <headerFooter alignWithMargins="0">
    <oddFooter>&amp;Rblad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 05 02c-b1</dc:title>
  <dc:subject/>
  <dc:creator/>
  <cp:keywords/>
  <dc:description/>
  <cp:lastModifiedBy>kx17</cp:lastModifiedBy>
  <cp:lastPrinted>2005-01-24T08:02:37Z</cp:lastPrinted>
  <dcterms:created xsi:type="dcterms:W3CDTF">2001-02-02T19:26:46Z</dcterms:created>
  <dcterms:modified xsi:type="dcterms:W3CDTF">2005-02-28T13:32:40Z</dcterms:modified>
  <cp:category>Productieafspraken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1596368610</vt:i4>
  </property>
  <property fmtid="{D5CDD505-2E9C-101B-9397-08002B2CF9AE}" pid="3" name="_EmailSubject">
    <vt:lpwstr>Nieuwe versie</vt:lpwstr>
  </property>
  <property fmtid="{D5CDD505-2E9C-101B-9397-08002B2CF9AE}" pid="4" name="_AuthorEmail">
    <vt:lpwstr>AMeestOever@ctg-zaio.nl</vt:lpwstr>
  </property>
  <property fmtid="{D5CDD505-2E9C-101B-9397-08002B2CF9AE}" pid="5" name="_AuthorEmailDisplayName">
    <vt:lpwstr>Mees ten Oever, Annemarie</vt:lpwstr>
  </property>
  <property fmtid="{D5CDD505-2E9C-101B-9397-08002B2CF9AE}" pid="6" name="_PreviousAdHocReviewCycleID">
    <vt:i4>44279989</vt:i4>
  </property>
  <property fmtid="{D5CDD505-2E9C-101B-9397-08002B2CF9AE}" pid="7" name="_dlc_DocId">
    <vt:lpwstr>THRFR6N5WDQ4-19-11397</vt:lpwstr>
  </property>
  <property fmtid="{D5CDD505-2E9C-101B-9397-08002B2CF9AE}" pid="8" name="_dlc_DocIdItemGuid">
    <vt:lpwstr>136dac09-23c3-48f4-a37e-859c3372f36d</vt:lpwstr>
  </property>
  <property fmtid="{D5CDD505-2E9C-101B-9397-08002B2CF9AE}" pid="9" name="_dlc_DocIdUrl">
    <vt:lpwstr>http://kennisnet.nza.nl/publicaties/Aanleveren/_layouts/DocIdRedir.aspx?ID=THRFR6N5WDQ4-19-11397, THRFR6N5WDQ4-19-11397</vt:lpwstr>
  </property>
  <property fmtid="{D5CDD505-2E9C-101B-9397-08002B2CF9AE}" pid="10" name="WorkflowChangePath">
    <vt:lpwstr>ae6988f9-ea4d-431a-a1d2-bb29c825ae5e,5;ae6988f9-ea4d-431a-a1d2-bb29c825ae5e,5;ae6988f9-ea4d-431a-a1d2-bb29c825ae5e,5;ae6988f9-ea4d-431a-a1d2-bb29c825ae5e,5;ae6988f9-ea4d-431a-a1d2-bb29c825ae5e,5;ae6988f9-ea4d-431a-a1d2-bb29c825ae5e,10;ae6988f9-ea4d-431a-a</vt:lpwstr>
  </property>
  <property fmtid="{D5CDD505-2E9C-101B-9397-08002B2CF9AE}" pid="11" name="NZa-zoekwoordenMetadata">
    <vt:lpwstr/>
  </property>
  <property fmtid="{D5CDD505-2E9C-101B-9397-08002B2CF9AE}" pid="12" name="VerzondenAanMetadata">
    <vt:lpwstr/>
  </property>
  <property fmtid="{D5CDD505-2E9C-101B-9397-08002B2CF9AE}" pid="13" name="Sector(en)Metadata">
    <vt:lpwstr/>
  </property>
  <property fmtid="{D5CDD505-2E9C-101B-9397-08002B2CF9AE}" pid="14" name="DocumentTypeMetadata">
    <vt:lpwstr>Bijlage|5bf77c6e-b0b2-45e1-a13a-aadc6364942c</vt:lpwstr>
  </property>
  <property fmtid="{D5CDD505-2E9C-101B-9397-08002B2CF9AE}" pid="15" name="ExtraZoekwoordenMetadata">
    <vt:lpwstr/>
  </property>
  <property fmtid="{D5CDD505-2E9C-101B-9397-08002B2CF9AE}" pid="16" name="Hoofdtekst">
    <vt:lpwstr/>
  </property>
  <property fmtid="{D5CDD505-2E9C-101B-9397-08002B2CF9AE}" pid="17" name="j85cec29e8c24b8a90feb8db203ff7e2">
    <vt:lpwstr/>
  </property>
  <property fmtid="{D5CDD505-2E9C-101B-9397-08002B2CF9AE}" pid="18" name="BVergaderstukMetadata">
    <vt:lpwstr/>
  </property>
  <property fmtid="{D5CDD505-2E9C-101B-9397-08002B2CF9AE}" pid="19" name="DocumentTypen">
    <vt:lpwstr>106;#Bijlage|5bf77c6e-b0b2-45e1-a13a-aadc6364942c</vt:lpwstr>
  </property>
  <property fmtid="{D5CDD505-2E9C-101B-9397-08002B2CF9AE}" pid="20" name="Sector(en)">
    <vt:lpwstr/>
  </property>
  <property fmtid="{D5CDD505-2E9C-101B-9397-08002B2CF9AE}" pid="21" name="VoorgangersMetadata">
    <vt:lpwstr/>
  </property>
  <property fmtid="{D5CDD505-2E9C-101B-9397-08002B2CF9AE}" pid="22" name="BPrestatiebeschrijvingMetadata">
    <vt:lpwstr/>
  </property>
  <property fmtid="{D5CDD505-2E9C-101B-9397-08002B2CF9AE}" pid="23" name="Heeft dit stuk bijlage(n)?">
    <vt:lpwstr>0</vt:lpwstr>
  </property>
  <property fmtid="{D5CDD505-2E9C-101B-9397-08002B2CF9AE}" pid="24" name="Publicatiedatum">
    <vt:lpwstr>2007-02-14T00:00:00Z</vt:lpwstr>
  </property>
  <property fmtid="{D5CDD505-2E9C-101B-9397-08002B2CF9AE}" pid="25" name="NZa-documentnummer">
    <vt:lpwstr/>
  </property>
  <property fmtid="{D5CDD505-2E9C-101B-9397-08002B2CF9AE}" pid="26" name="BTariefMetadata">
    <vt:lpwstr/>
  </property>
  <property fmtid="{D5CDD505-2E9C-101B-9397-08002B2CF9AE}" pid="27" name="BBesluitMetadata">
    <vt:lpwstr/>
  </property>
  <property fmtid="{D5CDD505-2E9C-101B-9397-08002B2CF9AE}" pid="28" name="NZa-zoekwoorden">
    <vt:lpwstr/>
  </property>
  <property fmtid="{D5CDD505-2E9C-101B-9397-08002B2CF9AE}" pid="29" name="BNadereRegelMetadata">
    <vt:lpwstr/>
  </property>
  <property fmtid="{D5CDD505-2E9C-101B-9397-08002B2CF9AE}" pid="30" name="Extra zoekwoorden">
    <vt:lpwstr/>
  </property>
  <property fmtid="{D5CDD505-2E9C-101B-9397-08002B2CF9AE}" pid="31" name="Ingetrokken?">
    <vt:lpwstr>Nee</vt:lpwstr>
  </property>
  <property fmtid="{D5CDD505-2E9C-101B-9397-08002B2CF9AE}" pid="32" name="me0f0aaf77cd4640acf557f58a1d2cc0">
    <vt:lpwstr>Bijlage|5bf77c6e-b0b2-45e1-a13a-aadc6364942c</vt:lpwstr>
  </property>
  <property fmtid="{D5CDD505-2E9C-101B-9397-08002B2CF9AE}" pid="33" name="n407de7a4204433984b2eeeaba786d56">
    <vt:lpwstr/>
  </property>
  <property fmtid="{D5CDD505-2E9C-101B-9397-08002B2CF9AE}" pid="34" name="l24ea505ea8d4be1bd84e8204c620c6c">
    <vt:lpwstr/>
  </property>
  <property fmtid="{D5CDD505-2E9C-101B-9397-08002B2CF9AE}" pid="35" name="BPublicatieMetadata">
    <vt:lpwstr/>
  </property>
  <property fmtid="{D5CDD505-2E9C-101B-9397-08002B2CF9AE}" pid="36" name="TaxCatchAll">
    <vt:lpwstr>106;#Bijlage|5bf77c6e-b0b2-45e1-a13a-aadc6364942c</vt:lpwstr>
  </property>
  <property fmtid="{D5CDD505-2E9C-101B-9397-08002B2CF9AE}" pid="37" name="Intro">
    <vt:lpwstr/>
  </property>
  <property fmtid="{D5CDD505-2E9C-101B-9397-08002B2CF9AE}" pid="38" name="Verzonden aan">
    <vt:lpwstr/>
  </property>
  <property fmtid="{D5CDD505-2E9C-101B-9397-08002B2CF9AE}" pid="39" name="BCirculaireMetadata">
    <vt:lpwstr/>
  </property>
  <property fmtid="{D5CDD505-2E9C-101B-9397-08002B2CF9AE}" pid="40" name="BFormulierMetadata">
    <vt:lpwstr/>
  </property>
  <property fmtid="{D5CDD505-2E9C-101B-9397-08002B2CF9AE}" pid="41" name="BBijlageMetadata">
    <vt:lpwstr/>
  </property>
  <property fmtid="{D5CDD505-2E9C-101B-9397-08002B2CF9AE}" pid="42" name="BBeleidsregelMetadata">
    <vt:lpwstr/>
  </property>
</Properties>
</file>