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10" firstSheet="4" activeTab="4"/>
  </bookViews>
  <sheets>
    <sheet name="Uitvoer" sheetId="1" state="hidden" r:id="rId1"/>
    <sheet name="Voorblad" sheetId="2" r:id="rId2"/>
    <sheet name="Inhoud" sheetId="3" r:id="rId3"/>
    <sheet name="instructie" sheetId="4" r:id="rId4"/>
    <sheet name="Productie" sheetId="5" r:id="rId5"/>
    <sheet name="Opbrengsten" sheetId="6" r:id="rId6"/>
    <sheet name="Afschrijvingen" sheetId="7" r:id="rId7"/>
    <sheet name="WZV" sheetId="8" r:id="rId8"/>
    <sheet name="Instandhouding" sheetId="9" r:id="rId9"/>
    <sheet name="Afschr.inventaris" sheetId="10" r:id="rId10"/>
    <sheet name="Mutaties" sheetId="11" r:id="rId11"/>
    <sheet name="Rentecalc." sheetId="12" r:id="rId12"/>
    <sheet name="A-G" sheetId="13" r:id="rId13"/>
    <sheet name="H" sheetId="14" r:id="rId14"/>
    <sheet name="I-J" sheetId="15" r:id="rId15"/>
    <sheet name="vragen" sheetId="16" r:id="rId16"/>
  </sheets>
  <definedNames>
    <definedName name="_xlnm.Print_Area" localSheetId="9">'Afschr.inventaris'!$A$2:$I$32</definedName>
    <definedName name="_xlnm.Print_Area" localSheetId="6">'Afschrijvingen'!$A$1:$I$31</definedName>
    <definedName name="_xlnm.Print_Area" localSheetId="12">'A-G'!$A$2:$G$126</definedName>
    <definedName name="_xlnm.Print_Area" localSheetId="14">'I-J'!$A$1:$E$38</definedName>
    <definedName name="_xlnm.Print_Area" localSheetId="2">'Inhoud'!$A$1:$I$26</definedName>
    <definedName name="_xlnm.Print_Area" localSheetId="8">'Instandhouding'!$A$1:$J$28</definedName>
    <definedName name="_xlnm.Print_Area" localSheetId="3">'instructie'!$A$1:$E$62</definedName>
    <definedName name="_xlnm.Print_Area" localSheetId="10">'Mutaties'!$A$1:$E$28</definedName>
    <definedName name="_xlnm.Print_Area" localSheetId="5">'Opbrengsten'!$A$1:$J$40</definedName>
    <definedName name="_xlnm.Print_Area" localSheetId="4">'Productie'!$A$1:$J$27</definedName>
    <definedName name="_xlnm.Print_Area" localSheetId="11">'Rentecalc.'!$A$1:$G$33</definedName>
    <definedName name="_xlnm.Print_Area" localSheetId="1">'Voorblad'!$A$31:$N$49</definedName>
    <definedName name="_xlnm.Print_Area" localSheetId="15">'vragen'!$A$1:$G$84</definedName>
    <definedName name="_xlnm.Print_Titles" localSheetId="11">'Rentecalc.'!$2:$2</definedName>
    <definedName name="_xlnm.Print_Titles" localSheetId="1">'Voorblad'!$1:$16</definedName>
    <definedName name="getal_data">#REF!</definedName>
    <definedName name="kolom_data">#REF!</definedName>
    <definedName name="tabblad">#REF!</definedName>
    <definedName name="Z_60683067_AF12_11D4_9642_08005ACCD915_.wvu.PrintArea" localSheetId="12" hidden="1">'A-G'!$A:$XFD</definedName>
    <definedName name="Z_60683067_AF12_11D4_9642_08005ACCD915_.wvu.PrintArea" localSheetId="13" hidden="1">'H'!$A:$XFD</definedName>
    <definedName name="Z_60683067_AF12_11D4_9642_08005ACCD915_.wvu.PrintArea" localSheetId="14" hidden="1">'I-J'!$A:$XFD</definedName>
    <definedName name="Z_60683067_AF12_11D4_9642_08005ACCD915_.wvu.PrintArea" localSheetId="8" hidden="1">'Instandhouding'!$A:$XFD</definedName>
    <definedName name="Z_60683067_AF12_11D4_9642_08005ACCD915_.wvu.PrintArea" localSheetId="5" hidden="1">'Opbrengsten'!$A:$XFD</definedName>
    <definedName name="Z_60683067_AF12_11D4_9642_08005ACCD915_.wvu.PrintArea" localSheetId="7" hidden="1">'WZV'!$A:$XFD</definedName>
    <definedName name="Z_60683067_AF12_11D4_9642_08005ACCD915_.wvu.PrintTitles" localSheetId="11" hidden="1">'Rentecalc.'!$2:$2</definedName>
    <definedName name="Z_60683068_AF12_11D4_9642_08005ACCD915_.wvu.PrintTitles" localSheetId="12" hidden="1">'A-G'!#REF!</definedName>
    <definedName name="Z_60683068_AF12_11D4_9642_08005ACCD915_.wvu.PrintTitles" localSheetId="13" hidden="1">'H'!#REF!</definedName>
    <definedName name="Z_60683068_AF12_11D4_9642_08005ACCD915_.wvu.PrintTitles" localSheetId="14" hidden="1">'I-J'!#REF!</definedName>
    <definedName name="Z_60683068_AF12_11D4_9642_08005ACCD915_.wvu.PrintTitles" localSheetId="2" hidden="1">'Inhoud'!$2:$2</definedName>
    <definedName name="Z_60683068_AF12_11D4_9642_08005ACCD915_.wvu.PrintTitles" localSheetId="8" hidden="1">'Instandhouding'!#REF!</definedName>
    <definedName name="Z_60683068_AF12_11D4_9642_08005ACCD915_.wvu.PrintTitles" localSheetId="3" hidden="1">'instructie'!$2:$2</definedName>
    <definedName name="Z_60683068_AF12_11D4_9642_08005ACCD915_.wvu.PrintTitles" localSheetId="5" hidden="1">'Opbrengsten'!#REF!</definedName>
    <definedName name="Z_60683068_AF12_11D4_9642_08005ACCD915_.wvu.PrintTitles" localSheetId="11" hidden="1">'Rentecalc.'!$2:$2</definedName>
    <definedName name="Z_60683068_AF12_11D4_9642_08005ACCD915_.wvu.PrintTitles" localSheetId="7" hidden="1">'WZV'!#REF!</definedName>
    <definedName name="Z_60683068_AF12_11D4_9642_08005ACCD915_.wvu.Rows" localSheetId="2" hidden="1">'Inhoud'!#REF!,'Inhoud'!#REF!,'Inhoud'!#REF!</definedName>
    <definedName name="Z_60683068_AF12_11D4_9642_08005ACCD915_.wvu.Rows" localSheetId="3" hidden="1">'instructie'!#REF!,'instructie'!#REF!,'instructie'!#REF!</definedName>
    <definedName name="Z_60683068_AF12_11D4_9642_08005ACCD915_.wvu.Rows" localSheetId="11" hidden="1">'Rentecalc.'!#REF!,'Rentecalc.'!#REF!,'Rentecalc.'!#REF!,'Rentecalc.'!#REF!</definedName>
    <definedName name="Z_60683068_AF12_11D4_9642_08005ACCD915_.wvu.Rows" localSheetId="1" hidden="1">'Voorblad'!#REF!,'Voorblad'!#REF!,'Voorblad'!$38:$38,'Voorblad'!#REF!</definedName>
  </definedNames>
  <calcPr fullCalcOnLoad="1"/>
</workbook>
</file>

<file path=xl/sharedStrings.xml><?xml version="1.0" encoding="utf-8"?>
<sst xmlns="http://schemas.openxmlformats.org/spreadsheetml/2006/main" count="685" uniqueCount="482">
  <si>
    <t>In de derde kolom dient te worden uitgegaan van het budget op kasbasis volgens de laatst bekende rekenstaat 2003 aangevuld met de budgetmutaties volgens het nacalculatieformulier 2003 uitgezonderd de rentemutatie. Het totaal van deze kolom dient gelijk te zijn aan het bedrag op pagina 13, regel 1309. 
In de vierde kolom dient per maand te worden aangegeven de declaratiewaarde van de productie in die maand, ongeacht het moment van factureren. Opbrengsten van toeslagen die zijn afgegeven voor de verrekening van de lumpsum (specialistenhonorering) dienen buiten beschouwing te blijven. 
In de laatste kolom komt op regel 1704 het saldo ultimo 2003 te staan. Dit bedrag komt overeen met het financieringsresultaat ultimo 2003 conform de berekening in de eerste tabel bij onderdeel G. Voor het invullen van de eerste tabel dient u uit te gaan van de opbrengstregistratie uit de meest recente rekenstaat van het lopende jaar.
De rentevergoeding voor het onderdeel ´nog in tarieven te verrekenen´ is gemaximeerd tot 4,5% van het budget. Voor een nadere toelichting verwijzen wij u naar onze circulaire TY/YB/A/02/12c</t>
  </si>
  <si>
    <t xml:space="preserve">U dient een samenvatting te geven van de nacalculeerbare afschrijvingskosten met betrekking tot materiële vaste activa, immateriële vaste activa en huur en leasing van gebouwen / installaties. Op de regel huur en lease kunt u het afschrijvingsbestanddeel van de (goedgekeurde) huurbedragen invullen. De afschrijvingen op medische en overige inventarissen, de afschrijvingen op vaste activa, vallend onder de beleidsregel "meldingsprocedure WZV" en de afschrijvingen dubieuze debiteuren, dienen hier buiten beschouwing te blijven. Het betreft hier uitsluitend investeringen op basis van de normale en de zogenoemde verkorte procedures. 
Voor een onderbouwing van de afschrijvingsbedragen over investeringen die in 2004 in gebruik zijn genomen, dient u op de volgende pagina's de investeringen per vergunning te specificeren (pagina 9 en 10). U wordt verzocht om per project een kopie van de betreffende vergunning met het nacalculatieformulier mee te zenden. Dit geldt ook voor de goedgekeurde huurbedragen.
</t>
  </si>
  <si>
    <t>Investeringen in instandhouding (WZV-meldingsplichtige vaste activa) (pagina 11)</t>
  </si>
  <si>
    <t>Nacalculeerbare afschrijvingskosten (pagina 8)</t>
  </si>
  <si>
    <t>De rente van lange leningen op regel 2016 dient te corresponderen met de leningen die in het overzicht onder H zijn vermeld. Boeterente als gevolg van het converteren van leningen (voor 2001) wordt afgeschreven over een variabele periode. De lengte van de periode wordt berekend door het bedrag van de boeterente te delen door het rentevoordeel dat in het eerste jaar na de conversiedatum wordt behaald.</t>
  </si>
  <si>
    <t>Maximaal aanvaardbare afschrijvingskosten conform toepassing van de beleidsregel groei van de afschrijvingskosten (2,16%)</t>
  </si>
  <si>
    <t>Op pagina 12 wordt de budgetaanpassing op basis van de beleidsregel groei van de afschrijvingskosten berekend.</t>
  </si>
  <si>
    <t>Werkelijke afschrijvingskosten medisch en overige inventarissen</t>
  </si>
  <si>
    <t>1.2</t>
  </si>
  <si>
    <t>Nacalculatie productie (pagina 7)</t>
  </si>
  <si>
    <t>Werkelijke opbrengsten (pagina 8)</t>
  </si>
  <si>
    <t xml:space="preserve">C. </t>
  </si>
  <si>
    <t>Voorlopige budgetmutatie( zie totaal meest recente rekenstaat)</t>
  </si>
  <si>
    <t>Werkelijke boekwaarde instandhoudingsinvesteringen</t>
  </si>
  <si>
    <t xml:space="preserve">D. </t>
  </si>
  <si>
    <t xml:space="preserve">E. </t>
  </si>
  <si>
    <t xml:space="preserve">Afschrijvingen* </t>
  </si>
  <si>
    <t xml:space="preserve">F. </t>
  </si>
  <si>
    <t>Afschrijving op afsluitkosten, emissie- en leningskosten (voor zover niet in afschrijvingen immat. activa en exclusief afschr. disagio waarborgfonds)</t>
  </si>
  <si>
    <t>Fase 1:  Pre-operatief onderzoek</t>
  </si>
  <si>
    <t>Fase 2 en 3: WADA-test</t>
  </si>
  <si>
    <t>Fase 4: Nazorg</t>
  </si>
  <si>
    <t>Is voor de langlopende leningen die geborgd zijn door het Waarborgfonds van 22 november 1999 tot 1 januari 2001, de werkelijke verschuldigde rente verhoogd met 0,6%? Indien geen langlopende leningen zijn geborgd tussen genoemde periode, kies dan 'nvt'.</t>
  </si>
  <si>
    <t>Is voor de langlopende leningen, die zijn afgesloten na 1 januari 2001, het normrentepercentage gehanteerd dat overeenkomt met het normrentepercentage volgens de CTG-website rentenormering? Indien geen langlopende leningen zijn afgesloten na 1 januari 2001, kies dan 'nvt'.</t>
  </si>
  <si>
    <t>Voldoen de aanvullende inkomsten die worden aangemerkt als vrij besteedbaar, aan de voorwaarden genoemd onder artikel 4 van de beleidsregel aanvullende inkomsten zorginstellingen? Indien geen aanvullende inkomsten, kies dan 'nvt'.</t>
  </si>
  <si>
    <t>Normatief werkkapitaal</t>
  </si>
  <si>
    <t xml:space="preserve">Norm. Boekwaarde </t>
  </si>
  <si>
    <t>Langlopende leningen (incl. langlopende leasecontracten)</t>
  </si>
  <si>
    <t xml:space="preserve">G. </t>
  </si>
  <si>
    <t xml:space="preserve">H. </t>
  </si>
  <si>
    <t>Eigen vermogen</t>
  </si>
  <si>
    <t xml:space="preserve">I. </t>
  </si>
  <si>
    <t>4.2</t>
  </si>
  <si>
    <t>4.3</t>
  </si>
  <si>
    <t>Nog in de tarieven te verrekenen</t>
  </si>
  <si>
    <t>TOELICHTING / INVULINSTRUCTIE</t>
  </si>
  <si>
    <t>Boekwaarde investeringen waarvoor vergunning is verleend</t>
  </si>
  <si>
    <t>Vrijvallende afschrijvingen</t>
  </si>
  <si>
    <t>Afschrijvingen nieuw</t>
  </si>
  <si>
    <t xml:space="preserve">Aanschafw. </t>
  </si>
  <si>
    <t>1.7</t>
  </si>
  <si>
    <t>Nacalculatie</t>
  </si>
  <si>
    <t>Contactpersoon</t>
  </si>
  <si>
    <t>Telefoon</t>
  </si>
  <si>
    <t>Fax</t>
  </si>
  <si>
    <t>E-mail</t>
  </si>
  <si>
    <t>(datum)</t>
  </si>
  <si>
    <t>(naam)</t>
  </si>
  <si>
    <t>(handtekening)</t>
  </si>
  <si>
    <t>Ondertekening namens het orgaan voor de gezondheidszorg:</t>
  </si>
  <si>
    <t>Medewerker</t>
  </si>
  <si>
    <t>Niet invullen</t>
  </si>
  <si>
    <t>Aanvraag</t>
  </si>
  <si>
    <t>INHOUDSOPGAVE</t>
  </si>
  <si>
    <t>1.4</t>
  </si>
  <si>
    <t>RUBRIEK 3: OVERZICHT MUTATIES</t>
  </si>
  <si>
    <t>januari</t>
  </si>
  <si>
    <t>februari</t>
  </si>
  <si>
    <t>maart</t>
  </si>
  <si>
    <t>april</t>
  </si>
  <si>
    <t>mei</t>
  </si>
  <si>
    <t>juni</t>
  </si>
  <si>
    <t>juli</t>
  </si>
  <si>
    <t>augustus</t>
  </si>
  <si>
    <t>september</t>
  </si>
  <si>
    <t>oktober</t>
  </si>
  <si>
    <t>november</t>
  </si>
  <si>
    <t>december</t>
  </si>
  <si>
    <t>A003</t>
  </si>
  <si>
    <t>Specificatie investeringen in instandhouding (WZV-meldingsplichtige vaste activa)</t>
  </si>
  <si>
    <t>t.l.v. trekk.recht.</t>
  </si>
  <si>
    <t>Afschrijvingskosten medische en overige inventarissen</t>
  </si>
  <si>
    <t>Totaal budgetaanpassing</t>
  </si>
  <si>
    <t>RUBRIEK 4: Exploitatieresultaat</t>
  </si>
  <si>
    <t>Eventuele vordering vakantiegeldverplichting (volgens de balans per 1 januari van het jaar van invoering van het budgetsysteem)</t>
  </si>
  <si>
    <t>Grond</t>
  </si>
  <si>
    <t>2.6</t>
  </si>
  <si>
    <t>2.8</t>
  </si>
  <si>
    <t xml:space="preserve">Werkelijke </t>
  </si>
  <si>
    <t xml:space="preserve">rente** </t>
  </si>
  <si>
    <t>HOND</t>
  </si>
  <si>
    <t>Code</t>
  </si>
  <si>
    <t>1.8</t>
  </si>
  <si>
    <t>Positie eigen vermogen Ribw</t>
  </si>
  <si>
    <t>CEO</t>
  </si>
  <si>
    <t xml:space="preserve"> (t.b.v. definitieve afrekening met zorgkantoor)</t>
  </si>
  <si>
    <t>Cellen waar met haakjes (    ) is aangegeven dat een negatief bedrag wordt verwacht, kunnen worden gevuld met positieve bedragen. Het programma rekent deze celllen automatisch om; bij een totaaltelling worden ze negatief in de som opgenomen.</t>
  </si>
  <si>
    <t>3.1</t>
  </si>
  <si>
    <t>3.2</t>
  </si>
  <si>
    <t>3.3</t>
  </si>
  <si>
    <t>BIJLAGEN RENTENORMERING</t>
  </si>
  <si>
    <t>K.</t>
  </si>
  <si>
    <t xml:space="preserve">Aanvullende informatie </t>
  </si>
  <si>
    <t xml:space="preserve">onderbesteding </t>
  </si>
  <si>
    <t xml:space="preserve">overbesteding/ </t>
  </si>
  <si>
    <t xml:space="preserve">Exploitatiekosten** </t>
  </si>
  <si>
    <t>nr.</t>
  </si>
  <si>
    <t>cat.</t>
  </si>
  <si>
    <t>Bedrag</t>
  </si>
  <si>
    <t>Nummer brief VWS/CBZ</t>
  </si>
  <si>
    <t>Omschrijving project 1.</t>
  </si>
  <si>
    <t>Goedgekeurd bedrag</t>
  </si>
  <si>
    <t>Omschrijving project 2.</t>
  </si>
  <si>
    <t>Omschrijving project 4.</t>
  </si>
  <si>
    <t>Omschrijving project 3.</t>
  </si>
  <si>
    <t>Omschrijving project 5.</t>
  </si>
  <si>
    <t>Omschrijving project 7.</t>
  </si>
  <si>
    <t>Omschrijving project 6.</t>
  </si>
  <si>
    <t>Omschrijving project 8.</t>
  </si>
  <si>
    <t>Te verklaren verschillen</t>
  </si>
  <si>
    <t xml:space="preserve">Totaalbedrag </t>
  </si>
  <si>
    <t>Gegevens meldingsbrief  CbZ</t>
  </si>
  <si>
    <t xml:space="preserve">Normatieve </t>
  </si>
  <si>
    <t xml:space="preserve">afschrijvingen* </t>
  </si>
  <si>
    <t xml:space="preserve">boekwaarde </t>
  </si>
  <si>
    <t xml:space="preserve">Opname </t>
  </si>
  <si>
    <t>Verpleegdagen kliniek</t>
  </si>
  <si>
    <t xml:space="preserve">Verpleegdagen langverblijf </t>
  </si>
  <si>
    <t xml:space="preserve">Poli-patiënten (consult) </t>
  </si>
  <si>
    <t>Ontvangt u inkomsten (zoals bijvoorbeeld opbrengsten buitenlandse patienten) die dienen ter dekking van het WTG-budget, die vallen onder artikel 3.2 van de beleidsregel Aanvullende inkomsten zorginstellingen? Indien geen aanvullende inkomsten, kies dan 'nvt'.</t>
  </si>
  <si>
    <t>Is de Regeling Jaarverslaggeving Zorginstellingen (inclusief consolidatieplicht) toegepast ?</t>
  </si>
  <si>
    <t>Mutatie op overschrijding  (verzoek onderbouwen)</t>
  </si>
  <si>
    <t>Opbrengst buitenlandse patienten</t>
  </si>
  <si>
    <t>Einddatum</t>
  </si>
  <si>
    <t>Werk.</t>
  </si>
  <si>
    <t>Norm.</t>
  </si>
  <si>
    <t>N,W,</t>
  </si>
  <si>
    <t>of V</t>
  </si>
  <si>
    <t>rentebedrag</t>
  </si>
  <si>
    <t>Aanvaardbaar</t>
  </si>
  <si>
    <t>Overschrijding bedrag kort gefinancierd</t>
  </si>
  <si>
    <t>2.1</t>
  </si>
  <si>
    <t>2.2</t>
  </si>
  <si>
    <t>2.5</t>
  </si>
  <si>
    <t>RUBRIEK 3: KAPITAALSLASTEN</t>
  </si>
  <si>
    <t>3.4</t>
  </si>
  <si>
    <t>3.5</t>
  </si>
  <si>
    <t>RUBRIEK 4: OVERZICHT MUTATIES</t>
  </si>
  <si>
    <t>Algemeen</t>
  </si>
  <si>
    <t>afschrijving</t>
  </si>
  <si>
    <t>Immateriële vaste activa</t>
  </si>
  <si>
    <t>Gebouwen</t>
  </si>
  <si>
    <t>Huur en leasing voor gebouwen / installaties</t>
  </si>
  <si>
    <t>Subtotaal</t>
  </si>
  <si>
    <t>Niet aanvaarde afschrijvingskosten</t>
  </si>
  <si>
    <t>Doorberekende kapitaalslasten</t>
  </si>
  <si>
    <t>Mutatie</t>
  </si>
  <si>
    <t>Opbrengst nevenverrichtingen</t>
  </si>
  <si>
    <t>Vergoedingen voor diagnostiche verrichtingen</t>
  </si>
  <si>
    <t>Vergoedingen voor therapeutische verrichtingen</t>
  </si>
  <si>
    <t>Vergoedingen voor gebruik polikliniek</t>
  </si>
  <si>
    <t>Honoraria voor medisch specialistische hulp (loondienst)</t>
  </si>
  <si>
    <t>Overige vergoedingen ter dekking van het budget</t>
  </si>
  <si>
    <t>Overige opbrengsten</t>
  </si>
  <si>
    <t>Te dekken door opbrengsten</t>
  </si>
  <si>
    <t>Berekende</t>
  </si>
  <si>
    <t xml:space="preserve">rente </t>
  </si>
  <si>
    <t>Normatief</t>
  </si>
  <si>
    <t>Rentekosten langlopende leningen</t>
  </si>
  <si>
    <t>Afschrijving op tot en met 2000 betaalde boeterente van conversies (berekening bijvoegen)</t>
  </si>
  <si>
    <t xml:space="preserve">Gewogen schuld per periode (1 januari-data aflossingen-31 december) </t>
  </si>
  <si>
    <t>Berekening  gewogen schuld en rentekosten</t>
  </si>
  <si>
    <t>normrente</t>
  </si>
  <si>
    <t>schuld</t>
  </si>
  <si>
    <t>Specificatie in gebruikgenomen nacalculeerbare investeringen</t>
  </si>
  <si>
    <t>Vervolg specificatie in gebruik genomen nacalculeerbare investeringen</t>
  </si>
  <si>
    <t>rentevastper.</t>
  </si>
  <si>
    <t>1)</t>
  </si>
  <si>
    <t>Pag.</t>
  </si>
  <si>
    <t>Minimaal te financieren met langlopende leningen</t>
  </si>
  <si>
    <t>Kenmerk</t>
  </si>
  <si>
    <t>Onderhanden bouwprojecten  met WZV vergunning (geen investeringen meldingsregeling)</t>
  </si>
  <si>
    <t>Werkelijke boekwaarde instandhoudingsinvesteringen (inclusief onderhanden werk)</t>
  </si>
  <si>
    <t>Zorgverzekeraar 1</t>
  </si>
  <si>
    <t>Zorgverzekeraar 2</t>
  </si>
  <si>
    <t>Zorgverz. Nederland</t>
  </si>
  <si>
    <t>CALCULATIEMODEL RENTEKOSTEN</t>
  </si>
  <si>
    <t>BIJLAGEN BIJ CALCULATIEMODEL RENTEKOSTEN</t>
  </si>
  <si>
    <t>Bijlagen bij calculatiemodel rentekosten</t>
  </si>
  <si>
    <t>1) Voor oude leningen (w) in de kolom "aanvaardbare rentekosten" het werkelijke rentebedrag vermelden</t>
  </si>
  <si>
    <t xml:space="preserve">3. In de kolom 'N, W of V' moet een 'W' worden vermeld voor bestaande leningen waarvoor de werkelijke rentekosten aanvaardbaar zijn.  U vermeldt een 'V' als sprake is van een na 31 december 2000 afgesloten lening waarvoor een normrente is vastgesteld en die in de plaats komt van een vervroegd afgeloste lening. U vermeldt een 'N' wanneer voor de lening een normatief percentage is vastgesteld en er geen sprake is van vervanging van een vervroegd afgeloste lening. </t>
  </si>
  <si>
    <t>Nadat de periode, waarin voor de berekening van de aanvaardbare rentekosten werd uitgegaan van het rentepercentage van de oude lening, is verstreken dient u in de kolom 'einddatum rentevastperiode' de einddatum van de vervangende lening te vermelden en in de kolom '%werkelijk' het werkelijke rentepercentage van de vervangende lening.</t>
  </si>
  <si>
    <t>Nieuwe leningen kunt u in dit overzicht opnemen door de storting te verwerken als een negatieve aflossing. Als op de nieuwe lening in hetzelfde jaar nog wordt afgelost, kunnen deze aflossingen op een aparte regel worden verwerkt.</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</si>
  <si>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</si>
  <si>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</si>
  <si>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</si>
  <si>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</si>
  <si>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</si>
  <si>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</si>
  <si>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</si>
  <si>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</si>
  <si>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</si>
  <si>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</si>
  <si>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</si>
  <si>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</si>
  <si>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</si>
  <si>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</si>
  <si>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Uitgevoerde nog niet</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</si>
  <si>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</si>
  <si>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</si>
  <si>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</si>
  <si>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</si>
  <si>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</si>
  <si>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</si>
  <si>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</si>
  <si>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</si>
  <si>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</si>
  <si>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</si>
  <si>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</si>
  <si>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</si>
  <si>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 xml:space="preserve">in gebruik genomen </t>
  </si>
  <si>
    <t>Aantal extra bijlagen bij het nacalculatieformulier:</t>
  </si>
  <si>
    <t>loon</t>
  </si>
  <si>
    <t>Klasse 1</t>
  </si>
  <si>
    <t>Klasse 2A</t>
  </si>
  <si>
    <t>Klasse 2B</t>
  </si>
  <si>
    <t>Klasse 3A</t>
  </si>
  <si>
    <t>Klasse 3B</t>
  </si>
  <si>
    <t>Klasse 3C</t>
  </si>
  <si>
    <t>A201</t>
  </si>
  <si>
    <t>A202</t>
  </si>
  <si>
    <t>A203</t>
  </si>
  <si>
    <t>A204</t>
  </si>
  <si>
    <t>A205</t>
  </si>
  <si>
    <t>A206</t>
  </si>
  <si>
    <t>Verpleeggelden ter dekking van het budget</t>
  </si>
  <si>
    <t>Verpleeggelden (excl. vaste tarieven)</t>
  </si>
  <si>
    <t>A002</t>
  </si>
  <si>
    <t>A006</t>
  </si>
  <si>
    <t>Opnametarief</t>
  </si>
  <si>
    <t>Verkeerde bed</t>
  </si>
  <si>
    <t>Afwezigheidsdag</t>
  </si>
  <si>
    <t>Opbrengst flexizorg / transmuraal</t>
  </si>
  <si>
    <t>Diverse baten en lasten:</t>
  </si>
  <si>
    <t>Zorgprestaties tussen instellingen (WDS)</t>
  </si>
  <si>
    <t>Zorgprestaties derde compartiment</t>
  </si>
  <si>
    <t>Overige zorgprestaties</t>
  </si>
  <si>
    <t>Overige dienstverlening</t>
  </si>
  <si>
    <t>Overige subsidies</t>
  </si>
  <si>
    <t>Eigen bijdrage clienten</t>
  </si>
  <si>
    <t>Aanvullende inkomsten (niet ter dekking van het budget)</t>
  </si>
  <si>
    <t>A007</t>
  </si>
  <si>
    <t>Dagbehandeling</t>
  </si>
  <si>
    <t>Nacalculeerbare afschrijvingskosten (normale en verkorte procedures)</t>
  </si>
  <si>
    <t>Terreinvoorzieningen</t>
  </si>
  <si>
    <t>Verbouwingen</t>
  </si>
  <si>
    <t>Afschrijvings-</t>
  </si>
  <si>
    <t>percentages</t>
  </si>
  <si>
    <t>Afschrijvingen</t>
  </si>
  <si>
    <t>Mutaties aanvaardbare kosten</t>
  </si>
  <si>
    <t>Aanvaardbare</t>
  </si>
  <si>
    <t>kosten</t>
  </si>
  <si>
    <t>Immat. vaste activa</t>
  </si>
  <si>
    <t>Terreinvoorz.</t>
  </si>
  <si>
    <t>Instandhoudingsinvesteringen (WZV-meldingsplichtige vaste activa)</t>
  </si>
  <si>
    <t>Incidentele instandhouding (trekkingsrechten)</t>
  </si>
  <si>
    <t>Saldo</t>
  </si>
  <si>
    <t>Structurele</t>
  </si>
  <si>
    <t>Bedrag investering</t>
  </si>
  <si>
    <t>(in gebruik genomen)</t>
  </si>
  <si>
    <t>t.l.v. jaarl. Insth.</t>
  </si>
  <si>
    <t>Mut.afschr.</t>
  </si>
  <si>
    <t>Vrijval afschrijving</t>
  </si>
  <si>
    <t xml:space="preserve">Jaar </t>
  </si>
  <si>
    <t xml:space="preserve">bedrag* </t>
  </si>
  <si>
    <t>*) Vermeld hier het aflossingsbedrag per aflossingsmoment</t>
  </si>
  <si>
    <t>RUBRIEK 1: NACALCULATIE PRODUCTIE</t>
  </si>
  <si>
    <t xml:space="preserve">D  </t>
  </si>
  <si>
    <t>F.</t>
  </si>
  <si>
    <t>Nog in tarieven te verrekenen kosten/opbrengsten</t>
  </si>
  <si>
    <t>Eventuele correctie voorgaande jaren</t>
  </si>
  <si>
    <t>1/12 van het budget</t>
  </si>
  <si>
    <t>Gedeclareerd</t>
  </si>
  <si>
    <t>Bestemmingsreserves</t>
  </si>
  <si>
    <t>Reserve afschrijving inventarissen</t>
  </si>
  <si>
    <t xml:space="preserve">Overige reserves </t>
  </si>
  <si>
    <t>Egalisatierekening afschrijving instandhoudingsinvesteringen</t>
  </si>
  <si>
    <t>Overige egalisatierekeningen</t>
  </si>
  <si>
    <t>Voorziening groot onderhoud</t>
  </si>
  <si>
    <t xml:space="preserve">Overige voorzieningen </t>
  </si>
  <si>
    <t xml:space="preserve">Bijlage 1 bij circulaire </t>
  </si>
  <si>
    <t>Nacalculatie lokale productiegebonden component</t>
  </si>
  <si>
    <t>Parameterwaarden</t>
  </si>
  <si>
    <t>Verschil</t>
  </si>
  <si>
    <t>Realisatie</t>
  </si>
  <si>
    <t>Versie</t>
  </si>
  <si>
    <t>Uitgevoerd en gefactureerd in januari</t>
  </si>
  <si>
    <t>Uitgevoerd en gefactureerd in februari</t>
  </si>
  <si>
    <t>Uitgevoerd en gefactureerd in maart</t>
  </si>
  <si>
    <t>D./E.</t>
  </si>
  <si>
    <t>G.</t>
  </si>
  <si>
    <t>Nog in tarieven te verrekenen</t>
  </si>
  <si>
    <t xml:space="preserve">J. </t>
  </si>
  <si>
    <t>Uitgevoerd en gefactureerd in april</t>
  </si>
  <si>
    <t>Uitgevoerd en gefactureerd in mei</t>
  </si>
  <si>
    <t>Uitgevoerd en gefactureerd in juni</t>
  </si>
  <si>
    <t>Uitgevoerd en gefactureerd in juli</t>
  </si>
  <si>
    <t>Uitgevoerd en gefactureerd in augustus</t>
  </si>
  <si>
    <t xml:space="preserve">Met de CTG-circulaires Ho/at/94/A/03c, d.d. 6 september 1994, en Hu/at/I/96/04c, d.d. 12 februari 1996, hebben wij uw aandacht gevraagd voor de voorgeschreven boekingswijze van opbrengsten en kosten. In deze circulaires wordt aangegeven dat alle activiteiten die in rekening worden gebracht voor gezondheidszorgprestaties als opbrengsten ter dekking voor het wettelijk budget moeten worden verantwoord met uitzondering van de opbrengsten in het kader van WDS. Vanaf 1 januari 1999 is de beleidsregel "aanvullende inkomsten zorginstellingen" van kracht. Opbrengsten die vallen onder deze beleidsregel hoeven niet ter dekking van het budget te worden aangewend (zie circulaires PS/tbk/A/99/08c en JM/at/A/99/12c). Betalingen door buitenlandse patiënten of verzekeraars, betalingen door werkgevers van patiënten en de in rekening gebrachte tarieven door aan de instelling verbonden dochtermaatschappen (bedrijven-poliklinieken, buitenpoliklinieken en -praktijken, zotels, etc.) dienen door u als opbrengst verantwoord te worden. </t>
  </si>
  <si>
    <t>Uitgevoerd en gefactureerd in september</t>
  </si>
  <si>
    <t>Uitgevoerd en gefactureerd in oktober</t>
  </si>
  <si>
    <t>Uitgevoerd en gefactureerd in november</t>
  </si>
  <si>
    <t>Uitgevoerd en gefactureerd in december</t>
  </si>
  <si>
    <t>Renteresultaat tbv aansluiting met de jaarrekening</t>
  </si>
  <si>
    <t>Verrekend in opbrengsten (meest recente opbrengstregistratie)</t>
  </si>
  <si>
    <t>Alle in te vullen velden zijn gearceerd. Dit kunt u hier aan- en uitschakelen. Voor het maken van een duidelijke afdruk van het nacalculatieformulier wordt aanbevolen eerst de arcering van de velden uit te zetten</t>
  </si>
  <si>
    <t>Kolommen</t>
  </si>
  <si>
    <t xml:space="preserve">Algemeen </t>
  </si>
  <si>
    <t>Deze vragenlijst wordt ingevuld door de instelling en gecontroleerd door de accountant.</t>
  </si>
  <si>
    <t>Per vraag aanklikken wat van toepassing is.</t>
  </si>
  <si>
    <t>Indien het antwoord in kolom 2 is aangeklikt dient op een separate bijlage een toelichting te worden gegeven.</t>
  </si>
  <si>
    <t>VRAGENLIJST NACALCULATIE</t>
  </si>
  <si>
    <t>Vervolg VRAGENLIJST NACALCULATIE</t>
  </si>
  <si>
    <t>(in aanv.kstn)</t>
  </si>
  <si>
    <t>Opbrengst vaste tarieven</t>
  </si>
  <si>
    <t>In gebruik ge-</t>
  </si>
  <si>
    <t>desinvestering</t>
  </si>
  <si>
    <t>Afschrijving v.</t>
  </si>
  <si>
    <t>invest.ruimte</t>
  </si>
  <si>
    <t>investerings-</t>
  </si>
  <si>
    <t>Afschrijving investeringen t.l.v. trekkingsrechten</t>
  </si>
  <si>
    <t>Afschrijving inventarissen</t>
  </si>
  <si>
    <t>Budgetaanpassing rentekosten</t>
  </si>
  <si>
    <t>Nog te verwerken overeengekomen nacalculatie productie</t>
  </si>
  <si>
    <t>Hier dient u investeringen waarvoor een normale WZV-procedure is doorlopen en ingebruikname in 2003 heeft plaatsgevonden te specificeren. Met betrekking tot de rentekosten tijdens de bouw wordt nog opgemerkt dat overeenkomstig de beleidsregel rentenormering de rentekosten tijdens de bouw tot 2002 onderdeel uitmaken van de investeringskosten, waarover dient te worden afgeschreven. In de verleende WZV-vergunning van normale procedures tot 2002 maken de rentekosten tijdens de bouw ook onderdeel uit van de totale investeringskosten waarvoor toestemming is verleend. De investeringen op grond  van verkorte procedures kunt u tevens kwijt op deze pagina´s. Voor deze investeringen dient de rente tijdens de bouw niet te worden geactiveerd, maar rechtstreeks ten laste van het exploitatieresultaat te worden gebracht.</t>
  </si>
  <si>
    <t xml:space="preserve">Voor de definitieve nacalculatie van de gerealiseerde productie is een overzicht in het nacalculatieformulier opgenomen. </t>
  </si>
  <si>
    <t>Hebben de lokale partijen verklaard dat zij de projecten die worden gedekt uit de lokale productiegebonden toeslag hebben beoordeeld, met inachtneming van de criteria zoals opgenomen in de beleidsregel Lokale productiegebonden toeslag?</t>
  </si>
  <si>
    <t xml:space="preserve">Zijn er WZV-goedgekeurde onroerende zaken (ook door beheersstichtingen en / of -vennootschappen) verkocht (zie beleidsregel Verrekening boekwinsten)? </t>
  </si>
  <si>
    <t>Is de berekening van de doorberekende kapitaalslasten juist en volledig, conform de beleidsregel Aanvullende inkomsten? Indien geen doorberekende kapitaalslasten, kies dan 'nvt'.</t>
  </si>
  <si>
    <t>Is bij de leningen (met een rentefixatieperiode van minimaal twee jaar) die vervroegd zijn afgelost en vervangen door nieuwe leningen, het juiste rentepercentage toegepast? Indien geen vervroegde aflossing en vervanging van leningen heeft plaatsgevonden, kies dan 'nvt'.</t>
  </si>
  <si>
    <t>Lokale productiegebonden toeslag</t>
  </si>
  <si>
    <t>Ingebruikgen.</t>
  </si>
  <si>
    <t>trekkingsr.</t>
  </si>
  <si>
    <t>Werkelijke opbrengsten*</t>
  </si>
  <si>
    <t>Opbrengstresultaat</t>
  </si>
  <si>
    <t>Januari</t>
  </si>
  <si>
    <t>Februari</t>
  </si>
  <si>
    <t>Maart</t>
  </si>
  <si>
    <t>April</t>
  </si>
  <si>
    <t>Mei</t>
  </si>
  <si>
    <t>Juni</t>
  </si>
  <si>
    <t>Juli</t>
  </si>
  <si>
    <t>Augustus</t>
  </si>
  <si>
    <t>September</t>
  </si>
  <si>
    <t>Oktober</t>
  </si>
  <si>
    <t>November</t>
  </si>
  <si>
    <t>December</t>
  </si>
  <si>
    <t>Overige mutaties (volgens bijlage)</t>
  </si>
  <si>
    <t>Nacalculatie productie/aanvullende inkomsten</t>
  </si>
  <si>
    <t>Kapitaalslasten</t>
  </si>
  <si>
    <t>Zijn er ex WTG gefinancierde vermogensbestanddelen en / of gebouwen uit de WTG-instelling overgebracht naar een andere rechtspersoon?</t>
  </si>
  <si>
    <t>Vervolg kapitaalslasten</t>
  </si>
  <si>
    <t>Zijn de aanvaardbare rentekosten berekend conform het door het CTG opgestelde calculatiemodel rentekosten?</t>
  </si>
  <si>
    <t>Is voldaan aan de regels van het protocol voor evenwichtig balansbeheer dat is opgenomen in de beleidsregel Rente?</t>
  </si>
  <si>
    <t>Overige vragen</t>
  </si>
  <si>
    <t>Zijn in het lokaal overleg overige afspraken gemaakt die van invloed zijn op de aanvaardbare kosten?</t>
  </si>
  <si>
    <t>Handtekening</t>
  </si>
  <si>
    <t>KAFOV</t>
  </si>
  <si>
    <t>KRENTE</t>
  </si>
  <si>
    <t>KDOOKA</t>
  </si>
  <si>
    <t>KHUERF</t>
  </si>
  <si>
    <t>LPRIV</t>
  </si>
  <si>
    <t>VOORL</t>
  </si>
  <si>
    <t>Regel</t>
  </si>
  <si>
    <t>Registratienummer CTG</t>
  </si>
  <si>
    <t xml:space="preserve">Instelling </t>
  </si>
  <si>
    <t>Plaats</t>
  </si>
  <si>
    <t>Omschrijving</t>
  </si>
  <si>
    <t>KPVP</t>
  </si>
  <si>
    <t>%</t>
  </si>
  <si>
    <t>Installaties</t>
  </si>
  <si>
    <t>Rekenstaat</t>
  </si>
  <si>
    <t>Gewogen boekwaarde</t>
  </si>
  <si>
    <t>Factor</t>
  </si>
  <si>
    <t>Geldgever</t>
  </si>
  <si>
    <t xml:space="preserve">Saldo </t>
  </si>
  <si>
    <t>Fictief berekende lening met betrekking tot huur/leasing van inventarissen</t>
  </si>
  <si>
    <t>Kapitaal</t>
  </si>
  <si>
    <t>Algemene reserves</t>
  </si>
  <si>
    <t>Reserve aanvaardbare kosten</t>
  </si>
  <si>
    <t>Saldo resultatenrekening</t>
  </si>
  <si>
    <t>Intrest leasingcontracten</t>
  </si>
  <si>
    <t>Datum</t>
  </si>
  <si>
    <t>Mutatie aanvaardbare kosten</t>
  </si>
  <si>
    <t>* In rekenstaat te vinden bij onderbouwing van de regel</t>
  </si>
  <si>
    <t>Berekening exploitatieresultaat</t>
  </si>
  <si>
    <t>&lt;&lt;&lt;</t>
  </si>
  <si>
    <t>Toelichting bij electronisch formulier:</t>
  </si>
  <si>
    <t>Instandhoudingsinvestering</t>
  </si>
  <si>
    <t>dag</t>
  </si>
  <si>
    <t>ma(a)nd(en)</t>
  </si>
  <si>
    <t>Egalisatierekening annuïteitenrente en nog te verrekenen (aanvaardbare) boeterente [(beginbalans + eindbalans) : 2]</t>
  </si>
  <si>
    <t xml:space="preserve">% </t>
  </si>
  <si>
    <t xml:space="preserve">Bedrag </t>
  </si>
  <si>
    <t xml:space="preserve">bedrag </t>
  </si>
  <si>
    <t>Afschrijving op geactiveerde rente van annuïteitenleningen</t>
  </si>
  <si>
    <t xml:space="preserve">Boekwaarde vergunningsplichtige investeringen zonder vergunning. </t>
  </si>
  <si>
    <t xml:space="preserve">Gewogen </t>
  </si>
  <si>
    <t xml:space="preserve">Factor </t>
  </si>
  <si>
    <t xml:space="preserve">Onderhanden </t>
  </si>
  <si>
    <t xml:space="preserve"> VKP´s </t>
  </si>
  <si>
    <t xml:space="preserve">In gebruik </t>
  </si>
  <si>
    <t xml:space="preserve"> genomen VKP´s </t>
  </si>
  <si>
    <t xml:space="preserve">Nog niet in </t>
  </si>
  <si>
    <t xml:space="preserve">genomen </t>
  </si>
  <si>
    <t xml:space="preserve">investeringen </t>
  </si>
  <si>
    <t xml:space="preserve">Boekwaarde </t>
  </si>
  <si>
    <t xml:space="preserve">Afschrijving </t>
  </si>
  <si>
    <t>Afschrijving</t>
  </si>
  <si>
    <t>investeringen</t>
  </si>
  <si>
    <t xml:space="preserve">gebruik genomen </t>
  </si>
  <si>
    <t xml:space="preserve">in gebruik </t>
  </si>
  <si>
    <t xml:space="preserve"> </t>
  </si>
  <si>
    <t>RUBRIEK 2: KAPITAALSLASTEN</t>
  </si>
  <si>
    <t>Jaarlijkse instandhouding</t>
  </si>
  <si>
    <t>1.5</t>
  </si>
  <si>
    <t xml:space="preserve">1.1 </t>
  </si>
  <si>
    <t xml:space="preserve">1.2 </t>
  </si>
  <si>
    <t xml:space="preserve">1.3 </t>
  </si>
  <si>
    <t xml:space="preserve">1.6 </t>
  </si>
  <si>
    <t>Totaal</t>
  </si>
  <si>
    <t>Tarief*</t>
  </si>
  <si>
    <t xml:space="preserve">2.1 </t>
  </si>
  <si>
    <t>Nacalculeerbare afschrijvingskosten</t>
  </si>
  <si>
    <t xml:space="preserve">Totaal </t>
  </si>
  <si>
    <t xml:space="preserve">Aantal </t>
  </si>
  <si>
    <t xml:space="preserve">2.2 </t>
  </si>
  <si>
    <t>Niet-nacalculeerbare afschrijvingskosten</t>
  </si>
  <si>
    <t>Instandhoudingsinvesteringen</t>
  </si>
  <si>
    <t>2.3</t>
  </si>
  <si>
    <t xml:space="preserve">Jaarlijks </t>
  </si>
  <si>
    <t xml:space="preserve">Incidenteel </t>
  </si>
  <si>
    <t>Huren onroerende goederen en erfpacht</t>
  </si>
  <si>
    <t>2.4</t>
  </si>
  <si>
    <t>Activa</t>
  </si>
  <si>
    <t>Passiva</t>
  </si>
  <si>
    <t xml:space="preserve">Aanvaardbare </t>
  </si>
  <si>
    <t xml:space="preserve">kosten </t>
  </si>
  <si>
    <t>2.7</t>
  </si>
  <si>
    <t>Doorbelaste kapitaalslasten</t>
  </si>
  <si>
    <t xml:space="preserve">Mutatie </t>
  </si>
  <si>
    <t>4.1</t>
  </si>
  <si>
    <t xml:space="preserve">Werkelijk </t>
  </si>
  <si>
    <t xml:space="preserve">Rekenstaat </t>
  </si>
  <si>
    <t xml:space="preserve">Aanschafwaarde </t>
  </si>
  <si>
    <t xml:space="preserve">Afschrijvingen </t>
  </si>
  <si>
    <t xml:space="preserve">Datum </t>
  </si>
  <si>
    <t xml:space="preserve">Besteed </t>
  </si>
  <si>
    <t>Onderhanden bouwprojecten normale WZV-procedures</t>
  </si>
  <si>
    <t xml:space="preserve">A. </t>
  </si>
  <si>
    <t>B.</t>
  </si>
  <si>
    <t>Nacalculatie lokale component</t>
  </si>
  <si>
    <t>Lokale prod.gebonden toeslag</t>
  </si>
  <si>
    <t>Definitief overeen-</t>
  </si>
  <si>
    <t>In rekenstaat</t>
  </si>
  <si>
    <t>gekomen bedrag</t>
  </si>
  <si>
    <t xml:space="preserve">Mutatie aanvaardbare kosten exclusief aanpasing rentekosten (regel </t>
  </si>
  <si>
    <t>Epilepsiecentra, waarvoor de beleidsregels voor epilespie van toepassing zijn (040)</t>
  </si>
  <si>
    <t>Werkelijke boekwaarde medische en overige inventarissen</t>
  </si>
  <si>
    <t>* zie brief december 2003</t>
  </si>
  <si>
    <t xml:space="preserve">werkelijke </t>
  </si>
  <si>
    <t>(-/-)</t>
  </si>
  <si>
    <t>Naar pagina 13</t>
  </si>
  <si>
    <t>* Voor de SHBK te breda is het percentage 6,8% (vul in cel 'voorblad F33' het ctgnummer in)</t>
  </si>
  <si>
    <t>De gedeclareerde bedragen op regel 1718 en 1719 moeten aan elkaar gelijk zijn.</t>
  </si>
  <si>
    <t>Maximaal mee te nemen: 4,5% van de aanvaardbare kosten op kasbasis conform nacalculatieformulier voor budgetaanpassing rente (regel 1311)</t>
  </si>
  <si>
    <t>De werkbladen zijn met een wachtwoord beveiligd. U kunt zelf werkbladen toevoegen. Indien u een onjuistheid ondekt verzoeken wij u dit via e-mail aan het CTG door te geven (kamer1@ctg-zaio.nl).</t>
  </si>
  <si>
    <t>Afschrijvingsbedragen in aanvaardbare kosten 2004 opgenomen</t>
  </si>
  <si>
    <t>Afschrijvingskosten medische en overige inventarissen (pagina 12)</t>
  </si>
  <si>
    <t>Specificatie aanvullende inkomsten (pagina 7)</t>
  </si>
  <si>
    <t xml:space="preserve">Het betreft hier opbrengsten die vallen onder de beleidsregel "aanvullende inkomsten zorginstellin-gen", die sinds 1 januari 2001 geldt (zie circulaires PS/tbk/A/99/08c en JM/at/A/99/12c). Hierin is vastgelegd dat inkomsten van bepaalde activiteiten niet met de aanvaardbare kosten behoeven te worden verrekend, maar dat deze onder bepaalde voorwaarden kunnen worden behouden. Deze opbrengsten dienen in het rekeningschema 2004 verantwoord te worden in rekeninggroep 83. Onder de aanvullende inkomsten vallen tevens diensten en verrichtingen (berekend aan derden), waarvoor sedert 1989 de richtlijn WDS van toepassing is. 
Slechts ter bepaling van de reserve aanvaardbare kosten kunnen deze opbrengsten met de exploitatiekosten worden verrekend. Ook als u de opbrengsten als negatieve kosten in de exploitatie-rekening hebt verwerkt, wordt u verzocht een specificatie te geven. 
</t>
  </si>
  <si>
    <t>Nacalculatie 2004</t>
  </si>
  <si>
    <t>Totaal opbrengst vaste tarieven (708 t/m 711)</t>
  </si>
  <si>
    <t>Totaal opbrengst nevenverrichtingen (713 t/m 716)</t>
  </si>
  <si>
    <t>Totaal overige vergoedingen (718 t/m 723)</t>
  </si>
  <si>
    <t>Overzicht afschrijvingen + regel 1501- regel 1502</t>
  </si>
  <si>
    <t>Totaal 1706 t/m 1717</t>
  </si>
  <si>
    <t>toegerekende boekwaarde automatiseringsapparatuur (27% * regel 1619*10)</t>
  </si>
  <si>
    <t>Aanvaardbare kosten op kasbasis conform nacalculatieformulier voor budgetaanpassing rente (regel 1311)</t>
  </si>
  <si>
    <t>Opbrengsten volgens regel 725</t>
  </si>
  <si>
    <t>Zijn, voor de berekening van de nacalculeerbare afschrijvingskosten van de in 2004 geactiveerde activa, de afschrijvingspercentages gehanteerd zoals in de beleidsregel Afschrijving opgenomen? Indien in 2004 geen activa zijn geactiveerd, kies dan 'nvt:</t>
  </si>
  <si>
    <t>Is eerst de jaarlijkse investeringsruimte volledig benut (in het onderdeel van het nacalculatieformulier over instandhoudingsinvesteringen), alvorens trekkingsrechten zijn aangesproken voor incidentele instandhoudingsinvesteringen? Indien geen instandhoudingsinvesteringen in 2004, kies dan 'nvt'</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</si>
</sst>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00"/>
    <numFmt numFmtId="167" formatCode="#,##0.0_-;#,##0.0\-"/>
    <numFmt numFmtId="168" formatCode="0.000"/>
    <numFmt numFmtId="169" formatCode="#,##0_ ;[Red]\-#,##0\ "/>
    <numFmt numFmtId="170" formatCode="#,##0.0"/>
    <numFmt numFmtId="171" formatCode="#,##0;\(#,##0\);"/>
    <numFmt numFmtId="172" formatCode="d\ mmmm\ yyyy"/>
    <numFmt numFmtId="173" formatCode="0.0%"/>
    <numFmt numFmtId="174" formatCode="0.00000"/>
    <numFmt numFmtId="175" formatCode="#,##0.0000"/>
    <numFmt numFmtId="176" formatCode="dd/mm/yy"/>
    <numFmt numFmtId="177" formatCode="#,##0;\(#,##0_ \ \);"/>
    <numFmt numFmtId="178" formatCode="#,##0_ \ ;\(#,##0\)_ ;"/>
    <numFmt numFmtId="179" formatCode="#,##0\ ;\(#,##0\);"/>
    <numFmt numFmtId="180" formatCode="#,##0_ \ ;\(#,##0\)_ ;\ \ "/>
    <numFmt numFmtId="181" formatCode="#,##0_ ;\(#,##0\);"/>
    <numFmt numFmtId="182" formatCode="dd/mm/yy_ "/>
    <numFmt numFmtId="183" formatCode="\(#,##0\)_ ;#,##0_ \ ;\ \(* \)_ "/>
    <numFmt numFmtId="184" formatCode="#,##0_ ;;"/>
    <numFmt numFmtId="185" formatCode="General\ "/>
    <numFmt numFmtId="186" formatCode="0\ ;"/>
    <numFmt numFmtId="187" formatCode="\ \ƒ* #,##0_ \ ;\ \ƒ* ;\ \ƒ* "/>
    <numFmt numFmtId="188" formatCode="\ \ \ \ 0"/>
    <numFmt numFmtId="189" formatCode="0_ "/>
    <numFmt numFmtId="190" formatCode="0;;"/>
    <numFmt numFmtId="191" formatCode="0%;\(0%\);\%"/>
    <numFmt numFmtId="192" formatCode="#,##0.00_ ;\-#,##0.00\ "/>
    <numFmt numFmtId="193" formatCode="#,##0.00_ ;[Red]\-#,##0.00\ "/>
    <numFmt numFmtId="194" formatCode="0.0"/>
    <numFmt numFmtId="195" formatCode="[$-413]dddd\ d\ mmmm\ yyyy"/>
    <numFmt numFmtId="196" formatCode="[$-413]d/mmm/yy;@"/>
    <numFmt numFmtId="197" formatCode="_-* #,##0.0_-;_-* #,##0.0\-;_-* &quot;-&quot;??_-;_-@_-"/>
    <numFmt numFmtId="198" formatCode="_-* #,##0_-;_-* #,##0\-;_-* &quot;-&quot;??_-;_-@_-"/>
    <numFmt numFmtId="199" formatCode="_-\€\ * #,##0_-;_-\€\ * #,##0\-;_-\€\ * &quot;-&quot;??_-;_-@_-"/>
    <numFmt numFmtId="200" formatCode="_-\€\ * #,##0.00_-;_-\€\ * #,##0.00\-;_-\€\ * &quot;-&quot;??_-;_-@_-"/>
  </numFmts>
  <fonts count="27">
    <font>
      <sz val="10"/>
      <name val="Arial"/>
      <family val="0"/>
    </font>
    <font>
      <b/>
      <sz val="10"/>
      <name val="Arial"/>
      <family val="2"/>
    </font>
    <font>
      <sz val="8"/>
      <name val="Arial"/>
      <family val="2"/>
    </font>
    <font>
      <b/>
      <sz val="8"/>
      <name val="Arial"/>
      <family val="2"/>
    </font>
    <font>
      <sz val="9"/>
      <name val="Arial"/>
      <family val="2"/>
    </font>
    <font>
      <b/>
      <sz val="9"/>
      <name val="Arial"/>
      <family val="2"/>
    </font>
    <font>
      <sz val="8"/>
      <color indexed="9"/>
      <name val="Arial"/>
      <family val="2"/>
    </font>
    <font>
      <sz val="10"/>
      <name val="Helv"/>
      <family val="0"/>
    </font>
    <font>
      <b/>
      <sz val="14"/>
      <name val="Helv"/>
      <family val="0"/>
    </font>
    <font>
      <sz val="24"/>
      <color indexed="13"/>
      <name val="Helv"/>
      <family val="0"/>
    </font>
    <font>
      <b/>
      <i/>
      <sz val="8"/>
      <name val="Arial"/>
      <family val="2"/>
    </font>
    <font>
      <sz val="10"/>
      <color indexed="9"/>
      <name val="Arial"/>
      <family val="2"/>
    </font>
    <font>
      <sz val="8"/>
      <name val="Tahoma"/>
      <family val="2"/>
    </font>
    <font>
      <b/>
      <sz val="8"/>
      <color indexed="9"/>
      <name val="Arial"/>
      <family val="2"/>
    </font>
    <font>
      <b/>
      <i/>
      <sz val="9"/>
      <name val="Arial"/>
      <family val="2"/>
    </font>
    <font>
      <sz val="9"/>
      <color indexed="9"/>
      <name val="Arial"/>
      <family val="2"/>
    </font>
    <font>
      <b/>
      <sz val="9"/>
      <color indexed="9"/>
      <name val="Arial"/>
      <family val="2"/>
    </font>
    <font>
      <sz val="12"/>
      <name val="Arial"/>
      <family val="2"/>
    </font>
    <font>
      <sz val="20"/>
      <name val="Arial"/>
      <family val="2"/>
    </font>
    <font>
      <sz val="9"/>
      <color indexed="61"/>
      <name val="Arial"/>
      <family val="2"/>
    </font>
    <font>
      <i/>
      <sz val="9"/>
      <name val="Arial"/>
      <family val="2"/>
    </font>
    <font>
      <b/>
      <sz val="9"/>
      <color indexed="8"/>
      <name val="Arial"/>
      <family val="2"/>
    </font>
    <font>
      <u val="single"/>
      <sz val="10"/>
      <color indexed="12"/>
      <name val="Arial"/>
      <family val="0"/>
    </font>
    <font>
      <u val="single"/>
      <sz val="10"/>
      <color indexed="36"/>
      <name val="Arial"/>
      <family val="0"/>
    </font>
    <font>
      <b/>
      <sz val="12"/>
      <name val="Arial"/>
      <family val="2"/>
    </font>
    <font>
      <sz val="9"/>
      <color indexed="47"/>
      <name val="Arial"/>
      <family val="2"/>
    </font>
    <font>
      <sz val="9"/>
      <color indexed="8"/>
      <name val="Arial"/>
      <family val="2"/>
    </font>
  </fonts>
  <fills count="9">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60"/>
        <bgColor indexed="64"/>
      </patternFill>
    </fill>
    <fill>
      <patternFill patternType="solid">
        <fgColor indexed="16"/>
        <bgColor indexed="64"/>
      </patternFill>
    </fill>
    <fill>
      <patternFill patternType="solid">
        <fgColor indexed="9"/>
        <bgColor indexed="64"/>
      </patternFill>
    </fill>
    <fill>
      <patternFill patternType="solid">
        <fgColor indexed="22"/>
        <bgColor indexed="64"/>
      </patternFill>
    </fill>
  </fills>
  <borders count="84">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style="hair"/>
      <top style="hair"/>
      <bottom>
        <color indexed="63"/>
      </bottom>
    </border>
    <border>
      <left>
        <color indexed="63"/>
      </left>
      <right>
        <color indexed="63"/>
      </right>
      <top style="hair"/>
      <bottom style="hair"/>
    </border>
    <border>
      <left style="thin"/>
      <right style="thin"/>
      <top>
        <color indexed="63"/>
      </top>
      <bottom style="thin"/>
    </border>
    <border>
      <left style="thin"/>
      <right style="thin"/>
      <top style="hair"/>
      <bottom style="thin"/>
    </border>
    <border>
      <left style="thin"/>
      <right>
        <color indexed="63"/>
      </right>
      <top style="thin"/>
      <bottom style="thin"/>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style="thin"/>
    </border>
    <border>
      <left style="thin"/>
      <right style="thin"/>
      <top style="thin"/>
      <bottom>
        <color indexed="63"/>
      </bottom>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color indexed="63"/>
      </top>
      <bottom style="hair"/>
    </border>
    <border>
      <left style="thin"/>
      <right style="hair"/>
      <top style="hair"/>
      <bottom style="hair"/>
    </border>
    <border>
      <left style="thin"/>
      <right style="hair"/>
      <top style="hair"/>
      <bottom style="thin"/>
    </border>
    <border>
      <left style="thin"/>
      <right>
        <color indexed="63"/>
      </right>
      <top style="hair"/>
      <bottom style="hair"/>
    </border>
    <border>
      <left style="thin"/>
      <right>
        <color indexed="63"/>
      </right>
      <top style="hair"/>
      <bottom style="thin"/>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hair"/>
      <right style="hair"/>
      <top style="hair"/>
      <bottom style="thin"/>
    </border>
    <border>
      <left>
        <color indexed="63"/>
      </left>
      <right style="thin"/>
      <top style="thin"/>
      <bottom>
        <color indexed="63"/>
      </bottom>
    </border>
    <border>
      <left style="hair"/>
      <right style="hair"/>
      <top>
        <color indexed="63"/>
      </top>
      <bottom style="hair"/>
    </border>
    <border>
      <left>
        <color indexed="63"/>
      </left>
      <right style="hair"/>
      <top style="thin"/>
      <bottom style="hair"/>
    </border>
    <border>
      <left style="hair"/>
      <right>
        <color indexed="63"/>
      </right>
      <top style="hair"/>
      <bottom style="thin"/>
    </border>
    <border>
      <left style="hair"/>
      <right>
        <color indexed="63"/>
      </right>
      <top style="thin"/>
      <bottom style="thin"/>
    </border>
    <border>
      <left>
        <color indexed="63"/>
      </left>
      <right style="hair"/>
      <top>
        <color indexed="63"/>
      </top>
      <bottom style="thin"/>
    </border>
    <border>
      <left style="hair"/>
      <right style="hair"/>
      <top>
        <color indexed="63"/>
      </top>
      <bottom style="thin"/>
    </border>
    <border>
      <left style="hair"/>
      <right style="hair"/>
      <top style="thin"/>
      <bottom style="thin"/>
    </border>
    <border>
      <left style="thin"/>
      <right style="hair"/>
      <top>
        <color indexed="63"/>
      </top>
      <bottom style="hair"/>
    </border>
    <border>
      <left style="thin"/>
      <right style="hair"/>
      <top style="hair"/>
      <bottom>
        <color indexed="63"/>
      </bottom>
    </border>
    <border>
      <left>
        <color indexed="63"/>
      </left>
      <right style="hair"/>
      <top>
        <color indexed="63"/>
      </top>
      <bottom style="hair"/>
    </border>
    <border>
      <left>
        <color indexed="63"/>
      </left>
      <right>
        <color indexed="63"/>
      </right>
      <top style="thin"/>
      <bottom style="hair"/>
    </border>
    <border>
      <left style="hair"/>
      <right>
        <color indexed="63"/>
      </right>
      <top style="hair"/>
      <bottom>
        <color indexed="63"/>
      </bottom>
    </border>
    <border>
      <left style="thin"/>
      <right>
        <color indexed="63"/>
      </right>
      <top style="thin"/>
      <bottom>
        <color indexed="63"/>
      </bottom>
    </border>
    <border>
      <left style="thin"/>
      <right>
        <color indexed="63"/>
      </right>
      <top>
        <color indexed="63"/>
      </top>
      <bottom style="thin"/>
    </border>
    <border>
      <left style="hair"/>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thin"/>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style="hair"/>
      <bottom style="thin"/>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style="thin"/>
      <top style="hair"/>
      <bottom>
        <color indexed="63"/>
      </bottom>
    </border>
    <border>
      <left>
        <color indexed="63"/>
      </left>
      <right style="thin"/>
      <top>
        <color indexed="63"/>
      </top>
      <bottom style="hair"/>
    </border>
    <border>
      <left style="thin"/>
      <right style="hair"/>
      <top style="thin"/>
      <bottom style="thin"/>
    </border>
    <border>
      <left style="hair"/>
      <right style="thin"/>
      <top style="thin"/>
      <bottom style="thin"/>
    </border>
    <border>
      <left style="hair"/>
      <right style="hair"/>
      <top>
        <color indexed="63"/>
      </top>
      <bottom>
        <color indexed="63"/>
      </bottom>
    </border>
    <border>
      <left>
        <color indexed="63"/>
      </left>
      <right style="thin"/>
      <top style="hair"/>
      <bottom style="hair"/>
    </border>
    <border>
      <left style="thin"/>
      <right style="medium"/>
      <top style="medium"/>
      <bottom style="medium"/>
    </border>
    <border>
      <left style="hair"/>
      <right>
        <color indexed="63"/>
      </right>
      <top style="thin"/>
      <bottom style="hair"/>
    </border>
    <border>
      <left style="hair"/>
      <right style="thin"/>
      <top style="hair"/>
      <bottom style="thin"/>
    </border>
    <border>
      <left style="hair"/>
      <right>
        <color indexed="63"/>
      </right>
      <top>
        <color indexed="63"/>
      </top>
      <bottom style="hair"/>
    </border>
    <border>
      <left style="thin"/>
      <right>
        <color indexed="63"/>
      </right>
      <top>
        <color indexed="63"/>
      </top>
      <bottom style="hair"/>
    </border>
    <border>
      <left style="thin"/>
      <right style="hair"/>
      <top style="thin"/>
      <bottom style="hair"/>
    </border>
    <border>
      <left style="hair"/>
      <right style="thin"/>
      <top style="thin"/>
      <bottom style="hair"/>
    </border>
    <border>
      <left style="hair"/>
      <right style="thin"/>
      <top style="hair"/>
      <bottom style="hair"/>
    </border>
    <border>
      <left style="hair"/>
      <right style="thin"/>
      <top>
        <color indexed="63"/>
      </top>
      <bottom>
        <color indexed="63"/>
      </bottom>
    </border>
  </borders>
  <cellStyleXfs count="45">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1">
      <alignment/>
      <protection/>
    </xf>
    <xf numFmtId="0" fontId="23"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8" fillId="2" borderId="1">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7" fillId="0" borderId="0">
      <alignment/>
      <protection/>
    </xf>
    <xf numFmtId="0" fontId="0" fillId="0" borderId="0">
      <alignment/>
      <protection/>
    </xf>
    <xf numFmtId="0" fontId="0" fillId="0" borderId="0" applyFill="0" applyBorder="0">
      <alignment/>
      <protection/>
    </xf>
    <xf numFmtId="178" fontId="4" fillId="0" borderId="2" applyFill="0" applyBorder="0">
      <alignment/>
      <protection/>
    </xf>
    <xf numFmtId="187" fontId="4" fillId="0" borderId="2" applyFill="0" applyBorder="0">
      <alignment/>
      <protection/>
    </xf>
    <xf numFmtId="183" fontId="4" fillId="0" borderId="2" applyFill="0" applyBorder="0">
      <alignment/>
      <protection/>
    </xf>
    <xf numFmtId="178" fontId="5" fillId="3" borderId="3">
      <alignment/>
      <protection/>
    </xf>
    <xf numFmtId="183" fontId="5" fillId="3" borderId="3">
      <alignment/>
      <protection/>
    </xf>
    <xf numFmtId="0" fontId="7" fillId="0" borderId="1">
      <alignment/>
      <protection/>
    </xf>
    <xf numFmtId="0" fontId="9" fillId="4" borderId="0">
      <alignment/>
      <protection/>
    </xf>
    <xf numFmtId="0" fontId="8" fillId="0" borderId="4">
      <alignment/>
      <protection/>
    </xf>
    <xf numFmtId="0" fontId="8"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1356">
    <xf numFmtId="0" fontId="0" fillId="0" borderId="0" xfId="0" applyAlignment="1">
      <alignment/>
    </xf>
    <xf numFmtId="0" fontId="1" fillId="0" borderId="0" xfId="0" applyNumberFormat="1"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left"/>
      <protection hidden="1"/>
    </xf>
    <xf numFmtId="0" fontId="1" fillId="0" borderId="0" xfId="0" applyFont="1" applyBorder="1" applyAlignment="1" applyProtection="1">
      <alignment/>
      <protection hidden="1"/>
    </xf>
    <xf numFmtId="0" fontId="0" fillId="0" borderId="0" xfId="0" applyBorder="1" applyAlignment="1" applyProtection="1">
      <alignment/>
      <protection hidden="1"/>
    </xf>
    <xf numFmtId="0" fontId="2" fillId="0" borderId="5" xfId="0" applyNumberFormat="1" applyFont="1" applyBorder="1" applyAlignment="1" applyProtection="1">
      <alignment vertical="center"/>
      <protection hidden="1"/>
    </xf>
    <xf numFmtId="0" fontId="2" fillId="0" borderId="5" xfId="0" applyFont="1" applyBorder="1" applyAlignment="1" applyProtection="1">
      <alignment vertical="center"/>
      <protection hidden="1"/>
    </xf>
    <xf numFmtId="0" fontId="13" fillId="0" borderId="5" xfId="0" applyNumberFormat="1" applyFont="1" applyBorder="1" applyAlignment="1" applyProtection="1">
      <alignment vertical="center"/>
      <protection hidden="1"/>
    </xf>
    <xf numFmtId="0" fontId="6" fillId="0" borderId="5" xfId="0" applyFont="1" applyBorder="1" applyAlignment="1" applyProtection="1">
      <alignment vertical="center"/>
      <protection hidden="1"/>
    </xf>
    <xf numFmtId="186" fontId="2" fillId="0" borderId="6" xfId="0" applyNumberFormat="1" applyFont="1" applyBorder="1" applyAlignment="1" applyProtection="1">
      <alignment horizontal="right" vertical="center"/>
      <protection hidden="1"/>
    </xf>
    <xf numFmtId="0" fontId="2"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NumberFormat="1" applyFont="1" applyBorder="1" applyAlignment="1" applyProtection="1">
      <alignment horizontal="left"/>
      <protection hidden="1"/>
    </xf>
    <xf numFmtId="37" fontId="0" fillId="0" borderId="0" xfId="0" applyNumberFormat="1" applyAlignment="1" applyProtection="1">
      <alignment/>
      <protection hidden="1"/>
    </xf>
    <xf numFmtId="2" fontId="0" fillId="0" borderId="0" xfId="0" applyNumberFormat="1" applyFont="1" applyAlignment="1" applyProtection="1">
      <alignment/>
      <protection hidden="1"/>
    </xf>
    <xf numFmtId="37" fontId="0" fillId="0" borderId="0" xfId="0" applyNumberFormat="1" applyFont="1" applyAlignment="1" applyProtection="1">
      <alignment/>
      <protection hidden="1"/>
    </xf>
    <xf numFmtId="37" fontId="1" fillId="0" borderId="0" xfId="0" applyNumberFormat="1" applyFont="1" applyBorder="1" applyAlignment="1" applyProtection="1">
      <alignment horizontal="left"/>
      <protection hidden="1"/>
    </xf>
    <xf numFmtId="37" fontId="1" fillId="0" borderId="0" xfId="0" applyNumberFormat="1" applyFont="1" applyBorder="1" applyAlignment="1" applyProtection="1">
      <alignment horizontal="center"/>
      <protection hidden="1"/>
    </xf>
    <xf numFmtId="0" fontId="1" fillId="0" borderId="0" xfId="32" applyFont="1" applyBorder="1" applyAlignment="1" applyProtection="1">
      <alignment horizontal="left"/>
      <protection hidden="1"/>
    </xf>
    <xf numFmtId="0"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left" vertical="center"/>
      <protection hidden="1"/>
    </xf>
    <xf numFmtId="37" fontId="3" fillId="3" borderId="7" xfId="0" applyNumberFormat="1" applyFont="1" applyFill="1" applyBorder="1" applyAlignment="1" applyProtection="1">
      <alignment horizontal="right" vertical="center"/>
      <protection hidden="1"/>
    </xf>
    <xf numFmtId="37"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right" vertical="center"/>
      <protection hidden="1"/>
    </xf>
    <xf numFmtId="0" fontId="5" fillId="0" borderId="0" xfId="0" applyNumberFormat="1" applyFont="1" applyBorder="1" applyAlignment="1" applyProtection="1">
      <alignment/>
      <protection hidden="1"/>
    </xf>
    <xf numFmtId="37" fontId="5" fillId="0" borderId="0" xfId="0" applyNumberFormat="1" applyFont="1" applyBorder="1" applyAlignment="1" applyProtection="1">
      <alignment/>
      <protection hidden="1"/>
    </xf>
    <xf numFmtId="0" fontId="5" fillId="0" borderId="0" xfId="0" applyFont="1" applyBorder="1" applyAlignment="1" applyProtection="1">
      <alignment horizontal="left" vertical="top"/>
      <protection hidden="1"/>
    </xf>
    <xf numFmtId="0" fontId="5" fillId="0" borderId="0" xfId="0" applyFont="1" applyBorder="1" applyAlignment="1" applyProtection="1">
      <alignment horizontal="right" vertical="top"/>
      <protection hidden="1"/>
    </xf>
    <xf numFmtId="0" fontId="5" fillId="0" borderId="0" xfId="0" applyFont="1" applyBorder="1" applyAlignment="1" applyProtection="1">
      <alignment horizontal="right"/>
      <protection hidden="1"/>
    </xf>
    <xf numFmtId="0" fontId="5" fillId="3" borderId="8" xfId="0" applyNumberFormat="1" applyFont="1" applyFill="1" applyBorder="1" applyAlignment="1" applyProtection="1">
      <alignment horizontal="left"/>
      <protection hidden="1"/>
    </xf>
    <xf numFmtId="0" fontId="5" fillId="3" borderId="9" xfId="0" applyNumberFormat="1" applyFont="1" applyFill="1" applyBorder="1" applyAlignment="1" applyProtection="1">
      <alignment horizontal="left"/>
      <protection hidden="1"/>
    </xf>
    <xf numFmtId="37" fontId="5" fillId="0" borderId="0" xfId="0" applyNumberFormat="1" applyFont="1" applyBorder="1" applyAlignment="1" applyProtection="1">
      <alignment horizontal="left"/>
      <protection hidden="1"/>
    </xf>
    <xf numFmtId="0" fontId="5" fillId="3" borderId="10" xfId="0" applyNumberFormat="1" applyFont="1" applyFill="1" applyBorder="1" applyAlignment="1" applyProtection="1">
      <alignment horizontal="left"/>
      <protection hidden="1"/>
    </xf>
    <xf numFmtId="0" fontId="5" fillId="3" borderId="11" xfId="0" applyNumberFormat="1" applyFont="1" applyFill="1" applyBorder="1" applyAlignment="1" applyProtection="1">
      <alignment horizontal="left"/>
      <protection hidden="1"/>
    </xf>
    <xf numFmtId="37" fontId="4" fillId="0" borderId="12" xfId="0" applyNumberFormat="1" applyFont="1" applyFill="1" applyBorder="1" applyAlignment="1" applyProtection="1">
      <alignment/>
      <protection hidden="1"/>
    </xf>
    <xf numFmtId="0" fontId="5" fillId="3" borderId="3" xfId="0" applyNumberFormat="1" applyFont="1" applyFill="1" applyBorder="1" applyAlignment="1" applyProtection="1">
      <alignment horizontal="left"/>
      <protection hidden="1"/>
    </xf>
    <xf numFmtId="37" fontId="5" fillId="3" borderId="5" xfId="0" applyNumberFormat="1" applyFont="1" applyFill="1" applyBorder="1" applyAlignment="1" applyProtection="1">
      <alignment/>
      <protection hidden="1"/>
    </xf>
    <xf numFmtId="184" fontId="4" fillId="3" borderId="5" xfId="34" applyNumberFormat="1" applyFont="1" applyFill="1" applyBorder="1" applyAlignment="1" applyProtection="1">
      <alignment horizontal="left"/>
      <protection hidden="1"/>
    </xf>
    <xf numFmtId="184" fontId="4" fillId="3" borderId="5" xfId="36" applyNumberFormat="1" applyFont="1" applyFill="1" applyBorder="1" applyAlignment="1" applyProtection="1">
      <alignment/>
      <protection hidden="1"/>
    </xf>
    <xf numFmtId="0" fontId="5" fillId="0" borderId="0" xfId="0" applyNumberFormat="1" applyFont="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horizontal="left"/>
      <protection hidden="1"/>
    </xf>
    <xf numFmtId="0" fontId="5" fillId="0" borderId="0" xfId="0" applyFont="1" applyBorder="1" applyAlignment="1" applyProtection="1">
      <alignment horizontal="left"/>
      <protection hidden="1"/>
    </xf>
    <xf numFmtId="0" fontId="5" fillId="0" borderId="0" xfId="0" applyFont="1" applyBorder="1" applyAlignment="1" applyProtection="1">
      <alignment/>
      <protection hidden="1"/>
    </xf>
    <xf numFmtId="184" fontId="4" fillId="3" borderId="7" xfId="36" applyNumberFormat="1" applyFont="1" applyFill="1" applyBorder="1" applyAlignment="1" applyProtection="1">
      <alignment/>
      <protection hidden="1"/>
    </xf>
    <xf numFmtId="0" fontId="5" fillId="0" borderId="0" xfId="0" applyFont="1" applyAlignment="1" applyProtection="1">
      <alignment/>
      <protection hidden="1"/>
    </xf>
    <xf numFmtId="0" fontId="4" fillId="0" borderId="0" xfId="0" applyFont="1" applyAlignment="1" applyProtection="1">
      <alignment vertical="top"/>
      <protection hidden="1"/>
    </xf>
    <xf numFmtId="37" fontId="4" fillId="0" borderId="13" xfId="0" applyNumberFormat="1" applyFont="1" applyFill="1" applyBorder="1" applyAlignment="1" applyProtection="1">
      <alignment/>
      <protection hidden="1" locked="0"/>
    </xf>
    <xf numFmtId="0" fontId="4" fillId="0" borderId="13" xfId="0" applyFont="1" applyFill="1" applyBorder="1" applyAlignment="1" applyProtection="1">
      <alignment/>
      <protection hidden="1" locked="0"/>
    </xf>
    <xf numFmtId="0" fontId="5" fillId="3" borderId="14" xfId="0" applyNumberFormat="1" applyFont="1" applyFill="1" applyBorder="1" applyAlignment="1" applyProtection="1">
      <alignment horizontal="left"/>
      <protection hidden="1"/>
    </xf>
    <xf numFmtId="0" fontId="4" fillId="3" borderId="5" xfId="0" applyFont="1" applyFill="1" applyBorder="1" applyAlignment="1" applyProtection="1">
      <alignment/>
      <protection hidden="1"/>
    </xf>
    <xf numFmtId="0" fontId="1" fillId="0" borderId="0" xfId="0" applyNumberFormat="1" applyFont="1" applyBorder="1" applyAlignment="1" applyProtection="1">
      <alignment/>
      <protection hidden="1"/>
    </xf>
    <xf numFmtId="0" fontId="5" fillId="3" borderId="15" xfId="0" applyNumberFormat="1" applyFont="1" applyFill="1" applyBorder="1" applyAlignment="1" applyProtection="1">
      <alignment horizontal="left"/>
      <protection hidden="1"/>
    </xf>
    <xf numFmtId="37" fontId="4" fillId="0" borderId="6" xfId="0" applyNumberFormat="1" applyFont="1" applyFill="1" applyBorder="1" applyAlignment="1" applyProtection="1">
      <alignment/>
      <protection hidden="1" locked="0"/>
    </xf>
    <xf numFmtId="0" fontId="4" fillId="0" borderId="6" xfId="0" applyFont="1" applyFill="1" applyBorder="1" applyAlignment="1" applyProtection="1">
      <alignment/>
      <protection hidden="1" locked="0"/>
    </xf>
    <xf numFmtId="166" fontId="4" fillId="0" borderId="0" xfId="0" applyNumberFormat="1" applyFont="1" applyBorder="1" applyAlignment="1" applyProtection="1">
      <alignment horizontal="center"/>
      <protection hidden="1"/>
    </xf>
    <xf numFmtId="178" fontId="4" fillId="0" borderId="0" xfId="34" applyFont="1" applyBorder="1" applyAlignment="1" applyProtection="1">
      <alignment/>
      <protection hidden="1"/>
    </xf>
    <xf numFmtId="37" fontId="5" fillId="3" borderId="16" xfId="0" applyNumberFormat="1" applyFont="1" applyFill="1" applyBorder="1" applyAlignment="1" applyProtection="1">
      <alignment/>
      <protection hidden="1"/>
    </xf>
    <xf numFmtId="0" fontId="5" fillId="3" borderId="5" xfId="0" applyFont="1" applyFill="1" applyBorder="1" applyAlignment="1" applyProtection="1">
      <alignment/>
      <protection hidden="1"/>
    </xf>
    <xf numFmtId="0" fontId="5" fillId="3" borderId="7" xfId="0" applyFont="1" applyFill="1" applyBorder="1" applyAlignment="1" applyProtection="1">
      <alignment/>
      <protection hidden="1"/>
    </xf>
    <xf numFmtId="37" fontId="3" fillId="0" borderId="0" xfId="0" applyNumberFormat="1" applyFont="1" applyFill="1" applyBorder="1" applyAlignment="1" applyProtection="1">
      <alignment horizontal="right" vertical="center"/>
      <protection hidden="1"/>
    </xf>
    <xf numFmtId="185" fontId="3" fillId="0" borderId="0"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protection hidden="1"/>
    </xf>
    <xf numFmtId="37" fontId="3" fillId="0" borderId="0" xfId="0" applyNumberFormat="1" applyFont="1" applyBorder="1" applyAlignment="1" applyProtection="1">
      <alignment/>
      <protection hidden="1"/>
    </xf>
    <xf numFmtId="0" fontId="1" fillId="0" borderId="0" xfId="0" applyFont="1" applyBorder="1" applyAlignment="1" applyProtection="1">
      <alignment horizontal="right" vertical="top"/>
      <protection hidden="1"/>
    </xf>
    <xf numFmtId="0" fontId="1" fillId="0" borderId="0" xfId="0" applyFont="1" applyBorder="1" applyAlignment="1" applyProtection="1">
      <alignment horizontal="right"/>
      <protection hidden="1"/>
    </xf>
    <xf numFmtId="37" fontId="3" fillId="0" borderId="0" xfId="0" applyNumberFormat="1" applyFont="1" applyFill="1" applyBorder="1" applyAlignment="1" applyProtection="1">
      <alignment/>
      <protection hidden="1"/>
    </xf>
    <xf numFmtId="0" fontId="1" fillId="0" borderId="0" xfId="0" applyFont="1" applyFill="1" applyBorder="1" applyAlignment="1" applyProtection="1">
      <alignment horizontal="right" vertical="top"/>
      <protection hidden="1"/>
    </xf>
    <xf numFmtId="0" fontId="1" fillId="0" borderId="0" xfId="0" applyFont="1" applyFill="1" applyBorder="1" applyAlignment="1" applyProtection="1">
      <alignment horizontal="right"/>
      <protection hidden="1"/>
    </xf>
    <xf numFmtId="0" fontId="5"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10" fillId="0" borderId="17" xfId="0" applyNumberFormat="1" applyFont="1" applyFill="1" applyBorder="1" applyAlignment="1" applyProtection="1">
      <alignment horizontal="right"/>
      <protection hidden="1"/>
    </xf>
    <xf numFmtId="0" fontId="1"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0" fontId="5" fillId="0" borderId="17" xfId="0" applyFont="1" applyFill="1" applyBorder="1" applyAlignment="1" applyProtection="1">
      <alignment horizontal="right"/>
      <protection hidden="1"/>
    </xf>
    <xf numFmtId="0" fontId="4" fillId="0" borderId="18" xfId="0" applyFont="1" applyFill="1" applyBorder="1" applyAlignment="1" applyProtection="1">
      <alignment/>
      <protection hidden="1"/>
    </xf>
    <xf numFmtId="178" fontId="4" fillId="0" borderId="19" xfId="34" applyFont="1" applyFill="1" applyBorder="1" applyAlignment="1" applyProtection="1">
      <alignment/>
      <protection hidden="1"/>
    </xf>
    <xf numFmtId="178" fontId="4" fillId="3" borderId="7" xfId="34" applyFont="1" applyFill="1" applyBorder="1" applyAlignment="1" applyProtection="1">
      <alignment/>
      <protection hidden="1"/>
    </xf>
    <xf numFmtId="0" fontId="5" fillId="3" borderId="2" xfId="0" applyNumberFormat="1" applyFont="1" applyFill="1" applyBorder="1" applyAlignment="1" applyProtection="1">
      <alignment horizontal="left"/>
      <protection hidden="1"/>
    </xf>
    <xf numFmtId="0" fontId="5" fillId="0" borderId="20" xfId="0" applyFont="1" applyFill="1" applyBorder="1" applyAlignment="1" applyProtection="1">
      <alignment horizontal="right"/>
      <protection hidden="1"/>
    </xf>
    <xf numFmtId="0" fontId="5" fillId="0" borderId="0" xfId="0" applyNumberFormat="1" applyFont="1" applyFill="1" applyBorder="1" applyAlignment="1" applyProtection="1">
      <alignment/>
      <protection hidden="1"/>
    </xf>
    <xf numFmtId="0" fontId="4" fillId="0" borderId="0" xfId="0" applyFont="1" applyFill="1" applyBorder="1" applyAlignment="1" applyProtection="1">
      <alignment/>
      <protection hidden="1"/>
    </xf>
    <xf numFmtId="0" fontId="1" fillId="0" borderId="0" xfId="0" applyFont="1" applyFill="1" applyBorder="1" applyAlignment="1" applyProtection="1">
      <alignment/>
      <protection hidden="1"/>
    </xf>
    <xf numFmtId="0" fontId="1" fillId="0" borderId="0" xfId="0" applyNumberFormat="1" applyFont="1" applyFill="1" applyAlignment="1" applyProtection="1">
      <alignment/>
      <protection hidden="1"/>
    </xf>
    <xf numFmtId="0" fontId="0" fillId="0" borderId="0" xfId="0" applyFill="1" applyAlignment="1" applyProtection="1">
      <alignment/>
      <protection hidden="1"/>
    </xf>
    <xf numFmtId="0" fontId="10" fillId="0" borderId="13" xfId="0" applyFont="1" applyFill="1" applyBorder="1" applyAlignment="1" applyProtection="1">
      <alignment horizontal="right"/>
      <protection hidden="1"/>
    </xf>
    <xf numFmtId="178" fontId="4" fillId="3" borderId="5" xfId="34" applyFont="1" applyFill="1" applyBorder="1" applyAlignment="1" applyProtection="1">
      <alignment/>
      <protection hidden="1"/>
    </xf>
    <xf numFmtId="0" fontId="4" fillId="0" borderId="0" xfId="0" applyFont="1" applyBorder="1" applyAlignment="1" applyProtection="1">
      <alignment/>
      <protection hidden="1"/>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0" fillId="0" borderId="0" xfId="0" applyFont="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protection hidden="1"/>
    </xf>
    <xf numFmtId="0" fontId="0" fillId="0" borderId="0" xfId="0" applyFont="1" applyBorder="1" applyAlignment="1" applyProtection="1">
      <alignment/>
      <protection hidden="1"/>
    </xf>
    <xf numFmtId="2" fontId="0" fillId="0" borderId="0" xfId="0" applyNumberFormat="1" applyFont="1" applyAlignment="1" applyProtection="1">
      <alignment horizontal="left"/>
      <protection hidden="1"/>
    </xf>
    <xf numFmtId="0" fontId="1" fillId="0" borderId="0" xfId="0" applyNumberFormat="1" applyFont="1" applyBorder="1" applyAlignment="1" applyProtection="1">
      <alignment horizontal="left"/>
      <protection hidden="1"/>
    </xf>
    <xf numFmtId="0" fontId="3" fillId="0" borderId="0" xfId="0" applyFont="1" applyFill="1" applyBorder="1" applyAlignment="1" applyProtection="1">
      <alignment horizontal="left"/>
      <protection hidden="1"/>
    </xf>
    <xf numFmtId="170" fontId="3" fillId="0" borderId="0"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protection hidden="1"/>
    </xf>
    <xf numFmtId="37" fontId="3"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right"/>
      <protection hidden="1"/>
    </xf>
    <xf numFmtId="0" fontId="3" fillId="0" borderId="0" xfId="0" applyFont="1" applyFill="1" applyAlignment="1" applyProtection="1">
      <alignment/>
      <protection hidden="1"/>
    </xf>
    <xf numFmtId="37" fontId="3" fillId="3" borderId="21" xfId="0" applyNumberFormat="1" applyFont="1" applyFill="1" applyBorder="1" applyAlignment="1" applyProtection="1">
      <alignment horizontal="right" vertical="center"/>
      <protection hidden="1"/>
    </xf>
    <xf numFmtId="189" fontId="3" fillId="3" borderId="14" xfId="0" applyNumberFormat="1" applyFont="1" applyFill="1" applyBorder="1" applyAlignment="1" applyProtection="1">
      <alignment horizontal="right" vertical="center"/>
      <protection hidden="1"/>
    </xf>
    <xf numFmtId="0" fontId="3" fillId="3" borderId="22" xfId="0" applyFont="1" applyFill="1" applyBorder="1" applyAlignment="1" applyProtection="1">
      <alignment horizontal="right" vertical="center"/>
      <protection hidden="1"/>
    </xf>
    <xf numFmtId="0" fontId="3" fillId="3" borderId="3" xfId="0" applyFont="1" applyFill="1" applyBorder="1" applyAlignment="1" applyProtection="1">
      <alignment horizontal="right" vertical="center"/>
      <protection hidden="1"/>
    </xf>
    <xf numFmtId="0" fontId="3" fillId="3" borderId="14" xfId="0" applyFont="1" applyFill="1" applyBorder="1" applyAlignment="1" applyProtection="1">
      <alignment horizontal="right" vertical="center"/>
      <protection hidden="1"/>
    </xf>
    <xf numFmtId="170" fontId="5" fillId="0" borderId="0" xfId="0" applyNumberFormat="1" applyFont="1" applyFill="1" applyBorder="1" applyAlignment="1" applyProtection="1">
      <alignment horizontal="left"/>
      <protection hidden="1"/>
    </xf>
    <xf numFmtId="0" fontId="5" fillId="0" borderId="0" xfId="0" applyNumberFormat="1" applyFont="1" applyFill="1" applyBorder="1" applyAlignment="1" applyProtection="1">
      <alignment horizontal="right"/>
      <protection hidden="1"/>
    </xf>
    <xf numFmtId="37"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0" fontId="2" fillId="0" borderId="0" xfId="0" applyNumberFormat="1" applyFont="1" applyBorder="1" applyAlignment="1" applyProtection="1">
      <alignment horizontal="left"/>
      <protection hidden="1"/>
    </xf>
    <xf numFmtId="0" fontId="3" fillId="0" borderId="0" xfId="0" applyFont="1" applyBorder="1" applyAlignment="1" applyProtection="1">
      <alignment horizontal="left"/>
      <protection hidden="1"/>
    </xf>
    <xf numFmtId="0" fontId="2"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Alignment="1" applyProtection="1">
      <alignment/>
      <protection hidden="1"/>
    </xf>
    <xf numFmtId="37" fontId="5" fillId="0" borderId="0" xfId="0" applyNumberFormat="1" applyFont="1" applyFill="1" applyBorder="1" applyAlignment="1" applyProtection="1">
      <alignment horizontal="right"/>
      <protection hidden="1"/>
    </xf>
    <xf numFmtId="0" fontId="10" fillId="0" borderId="0" xfId="0" applyFont="1" applyBorder="1" applyAlignment="1" applyProtection="1">
      <alignment horizontal="right"/>
      <protection hidden="1"/>
    </xf>
    <xf numFmtId="0" fontId="4" fillId="0" borderId="17" xfId="0" applyFont="1" applyFill="1" applyBorder="1" applyAlignment="1" applyProtection="1">
      <alignment/>
      <protection hidden="1"/>
    </xf>
    <xf numFmtId="170" fontId="0" fillId="0" borderId="0" xfId="0" applyNumberFormat="1" applyAlignment="1" applyProtection="1">
      <alignment horizontal="left"/>
      <protection hidden="1"/>
    </xf>
    <xf numFmtId="37" fontId="5" fillId="0" borderId="0" xfId="0" applyNumberFormat="1" applyFont="1" applyFill="1" applyBorder="1" applyAlignment="1" applyProtection="1">
      <alignment horizontal="right" vertical="center"/>
      <protection hidden="1"/>
    </xf>
    <xf numFmtId="0" fontId="5" fillId="0" borderId="0" xfId="32" applyFont="1" applyAlignment="1" applyProtection="1">
      <alignment horizontal="left"/>
      <protection hidden="1"/>
    </xf>
    <xf numFmtId="0" fontId="5" fillId="3" borderId="8" xfId="32" applyFont="1" applyFill="1" applyBorder="1" applyAlignment="1" applyProtection="1">
      <alignment horizontal="left"/>
      <protection hidden="1"/>
    </xf>
    <xf numFmtId="0" fontId="5" fillId="3" borderId="10" xfId="32" applyFont="1" applyFill="1" applyBorder="1" applyAlignment="1" applyProtection="1">
      <alignment horizontal="left"/>
      <protection hidden="1"/>
    </xf>
    <xf numFmtId="0" fontId="4" fillId="0" borderId="0" xfId="32" applyFont="1" applyBorder="1" applyAlignment="1" applyProtection="1">
      <alignment horizontal="center"/>
      <protection hidden="1"/>
    </xf>
    <xf numFmtId="0" fontId="5" fillId="3" borderId="15" xfId="32" applyFont="1" applyFill="1" applyBorder="1" applyAlignment="1" applyProtection="1">
      <alignment horizontal="left"/>
      <protection hidden="1"/>
    </xf>
    <xf numFmtId="0" fontId="5" fillId="3" borderId="3" xfId="32" applyFont="1" applyFill="1" applyBorder="1" applyAlignment="1" applyProtection="1">
      <alignment horizontal="left"/>
      <protection hidden="1"/>
    </xf>
    <xf numFmtId="0" fontId="5" fillId="3" borderId="3" xfId="0" applyFont="1" applyFill="1" applyBorder="1" applyAlignment="1" applyProtection="1">
      <alignment horizontal="left"/>
      <protection hidden="1"/>
    </xf>
    <xf numFmtId="0" fontId="4" fillId="0" borderId="0" xfId="32" applyFont="1" applyAlignment="1" applyProtection="1">
      <alignment horizontal="left"/>
      <protection hidden="1"/>
    </xf>
    <xf numFmtId="37" fontId="5" fillId="0" borderId="0" xfId="0" applyNumberFormat="1" applyFont="1" applyFill="1" applyBorder="1" applyAlignment="1" applyProtection="1">
      <alignment/>
      <protection hidden="1"/>
    </xf>
    <xf numFmtId="0" fontId="5" fillId="3" borderId="8" xfId="0" applyFont="1" applyFill="1" applyBorder="1" applyAlignment="1" applyProtection="1">
      <alignment horizontal="left"/>
      <protection hidden="1"/>
    </xf>
    <xf numFmtId="0" fontId="4" fillId="0" borderId="13" xfId="0" applyFont="1" applyFill="1" applyBorder="1" applyAlignment="1" applyProtection="1">
      <alignment/>
      <protection hidden="1"/>
    </xf>
    <xf numFmtId="0" fontId="5" fillId="3" borderId="10" xfId="0" applyFont="1" applyFill="1" applyBorder="1" applyAlignment="1" applyProtection="1">
      <alignment horizontal="left"/>
      <protection hidden="1"/>
    </xf>
    <xf numFmtId="182" fontId="4" fillId="0" borderId="23" xfId="0" applyNumberFormat="1" applyFont="1" applyFill="1" applyBorder="1" applyAlignment="1" applyProtection="1">
      <alignment horizontal="left"/>
      <protection hidden="1" locked="0"/>
    </xf>
    <xf numFmtId="2" fontId="0" fillId="0" borderId="0" xfId="0" applyNumberFormat="1" applyAlignment="1" applyProtection="1">
      <alignment/>
      <protection hidden="1"/>
    </xf>
    <xf numFmtId="37" fontId="0" fillId="0" borderId="0" xfId="0" applyNumberFormat="1" applyAlignment="1" applyProtection="1">
      <alignment horizontal="center"/>
      <protection hidden="1"/>
    </xf>
    <xf numFmtId="37" fontId="0" fillId="0" borderId="0" xfId="0" applyNumberFormat="1" applyBorder="1" applyAlignment="1" applyProtection="1">
      <alignment/>
      <protection hidden="1"/>
    </xf>
    <xf numFmtId="37" fontId="0" fillId="0" borderId="0" xfId="0" applyNumberFormat="1" applyBorder="1" applyAlignment="1" applyProtection="1">
      <alignment horizontal="center"/>
      <protection hidden="1"/>
    </xf>
    <xf numFmtId="188" fontId="4" fillId="0" borderId="23" xfId="0" applyNumberFormat="1" applyFont="1" applyFill="1" applyBorder="1" applyAlignment="1" applyProtection="1">
      <alignment horizontal="left"/>
      <protection hidden="1"/>
    </xf>
    <xf numFmtId="0" fontId="4" fillId="0" borderId="23" xfId="0" applyNumberFormat="1" applyFont="1" applyFill="1" applyBorder="1" applyAlignment="1" applyProtection="1">
      <alignment horizontal="left"/>
      <protection hidden="1"/>
    </xf>
    <xf numFmtId="0" fontId="4" fillId="5" borderId="24" xfId="0" applyNumberFormat="1" applyFont="1" applyFill="1" applyBorder="1" applyAlignment="1" applyProtection="1">
      <alignment horizontal="left"/>
      <protection hidden="1"/>
    </xf>
    <xf numFmtId="188" fontId="4" fillId="5" borderId="24" xfId="0" applyNumberFormat="1" applyFont="1" applyFill="1" applyBorder="1" applyAlignment="1" applyProtection="1">
      <alignment horizontal="left"/>
      <protection hidden="1"/>
    </xf>
    <xf numFmtId="0" fontId="4" fillId="3" borderId="5" xfId="0" applyNumberFormat="1" applyFont="1" applyFill="1" applyBorder="1" applyAlignment="1" applyProtection="1">
      <alignment horizontal="left"/>
      <protection hidden="1"/>
    </xf>
    <xf numFmtId="178" fontId="4" fillId="0" borderId="0" xfId="0" applyNumberFormat="1" applyFont="1" applyBorder="1" applyAlignment="1" applyProtection="1">
      <alignment/>
      <protection hidden="1"/>
    </xf>
    <xf numFmtId="49" fontId="4" fillId="0" borderId="0" xfId="0" applyNumberFormat="1" applyFont="1" applyBorder="1" applyAlignment="1" applyProtection="1">
      <alignment horizontal="center"/>
      <protection hidden="1"/>
    </xf>
    <xf numFmtId="183" fontId="4" fillId="6" borderId="23" xfId="36" applyFont="1" applyFill="1" applyBorder="1" applyAlignment="1" applyProtection="1">
      <alignment horizontal="right"/>
      <protection hidden="1"/>
    </xf>
    <xf numFmtId="49" fontId="5" fillId="6" borderId="25" xfId="0" applyNumberFormat="1" applyFont="1" applyFill="1" applyBorder="1" applyAlignment="1" applyProtection="1">
      <alignment horizontal="left"/>
      <protection hidden="1"/>
    </xf>
    <xf numFmtId="183" fontId="4" fillId="0" borderId="0" xfId="36" applyFont="1" applyFill="1" applyBorder="1" applyAlignment="1" applyProtection="1">
      <alignment horizontal="right"/>
      <protection hidden="1"/>
    </xf>
    <xf numFmtId="49" fontId="5" fillId="0" borderId="0" xfId="0" applyNumberFormat="1" applyFont="1" applyFill="1" applyBorder="1" applyAlignment="1" applyProtection="1">
      <alignment horizontal="left"/>
      <protection hidden="1"/>
    </xf>
    <xf numFmtId="49" fontId="5" fillId="0" borderId="13" xfId="0" applyNumberFormat="1" applyFont="1" applyFill="1" applyBorder="1" applyAlignment="1" applyProtection="1">
      <alignment horizontal="left"/>
      <protection hidden="1"/>
    </xf>
    <xf numFmtId="49" fontId="5" fillId="0" borderId="6" xfId="0" applyNumberFormat="1" applyFont="1" applyFill="1" applyBorder="1" applyAlignment="1" applyProtection="1">
      <alignment horizontal="left"/>
      <protection hidden="1"/>
    </xf>
    <xf numFmtId="49" fontId="5" fillId="3" borderId="5" xfId="0" applyNumberFormat="1" applyFont="1" applyFill="1" applyBorder="1" applyAlignment="1" applyProtection="1">
      <alignment horizontal="left"/>
      <protection hidden="1"/>
    </xf>
    <xf numFmtId="49" fontId="0" fillId="0" borderId="0" xfId="0" applyNumberFormat="1" applyFont="1" applyBorder="1" applyAlignment="1" applyProtection="1">
      <alignment horizontal="center"/>
      <protection hidden="1"/>
    </xf>
    <xf numFmtId="49" fontId="5" fillId="0" borderId="0" xfId="0" applyNumberFormat="1" applyFont="1" applyFill="1" applyBorder="1" applyAlignment="1" applyProtection="1">
      <alignment horizontal="right"/>
      <protection hidden="1"/>
    </xf>
    <xf numFmtId="49" fontId="4" fillId="0" borderId="0" xfId="0" applyNumberFormat="1" applyFont="1" applyAlignment="1" applyProtection="1">
      <alignment/>
      <protection hidden="1"/>
    </xf>
    <xf numFmtId="49" fontId="4" fillId="0" borderId="13" xfId="0" applyNumberFormat="1" applyFont="1" applyFill="1" applyBorder="1" applyAlignment="1" applyProtection="1">
      <alignment horizontal="left"/>
      <protection hidden="1"/>
    </xf>
    <xf numFmtId="0" fontId="5" fillId="0" borderId="6" xfId="0" applyNumberFormat="1" applyFont="1" applyBorder="1" applyAlignment="1" applyProtection="1">
      <alignment horizontal="left"/>
      <protection hidden="1"/>
    </xf>
    <xf numFmtId="37" fontId="5" fillId="0" borderId="0" xfId="0" applyNumberFormat="1" applyFont="1" applyBorder="1" applyAlignment="1" applyProtection="1">
      <alignment horizontal="right"/>
      <protection hidden="1"/>
    </xf>
    <xf numFmtId="37" fontId="5" fillId="0" borderId="0" xfId="0" applyNumberFormat="1" applyFont="1" applyBorder="1" applyAlignment="1" applyProtection="1">
      <alignment horizontal="right" vertical="top"/>
      <protection hidden="1"/>
    </xf>
    <xf numFmtId="0" fontId="2" fillId="0" borderId="0" xfId="0" applyNumberFormat="1" applyFont="1" applyBorder="1" applyAlignment="1" applyProtection="1">
      <alignment/>
      <protection hidden="1"/>
    </xf>
    <xf numFmtId="37" fontId="4" fillId="0" borderId="0" xfId="0" applyNumberFormat="1" applyFont="1" applyBorder="1" applyAlignment="1" applyProtection="1">
      <alignment/>
      <protection hidden="1"/>
    </xf>
    <xf numFmtId="37" fontId="4" fillId="0" borderId="0" xfId="0" applyNumberFormat="1" applyFont="1" applyBorder="1" applyAlignment="1" applyProtection="1">
      <alignment horizontal="left"/>
      <protection hidden="1"/>
    </xf>
    <xf numFmtId="37" fontId="4" fillId="0" borderId="0" xfId="0" applyNumberFormat="1" applyFont="1" applyBorder="1" applyAlignment="1" applyProtection="1">
      <alignment horizontal="center"/>
      <protection hidden="1"/>
    </xf>
    <xf numFmtId="0" fontId="4" fillId="0" borderId="0" xfId="0" applyNumberFormat="1" applyFont="1" applyBorder="1" applyAlignment="1" applyProtection="1">
      <alignment/>
      <protection hidden="1"/>
    </xf>
    <xf numFmtId="3" fontId="4" fillId="0" borderId="0" xfId="0" applyNumberFormat="1" applyFont="1" applyAlignment="1" applyProtection="1">
      <alignment horizontal="left"/>
      <protection hidden="1"/>
    </xf>
    <xf numFmtId="3" fontId="4" fillId="0" borderId="0" xfId="0" applyNumberFormat="1" applyFont="1" applyAlignment="1" applyProtection="1">
      <alignment/>
      <protection hidden="1"/>
    </xf>
    <xf numFmtId="0" fontId="5" fillId="0" borderId="0" xfId="0" applyNumberFormat="1" applyFont="1" applyAlignment="1" applyProtection="1">
      <alignment vertical="center"/>
      <protection hidden="1"/>
    </xf>
    <xf numFmtId="0" fontId="4" fillId="3" borderId="26" xfId="0" applyFont="1" applyFill="1" applyBorder="1" applyAlignment="1" applyProtection="1">
      <alignment horizontal="left"/>
      <protection hidden="1"/>
    </xf>
    <xf numFmtId="0" fontId="4" fillId="3" borderId="0" xfId="0" applyFont="1" applyFill="1" applyBorder="1" applyAlignment="1" applyProtection="1">
      <alignment horizontal="left"/>
      <protection hidden="1"/>
    </xf>
    <xf numFmtId="0" fontId="4" fillId="3" borderId="0" xfId="0" applyFont="1" applyFill="1" applyBorder="1" applyAlignment="1" applyProtection="1">
      <alignment/>
      <protection hidden="1"/>
    </xf>
    <xf numFmtId="0" fontId="5" fillId="3" borderId="5" xfId="0" applyFont="1" applyFill="1" applyBorder="1" applyAlignment="1" applyProtection="1">
      <alignment horizontal="left"/>
      <protection hidden="1"/>
    </xf>
    <xf numFmtId="0" fontId="3" fillId="0" borderId="0" xfId="0" applyNumberFormat="1" applyFont="1" applyFill="1" applyBorder="1" applyAlignment="1" applyProtection="1">
      <alignment horizontal="left"/>
      <protection hidden="1"/>
    </xf>
    <xf numFmtId="0" fontId="5" fillId="0" borderId="0" xfId="0" applyFont="1" applyBorder="1" applyAlignment="1" applyProtection="1">
      <alignment horizontal="center"/>
      <protection hidden="1"/>
    </xf>
    <xf numFmtId="0" fontId="4" fillId="0" borderId="27" xfId="0" applyFont="1" applyFill="1" applyBorder="1" applyAlignment="1" applyProtection="1">
      <alignment horizontal="left"/>
      <protection hidden="1"/>
    </xf>
    <xf numFmtId="0" fontId="4" fillId="0" borderId="28" xfId="0" applyFont="1" applyFill="1" applyBorder="1" applyAlignment="1" applyProtection="1">
      <alignment/>
      <protection hidden="1"/>
    </xf>
    <xf numFmtId="0" fontId="4" fillId="0" borderId="0" xfId="0" applyFont="1" applyFill="1" applyAlignment="1" applyProtection="1">
      <alignment vertical="center"/>
      <protection hidden="1"/>
    </xf>
    <xf numFmtId="37" fontId="4" fillId="0" borderId="0" xfId="0" applyNumberFormat="1" applyFont="1" applyFill="1" applyAlignment="1" applyProtection="1">
      <alignment vertical="center"/>
      <protection hidden="1"/>
    </xf>
    <xf numFmtId="3" fontId="4" fillId="0" borderId="29" xfId="0" applyNumberFormat="1" applyFont="1" applyFill="1" applyBorder="1" applyAlignment="1" applyProtection="1">
      <alignment horizontal="left"/>
      <protection hidden="1"/>
    </xf>
    <xf numFmtId="0" fontId="4" fillId="0" borderId="29" xfId="0" applyFont="1" applyFill="1" applyBorder="1" applyAlignment="1" applyProtection="1">
      <alignment horizontal="left"/>
      <protection hidden="1"/>
    </xf>
    <xf numFmtId="3" fontId="4" fillId="0" borderId="30" xfId="0" applyNumberFormat="1" applyFont="1" applyFill="1" applyBorder="1" applyAlignment="1" applyProtection="1">
      <alignment horizontal="left"/>
      <protection hidden="1"/>
    </xf>
    <xf numFmtId="0" fontId="4" fillId="0" borderId="19" xfId="0" applyFont="1" applyFill="1" applyBorder="1" applyAlignment="1" applyProtection="1">
      <alignment/>
      <protection hidden="1"/>
    </xf>
    <xf numFmtId="0" fontId="0" fillId="0" borderId="0" xfId="0" applyFill="1" applyBorder="1" applyAlignment="1" applyProtection="1">
      <alignment vertical="center"/>
      <protection hidden="1"/>
    </xf>
    <xf numFmtId="0" fontId="4" fillId="0" borderId="0" xfId="0" applyFont="1" applyAlignment="1" applyProtection="1">
      <alignment horizontal="center"/>
      <protection hidden="1"/>
    </xf>
    <xf numFmtId="0" fontId="4" fillId="3" borderId="16" xfId="0" applyNumberFormat="1" applyFont="1" applyFill="1" applyBorder="1" applyAlignment="1" applyProtection="1">
      <alignment horizontal="left"/>
      <protection hidden="1"/>
    </xf>
    <xf numFmtId="0" fontId="4" fillId="0" borderId="31" xfId="0" applyNumberFormat="1" applyFont="1" applyFill="1" applyBorder="1" applyAlignment="1" applyProtection="1">
      <alignment horizontal="center"/>
      <protection hidden="1"/>
    </xf>
    <xf numFmtId="0" fontId="4" fillId="3" borderId="3" xfId="0" applyNumberFormat="1" applyFont="1" applyFill="1" applyBorder="1" applyAlignment="1" applyProtection="1">
      <alignment horizontal="left"/>
      <protection hidden="1"/>
    </xf>
    <xf numFmtId="0" fontId="4" fillId="0" borderId="13" xfId="0" applyNumberFormat="1" applyFont="1" applyFill="1" applyBorder="1" applyAlignment="1" applyProtection="1">
      <alignment horizontal="left"/>
      <protection hidden="1"/>
    </xf>
    <xf numFmtId="0" fontId="0" fillId="0" borderId="17" xfId="0" applyBorder="1" applyAlignment="1" applyProtection="1">
      <alignment/>
      <protection hidden="1"/>
    </xf>
    <xf numFmtId="0" fontId="4" fillId="0" borderId="32" xfId="0" applyFont="1" applyFill="1" applyBorder="1" applyAlignment="1" applyProtection="1">
      <alignment/>
      <protection hidden="1"/>
    </xf>
    <xf numFmtId="0" fontId="0" fillId="0" borderId="12" xfId="0" applyBorder="1" applyAlignment="1" applyProtection="1">
      <alignment/>
      <protection hidden="1"/>
    </xf>
    <xf numFmtId="0" fontId="5" fillId="0" borderId="5" xfId="0" applyFont="1" applyFill="1" applyBorder="1" applyAlignment="1" applyProtection="1">
      <alignment/>
      <protection hidden="1"/>
    </xf>
    <xf numFmtId="0" fontId="0" fillId="0" borderId="7" xfId="0" applyFill="1" applyBorder="1" applyAlignment="1" applyProtection="1">
      <alignment/>
      <protection hidden="1"/>
    </xf>
    <xf numFmtId="178" fontId="5" fillId="3" borderId="3" xfId="37" applyAlignment="1">
      <alignment/>
      <protection/>
    </xf>
    <xf numFmtId="0" fontId="5" fillId="0" borderId="33" xfId="0" applyFont="1" applyFill="1" applyBorder="1" applyAlignment="1" applyProtection="1">
      <alignment horizontal="right" vertical="top"/>
      <protection hidden="1"/>
    </xf>
    <xf numFmtId="0" fontId="3" fillId="0" borderId="0" xfId="0" applyNumberFormat="1" applyFont="1" applyFill="1" applyBorder="1" applyAlignment="1" applyProtection="1">
      <alignment vertical="center"/>
      <protection hidden="1"/>
    </xf>
    <xf numFmtId="0" fontId="3" fillId="3" borderId="21" xfId="0" applyFont="1" applyFill="1" applyBorder="1" applyAlignment="1" applyProtection="1">
      <alignment horizontal="right" vertical="center"/>
      <protection hidden="1"/>
    </xf>
    <xf numFmtId="37" fontId="3" fillId="0" borderId="34" xfId="0" applyNumberFormat="1" applyFont="1" applyFill="1" applyBorder="1" applyAlignme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NumberFormat="1" applyFont="1" applyBorder="1" applyAlignment="1" applyProtection="1">
      <alignment horizontal="center" vertical="center"/>
      <protection hidden="1"/>
    </xf>
    <xf numFmtId="0" fontId="3" fillId="3" borderId="21" xfId="0" applyNumberFormat="1" applyFont="1" applyFill="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37" fontId="3" fillId="0" borderId="0" xfId="0" applyNumberFormat="1" applyFont="1" applyBorder="1" applyAlignment="1" applyProtection="1">
      <alignment horizontal="center" vertical="center"/>
      <protection hidden="1"/>
    </xf>
    <xf numFmtId="37" fontId="3" fillId="3" borderId="14" xfId="0" applyNumberFormat="1" applyFont="1" applyFill="1" applyBorder="1" applyAlignment="1" applyProtection="1">
      <alignment horizontal="right" vertical="center"/>
      <protection hidden="1"/>
    </xf>
    <xf numFmtId="49" fontId="3" fillId="3" borderId="3" xfId="0" applyNumberFormat="1" applyFont="1" applyFill="1" applyBorder="1" applyAlignment="1" applyProtection="1">
      <alignment horizontal="center" vertical="center"/>
      <protection hidden="1"/>
    </xf>
    <xf numFmtId="0" fontId="3" fillId="3" borderId="3" xfId="0" applyFont="1" applyFill="1" applyBorder="1" applyAlignment="1" applyProtection="1">
      <alignment horizontal="right"/>
      <protection hidden="1"/>
    </xf>
    <xf numFmtId="37" fontId="3" fillId="0" borderId="34" xfId="0" applyNumberFormat="1" applyFont="1" applyBorder="1" applyAlignment="1" applyProtection="1">
      <alignment vertical="center"/>
      <protection hidden="1"/>
    </xf>
    <xf numFmtId="37" fontId="3" fillId="3" borderId="16" xfId="0" applyNumberFormat="1" applyFont="1" applyFill="1" applyBorder="1" applyAlignment="1" applyProtection="1">
      <alignment horizontal="center" vertical="center"/>
      <protection hidden="1"/>
    </xf>
    <xf numFmtId="37" fontId="3" fillId="3" borderId="2"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horizontal="left" vertical="center"/>
      <protection hidden="1"/>
    </xf>
    <xf numFmtId="37" fontId="3" fillId="3" borderId="3" xfId="0" applyNumberFormat="1" applyFont="1" applyFill="1" applyBorder="1" applyAlignment="1" applyProtection="1">
      <alignment horizontal="center" vertical="center"/>
      <protection hidden="1"/>
    </xf>
    <xf numFmtId="0" fontId="3" fillId="0" borderId="34" xfId="0" applyNumberFormat="1" applyFont="1" applyBorder="1" applyAlignment="1" applyProtection="1">
      <alignment horizontal="left" vertical="center"/>
      <protection hidden="1"/>
    </xf>
    <xf numFmtId="3" fontId="3" fillId="3" borderId="21" xfId="0" applyNumberFormat="1" applyFont="1" applyFill="1" applyBorder="1" applyAlignment="1" applyProtection="1">
      <alignment horizontal="left" vertical="center"/>
      <protection hidden="1"/>
    </xf>
    <xf numFmtId="3" fontId="3" fillId="3" borderId="21" xfId="0" applyNumberFormat="1" applyFont="1" applyFill="1" applyBorder="1" applyAlignment="1" applyProtection="1">
      <alignment horizontal="right" vertical="center"/>
      <protection hidden="1"/>
    </xf>
    <xf numFmtId="0" fontId="3" fillId="0" borderId="34" xfId="0" applyNumberFormat="1" applyFont="1" applyBorder="1" applyAlignment="1" applyProtection="1">
      <alignment horizontal="center" vertical="center"/>
      <protection hidden="1"/>
    </xf>
    <xf numFmtId="3" fontId="3" fillId="3" borderId="14" xfId="0" applyNumberFormat="1" applyFont="1" applyFill="1" applyBorder="1" applyAlignment="1" applyProtection="1">
      <alignment horizontal="center" vertical="center"/>
      <protection hidden="1"/>
    </xf>
    <xf numFmtId="2" fontId="3" fillId="3" borderId="14" xfId="0" applyNumberFormat="1" applyFont="1" applyFill="1" applyBorder="1" applyAlignment="1" applyProtection="1">
      <alignment horizontal="right" vertical="center"/>
      <protection hidden="1"/>
    </xf>
    <xf numFmtId="3" fontId="3" fillId="3" borderId="6" xfId="0" applyNumberFormat="1" applyFont="1" applyFill="1" applyBorder="1" applyAlignment="1" applyProtection="1">
      <alignment horizontal="right" vertical="center"/>
      <protection hidden="1"/>
    </xf>
    <xf numFmtId="3" fontId="3" fillId="3" borderId="3" xfId="0" applyNumberFormat="1" applyFont="1" applyFill="1" applyBorder="1" applyAlignment="1" applyProtection="1">
      <alignment horizontal="center" vertical="center"/>
      <protection hidden="1"/>
    </xf>
    <xf numFmtId="37" fontId="3" fillId="3" borderId="3" xfId="0" applyNumberFormat="1" applyFont="1" applyFill="1" applyBorder="1" applyAlignment="1" applyProtection="1">
      <alignment horizontal="right"/>
      <protection hidden="1"/>
    </xf>
    <xf numFmtId="0" fontId="2" fillId="0" borderId="0" xfId="0" applyFont="1" applyBorder="1" applyAlignment="1" applyProtection="1">
      <alignment horizontal="center" vertical="center"/>
      <protection hidden="1"/>
    </xf>
    <xf numFmtId="14" fontId="3" fillId="3" borderId="3" xfId="0" applyNumberFormat="1" applyFont="1" applyFill="1" applyBorder="1" applyAlignment="1" applyProtection="1">
      <alignment horizontal="right" vertical="center"/>
      <protection hidden="1"/>
    </xf>
    <xf numFmtId="49" fontId="4" fillId="0" borderId="18" xfId="0" applyNumberFormat="1" applyFont="1" applyFill="1" applyBorder="1" applyAlignment="1" applyProtection="1">
      <alignment horizontal="left"/>
      <protection hidden="1"/>
    </xf>
    <xf numFmtId="0" fontId="5" fillId="0" borderId="0" xfId="0" applyFont="1" applyFill="1" applyBorder="1" applyAlignment="1" applyProtection="1">
      <alignment/>
      <protection hidden="1"/>
    </xf>
    <xf numFmtId="37" fontId="20" fillId="0" borderId="13" xfId="0" applyNumberFormat="1" applyFont="1" applyFill="1" applyBorder="1" applyAlignment="1" applyProtection="1">
      <alignment/>
      <protection hidden="1" locked="0"/>
    </xf>
    <xf numFmtId="0" fontId="2" fillId="0" borderId="0" xfId="0" applyFont="1" applyAlignment="1" applyProtection="1">
      <alignment horizontal="left"/>
      <protection hidden="1"/>
    </xf>
    <xf numFmtId="49" fontId="4" fillId="0" borderId="0" xfId="0" applyNumberFormat="1" applyFont="1" applyFill="1" applyBorder="1" applyAlignment="1" applyProtection="1">
      <alignment horizontal="left"/>
      <protection hidden="1"/>
    </xf>
    <xf numFmtId="9" fontId="5" fillId="3" borderId="5" xfId="37" applyNumberFormat="1" applyFont="1" applyFill="1" applyBorder="1" applyAlignment="1" applyProtection="1">
      <alignment horizontal="right"/>
      <protection hidden="1"/>
    </xf>
    <xf numFmtId="0" fontId="10" fillId="0" borderId="0" xfId="32" applyFont="1" applyBorder="1" applyAlignment="1" applyProtection="1">
      <alignment horizontal="right"/>
      <protection hidden="1"/>
    </xf>
    <xf numFmtId="0" fontId="14" fillId="0" borderId="0" xfId="0" applyNumberFormat="1" applyFont="1" applyBorder="1" applyAlignment="1" applyProtection="1">
      <alignment horizontal="left"/>
      <protection hidden="1"/>
    </xf>
    <xf numFmtId="37" fontId="2" fillId="0" borderId="0" xfId="0" applyNumberFormat="1" applyFont="1" applyBorder="1" applyAlignment="1" applyProtection="1">
      <alignment vertical="center"/>
      <protection hidden="1"/>
    </xf>
    <xf numFmtId="0" fontId="3" fillId="3" borderId="3"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Alignment="1" applyProtection="1">
      <alignment horizontal="right"/>
      <protection hidden="1"/>
    </xf>
    <xf numFmtId="37" fontId="4" fillId="0" borderId="32" xfId="0" applyNumberFormat="1" applyFont="1" applyFill="1" applyBorder="1" applyAlignment="1" applyProtection="1">
      <alignment/>
      <protection hidden="1"/>
    </xf>
    <xf numFmtId="0" fontId="4" fillId="0" borderId="33" xfId="0" applyFont="1" applyBorder="1" applyAlignment="1" applyProtection="1">
      <alignment horizontal="left"/>
      <protection hidden="1"/>
    </xf>
    <xf numFmtId="183" fontId="4" fillId="0" borderId="25" xfId="36" applyBorder="1" applyAlignment="1" applyProtection="1">
      <alignment/>
      <protection hidden="1"/>
    </xf>
    <xf numFmtId="49" fontId="4" fillId="0" borderId="35"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vertical="center"/>
      <protection hidden="1"/>
    </xf>
    <xf numFmtId="49" fontId="3" fillId="0" borderId="0"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178" fontId="4" fillId="0" borderId="36" xfId="34" applyBorder="1" applyAlignment="1" applyProtection="1">
      <alignment/>
      <protection hidden="1"/>
    </xf>
    <xf numFmtId="0" fontId="3" fillId="3" borderId="21" xfId="0" applyFont="1" applyFill="1" applyBorder="1" applyAlignment="1" applyProtection="1">
      <alignment horizontal="right"/>
      <protection hidden="1"/>
    </xf>
    <xf numFmtId="0" fontId="3" fillId="3" borderId="7" xfId="0" applyFont="1" applyFill="1" applyBorder="1" applyAlignment="1" applyProtection="1">
      <alignment horizontal="right"/>
      <protection hidden="1"/>
    </xf>
    <xf numFmtId="0" fontId="3" fillId="3" borderId="14" xfId="0" applyFont="1" applyFill="1" applyBorder="1" applyAlignment="1" applyProtection="1">
      <alignment horizontal="right"/>
      <protection hidden="1"/>
    </xf>
    <xf numFmtId="49" fontId="4" fillId="0" borderId="19" xfId="0" applyNumberFormat="1" applyFont="1" applyFill="1" applyBorder="1" applyAlignment="1" applyProtection="1">
      <alignment horizontal="left"/>
      <protection hidden="1" locked="0"/>
    </xf>
    <xf numFmtId="49" fontId="4" fillId="0" borderId="32" xfId="0" applyNumberFormat="1" applyFont="1" applyFill="1" applyBorder="1" applyAlignment="1" applyProtection="1">
      <alignment horizontal="left"/>
      <protection hidden="1" locked="0"/>
    </xf>
    <xf numFmtId="49" fontId="4" fillId="0" borderId="0" xfId="0" applyNumberFormat="1" applyFont="1" applyFill="1" applyBorder="1" applyAlignment="1" applyProtection="1">
      <alignment horizontal="left"/>
      <protection hidden="1" locked="0"/>
    </xf>
    <xf numFmtId="0" fontId="3" fillId="3" borderId="37" xfId="0" applyFont="1" applyFill="1" applyBorder="1" applyAlignment="1" applyProtection="1">
      <alignment horizontal="right"/>
      <protection hidden="1"/>
    </xf>
    <xf numFmtId="0" fontId="4" fillId="0" borderId="38" xfId="0" applyNumberFormat="1" applyFont="1" applyFill="1" applyBorder="1" applyAlignment="1" applyProtection="1">
      <alignment horizontal="left"/>
      <protection hidden="1"/>
    </xf>
    <xf numFmtId="0" fontId="4" fillId="0" borderId="32" xfId="0" applyNumberFormat="1" applyFont="1" applyFill="1" applyBorder="1" applyAlignment="1" applyProtection="1">
      <alignment horizontal="left"/>
      <protection hidden="1"/>
    </xf>
    <xf numFmtId="188" fontId="4" fillId="0" borderId="39" xfId="0" applyNumberFormat="1" applyFont="1" applyFill="1" applyBorder="1" applyAlignment="1" applyProtection="1">
      <alignment horizontal="left"/>
      <protection hidden="1"/>
    </xf>
    <xf numFmtId="0" fontId="4" fillId="0" borderId="12" xfId="0" applyFont="1" applyFill="1" applyBorder="1" applyAlignment="1" applyProtection="1">
      <alignment/>
      <protection hidden="1"/>
    </xf>
    <xf numFmtId="0" fontId="20" fillId="0" borderId="29" xfId="0" applyFont="1" applyFill="1" applyBorder="1" applyAlignment="1" applyProtection="1">
      <alignment horizontal="left"/>
      <protection hidden="1"/>
    </xf>
    <xf numFmtId="3" fontId="20" fillId="0" borderId="29" xfId="0" applyNumberFormat="1" applyFont="1" applyFill="1" applyBorder="1" applyAlignment="1" applyProtection="1">
      <alignment horizontal="left"/>
      <protection hidden="1"/>
    </xf>
    <xf numFmtId="3" fontId="20" fillId="0" borderId="35" xfId="0" applyNumberFormat="1" applyFont="1" applyFill="1" applyBorder="1" applyAlignment="1" applyProtection="1">
      <alignment horizontal="left"/>
      <protection hidden="1"/>
    </xf>
    <xf numFmtId="3" fontId="20" fillId="0" borderId="30" xfId="0" applyNumberFormat="1" applyFont="1" applyFill="1" applyBorder="1" applyAlignment="1" applyProtection="1">
      <alignment horizontal="left"/>
      <protection hidden="1"/>
    </xf>
    <xf numFmtId="0" fontId="2" fillId="0" borderId="0" xfId="0" applyNumberFormat="1" applyFont="1" applyBorder="1" applyAlignment="1" applyProtection="1">
      <alignment vertical="center"/>
      <protection hidden="1"/>
    </xf>
    <xf numFmtId="0" fontId="2" fillId="0" borderId="0" xfId="0" applyNumberFormat="1" applyFont="1" applyAlignment="1" applyProtection="1">
      <alignment/>
      <protection hidden="1"/>
    </xf>
    <xf numFmtId="0" fontId="3" fillId="3" borderId="8" xfId="0" applyNumberFormat="1" applyFont="1" applyFill="1" applyBorder="1" applyAlignment="1" applyProtection="1">
      <alignment horizontal="left"/>
      <protection hidden="1"/>
    </xf>
    <xf numFmtId="178" fontId="5" fillId="3" borderId="3" xfId="37" applyFont="1" applyFill="1" applyBorder="1" applyAlignment="1" applyProtection="1">
      <alignment/>
      <protection hidden="1"/>
    </xf>
    <xf numFmtId="190" fontId="4" fillId="0" borderId="13" xfId="0" applyNumberFormat="1" applyFont="1" applyFill="1" applyBorder="1" applyAlignment="1" applyProtection="1">
      <alignment/>
      <protection hidden="1" locked="0"/>
    </xf>
    <xf numFmtId="190" fontId="4" fillId="0" borderId="40" xfId="0" applyNumberFormat="1" applyFont="1" applyFill="1" applyBorder="1" applyAlignment="1" applyProtection="1">
      <alignment horizontal="left"/>
      <protection hidden="1" locked="0"/>
    </xf>
    <xf numFmtId="190" fontId="4" fillId="0" borderId="23" xfId="0" applyNumberFormat="1" applyFont="1" applyFill="1" applyBorder="1" applyAlignment="1" applyProtection="1">
      <alignment horizontal="center"/>
      <protection hidden="1" locked="0"/>
    </xf>
    <xf numFmtId="178" fontId="4" fillId="0" borderId="23" xfId="34" applyFill="1" applyBorder="1" applyAlignment="1" applyProtection="1">
      <alignment/>
      <protection hidden="1" locked="0"/>
    </xf>
    <xf numFmtId="187" fontId="4" fillId="0" borderId="23" xfId="35" applyFill="1" applyBorder="1" applyAlignment="1" applyProtection="1">
      <alignment/>
      <protection hidden="1" locked="0"/>
    </xf>
    <xf numFmtId="187" fontId="4" fillId="0" borderId="23" xfId="35" applyFill="1" applyBorder="1" applyAlignment="1" applyProtection="1">
      <alignment/>
      <protection hidden="1"/>
    </xf>
    <xf numFmtId="178" fontId="4" fillId="0" borderId="23" xfId="34" applyFont="1" applyFill="1" applyBorder="1" applyAlignment="1" applyProtection="1">
      <alignment/>
      <protection hidden="1" locked="0"/>
    </xf>
    <xf numFmtId="0" fontId="4" fillId="0" borderId="5" xfId="0" applyFont="1" applyFill="1" applyBorder="1" applyAlignment="1" applyProtection="1">
      <alignment/>
      <protection hidden="1"/>
    </xf>
    <xf numFmtId="0" fontId="3" fillId="3" borderId="16" xfId="0" applyFont="1" applyFill="1" applyBorder="1" applyAlignment="1" applyProtection="1">
      <alignment horizontal="center"/>
      <protection hidden="1"/>
    </xf>
    <xf numFmtId="0" fontId="0" fillId="0" borderId="7" xfId="0" applyBorder="1" applyAlignment="1">
      <alignment horizontal="center"/>
    </xf>
    <xf numFmtId="0" fontId="2" fillId="0" borderId="0" xfId="0" applyNumberFormat="1" applyFont="1" applyAlignment="1" applyProtection="1">
      <alignment horizontal="justify"/>
      <protection hidden="1"/>
    </xf>
    <xf numFmtId="0" fontId="2" fillId="0" borderId="0" xfId="0" applyFont="1" applyAlignment="1">
      <alignment horizontal="justify"/>
    </xf>
    <xf numFmtId="49" fontId="3" fillId="3" borderId="16" xfId="0" applyNumberFormat="1" applyFont="1" applyFill="1" applyBorder="1" applyAlignment="1" applyProtection="1">
      <alignment horizontal="center" vertical="center"/>
      <protection hidden="1"/>
    </xf>
    <xf numFmtId="49" fontId="3" fillId="3" borderId="5" xfId="0" applyNumberFormat="1" applyFont="1" applyFill="1" applyBorder="1" applyAlignment="1" applyProtection="1">
      <alignment horizontal="center" vertical="center"/>
      <protection hidden="1"/>
    </xf>
    <xf numFmtId="49" fontId="3" fillId="3" borderId="16" xfId="0" applyNumberFormat="1" applyFont="1" applyFill="1" applyBorder="1" applyAlignment="1" applyProtection="1">
      <alignment horizontal="right" vertical="center"/>
      <protection hidden="1"/>
    </xf>
    <xf numFmtId="49" fontId="3" fillId="3" borderId="7" xfId="0" applyNumberFormat="1" applyFont="1" applyFill="1" applyBorder="1" applyAlignment="1" applyProtection="1">
      <alignment horizontal="right" vertical="center"/>
      <protection hidden="1"/>
    </xf>
    <xf numFmtId="178" fontId="4" fillId="0" borderId="41" xfId="34" applyFill="1" applyBorder="1" applyAlignment="1" applyProtection="1">
      <alignment/>
      <protection hidden="1" locked="0"/>
    </xf>
    <xf numFmtId="178" fontId="4" fillId="0" borderId="20" xfId="34" applyFill="1" applyBorder="1" applyAlignment="1" applyProtection="1">
      <alignment/>
      <protection hidden="1" locked="0"/>
    </xf>
    <xf numFmtId="178" fontId="5" fillId="0" borderId="0" xfId="34" applyFont="1" applyFill="1" applyBorder="1" applyAlignment="1" applyProtection="1">
      <alignment horizontal="right"/>
      <protection hidden="1"/>
    </xf>
    <xf numFmtId="178" fontId="14" fillId="0" borderId="0" xfId="34" applyFont="1" applyFill="1" applyBorder="1" applyAlignment="1" applyProtection="1">
      <alignment horizontal="right"/>
      <protection hidden="1"/>
    </xf>
    <xf numFmtId="0" fontId="4" fillId="0" borderId="0" xfId="32" applyFont="1" applyFill="1" applyBorder="1" applyAlignment="1" applyProtection="1">
      <alignment horizontal="left"/>
      <protection hidden="1"/>
    </xf>
    <xf numFmtId="37" fontId="4"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3" borderId="26" xfId="0" applyNumberFormat="1" applyFont="1" applyFill="1" applyBorder="1" applyAlignment="1" applyProtection="1">
      <alignment horizontal="left"/>
      <protection hidden="1"/>
    </xf>
    <xf numFmtId="0" fontId="5" fillId="3" borderId="5" xfId="0" applyNumberFormat="1" applyFont="1" applyFill="1" applyBorder="1" applyAlignment="1" applyProtection="1">
      <alignment horizontal="left"/>
      <protection hidden="1"/>
    </xf>
    <xf numFmtId="0" fontId="5" fillId="3" borderId="0" xfId="0" applyNumberFormat="1" applyFont="1" applyFill="1" applyBorder="1" applyAlignment="1" applyProtection="1">
      <alignment horizontal="left"/>
      <protection hidden="1"/>
    </xf>
    <xf numFmtId="178" fontId="4" fillId="3" borderId="23" xfId="34" applyFill="1" applyBorder="1" applyAlignment="1" applyProtection="1">
      <alignment/>
      <protection hidden="1"/>
    </xf>
    <xf numFmtId="178" fontId="5" fillId="3" borderId="3" xfId="37" applyAlignment="1" applyProtection="1">
      <alignment/>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178" fontId="4" fillId="0" borderId="24" xfId="34" applyFill="1" applyBorder="1" applyAlignment="1" applyProtection="1">
      <alignment/>
      <protection hidden="1" locked="0"/>
    </xf>
    <xf numFmtId="37" fontId="4" fillId="0" borderId="6" xfId="0" applyNumberFormat="1" applyFont="1" applyFill="1" applyBorder="1" applyAlignment="1" applyProtection="1">
      <alignment/>
      <protection hidden="1"/>
    </xf>
    <xf numFmtId="37" fontId="4" fillId="0" borderId="42" xfId="0" applyNumberFormat="1" applyFont="1" applyFill="1" applyBorder="1" applyAlignment="1" applyProtection="1">
      <alignment/>
      <protection hidden="1"/>
    </xf>
    <xf numFmtId="178" fontId="4" fillId="0" borderId="43" xfId="34" applyFill="1" applyBorder="1" applyAlignment="1" applyProtection="1">
      <alignment/>
      <protection hidden="1"/>
    </xf>
    <xf numFmtId="37" fontId="3" fillId="3" borderId="7" xfId="0" applyNumberFormat="1"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183" fontId="4" fillId="0" borderId="23" xfId="36" applyFill="1" applyBorder="1" applyAlignment="1" applyProtection="1">
      <alignment/>
      <protection hidden="1" locked="0"/>
    </xf>
    <xf numFmtId="178" fontId="4" fillId="0" borderId="23" xfId="34" applyFill="1" applyBorder="1" applyAlignment="1" applyProtection="1">
      <alignment/>
      <protection hidden="1"/>
    </xf>
    <xf numFmtId="183" fontId="4" fillId="0" borderId="36" xfId="36" applyFill="1" applyBorder="1" applyAlignment="1" applyProtection="1">
      <alignment/>
      <protection hidden="1" locked="0"/>
    </xf>
    <xf numFmtId="178" fontId="5" fillId="3" borderId="3" xfId="37" applyFill="1" applyAlignment="1" applyProtection="1">
      <alignment/>
      <protection hidden="1"/>
    </xf>
    <xf numFmtId="183" fontId="5" fillId="3" borderId="3" xfId="38" applyAlignment="1" applyProtection="1">
      <alignment/>
      <protection hidden="1"/>
    </xf>
    <xf numFmtId="178" fontId="4" fillId="0" borderId="0" xfId="34" applyFont="1" applyFill="1" applyBorder="1" applyAlignment="1" applyProtection="1">
      <alignment/>
      <protection hidden="1"/>
    </xf>
    <xf numFmtId="178" fontId="5" fillId="0" borderId="5" xfId="37" applyFill="1" applyBorder="1" applyAlignment="1" applyProtection="1">
      <alignment/>
      <protection hidden="1"/>
    </xf>
    <xf numFmtId="178" fontId="5" fillId="3" borderId="5" xfId="34" applyFont="1" applyFill="1" applyBorder="1" applyAlignment="1" applyProtection="1">
      <alignment/>
      <protection hidden="1"/>
    </xf>
    <xf numFmtId="0" fontId="3" fillId="0" borderId="0" xfId="0" applyNumberFormat="1" applyFont="1" applyBorder="1" applyAlignment="1" applyProtection="1">
      <alignment horizontal="left"/>
      <protection hidden="1"/>
    </xf>
    <xf numFmtId="37" fontId="4" fillId="0" borderId="0" xfId="32" applyNumberFormat="1" applyFont="1" applyAlignment="1" applyProtection="1">
      <alignment/>
      <protection hidden="1"/>
    </xf>
    <xf numFmtId="0" fontId="4" fillId="0" borderId="0" xfId="32" applyFont="1" applyAlignment="1" applyProtection="1">
      <alignment/>
      <protection hidden="1"/>
    </xf>
    <xf numFmtId="0" fontId="5" fillId="0" borderId="0" xfId="32" applyFont="1" applyAlignment="1" applyProtection="1">
      <alignment/>
      <protection hidden="1"/>
    </xf>
    <xf numFmtId="0" fontId="4" fillId="0" borderId="27" xfId="32" applyFont="1" applyFill="1" applyBorder="1" applyAlignment="1" applyProtection="1">
      <alignment/>
      <protection hidden="1"/>
    </xf>
    <xf numFmtId="178" fontId="4" fillId="0" borderId="25" xfId="34" applyFill="1" applyBorder="1" applyAlignment="1" applyProtection="1">
      <alignment/>
      <protection hidden="1" locked="0"/>
    </xf>
    <xf numFmtId="0" fontId="4" fillId="0" borderId="0" xfId="32" applyFont="1" applyBorder="1" applyAlignment="1" applyProtection="1">
      <alignment/>
      <protection hidden="1"/>
    </xf>
    <xf numFmtId="183" fontId="4" fillId="0" borderId="38" xfId="36" applyFill="1" applyBorder="1" applyAlignment="1" applyProtection="1">
      <alignment/>
      <protection hidden="1" locked="0"/>
    </xf>
    <xf numFmtId="0" fontId="4" fillId="0" borderId="28" xfId="32" applyFont="1" applyFill="1" applyBorder="1" applyAlignment="1" applyProtection="1">
      <alignment/>
      <protection hidden="1"/>
    </xf>
    <xf numFmtId="178" fontId="4" fillId="5" borderId="36" xfId="34" applyFill="1" applyBorder="1" applyAlignment="1" applyProtection="1">
      <alignment/>
      <protection hidden="1"/>
    </xf>
    <xf numFmtId="178" fontId="4" fillId="0" borderId="44" xfId="34" applyFill="1" applyBorder="1" applyAlignment="1" applyProtection="1">
      <alignment/>
      <protection hidden="1"/>
    </xf>
    <xf numFmtId="0" fontId="5" fillId="3" borderId="3" xfId="32" applyFont="1" applyFill="1" applyBorder="1" applyAlignment="1" applyProtection="1">
      <alignment/>
      <protection hidden="1"/>
    </xf>
    <xf numFmtId="0" fontId="4" fillId="0" borderId="0" xfId="32" applyFont="1" applyFill="1" applyBorder="1" applyAlignment="1" applyProtection="1">
      <alignment/>
      <protection hidden="1"/>
    </xf>
    <xf numFmtId="37" fontId="4" fillId="0" borderId="0" xfId="0" applyNumberFormat="1" applyFont="1" applyFill="1" applyBorder="1" applyAlignment="1" applyProtection="1">
      <alignment/>
      <protection hidden="1"/>
    </xf>
    <xf numFmtId="178" fontId="4" fillId="0" borderId="0" xfId="34" applyFill="1" applyBorder="1" applyAlignment="1" applyProtection="1">
      <alignment/>
      <protection hidden="1"/>
    </xf>
    <xf numFmtId="0" fontId="5" fillId="0" borderId="0" xfId="32" applyFont="1" applyFill="1" applyBorder="1" applyAlignment="1" applyProtection="1">
      <alignment/>
      <protection hidden="1"/>
    </xf>
    <xf numFmtId="178" fontId="5" fillId="0" borderId="0" xfId="37" applyFill="1" applyBorder="1" applyAlignment="1" applyProtection="1">
      <alignment/>
      <protection hidden="1"/>
    </xf>
    <xf numFmtId="183" fontId="5" fillId="3" borderId="3" xfId="38" applyAlignment="1">
      <alignment/>
      <protection/>
    </xf>
    <xf numFmtId="0" fontId="20" fillId="0" borderId="0" xfId="0" applyFont="1" applyFill="1" applyBorder="1" applyAlignment="1" applyProtection="1">
      <alignment/>
      <protection hidden="1"/>
    </xf>
    <xf numFmtId="183" fontId="4" fillId="0" borderId="0" xfId="36" applyFill="1" applyBorder="1" applyAlignment="1">
      <alignment/>
      <protection/>
    </xf>
    <xf numFmtId="178" fontId="4" fillId="0" borderId="17" xfId="34" applyFill="1" applyBorder="1" applyAlignment="1" applyProtection="1">
      <alignment/>
      <protection hidden="1" locked="0"/>
    </xf>
    <xf numFmtId="49" fontId="4" fillId="0" borderId="0" xfId="0" applyNumberFormat="1" applyFont="1" applyBorder="1" applyAlignment="1" applyProtection="1">
      <alignment/>
      <protection hidden="1"/>
    </xf>
    <xf numFmtId="0" fontId="4" fillId="0" borderId="27" xfId="0" applyFont="1" applyFill="1" applyBorder="1" applyAlignment="1" applyProtection="1">
      <alignment/>
      <protection hidden="1"/>
    </xf>
    <xf numFmtId="178" fontId="4" fillId="0" borderId="25" xfId="34" applyBorder="1" applyAlignment="1" applyProtection="1">
      <alignment/>
      <protection hidden="1"/>
    </xf>
    <xf numFmtId="178" fontId="4" fillId="0" borderId="23" xfId="34" applyBorder="1" applyAlignment="1" applyProtection="1">
      <alignment/>
      <protection hidden="1"/>
    </xf>
    <xf numFmtId="0" fontId="5" fillId="3" borderId="3" xfId="0" applyFont="1" applyFill="1" applyBorder="1" applyAlignment="1" applyProtection="1">
      <alignment/>
      <protection hidden="1"/>
    </xf>
    <xf numFmtId="178" fontId="4" fillId="5" borderId="12" xfId="34" applyFill="1" applyBorder="1" applyAlignment="1" applyProtection="1">
      <alignment/>
      <protection hidden="1"/>
    </xf>
    <xf numFmtId="0" fontId="4" fillId="0" borderId="45" xfId="0" applyFont="1" applyFill="1" applyBorder="1" applyAlignment="1" applyProtection="1">
      <alignment/>
      <protection hidden="1"/>
    </xf>
    <xf numFmtId="183" fontId="4" fillId="0" borderId="12" xfId="36" applyFill="1" applyBorder="1" applyAlignment="1" applyProtection="1">
      <alignment/>
      <protection hidden="1" locked="0"/>
    </xf>
    <xf numFmtId="183" fontId="4" fillId="0" borderId="23" xfId="36" applyBorder="1" applyAlignment="1" applyProtection="1">
      <alignment/>
      <protection hidden="1"/>
    </xf>
    <xf numFmtId="0" fontId="4" fillId="0" borderId="46" xfId="0" applyFont="1" applyFill="1" applyBorder="1" applyAlignment="1" applyProtection="1">
      <alignment/>
      <protection hidden="1"/>
    </xf>
    <xf numFmtId="178" fontId="4" fillId="0" borderId="47" xfId="34" applyFill="1" applyBorder="1" applyAlignment="1" applyProtection="1">
      <alignment/>
      <protection hidden="1" locked="0"/>
    </xf>
    <xf numFmtId="178" fontId="5" fillId="3" borderId="7" xfId="37" applyFont="1" applyBorder="1" applyAlignment="1" applyProtection="1">
      <alignment/>
      <protection hidden="1"/>
    </xf>
    <xf numFmtId="178" fontId="5" fillId="0" borderId="0" xfId="37" applyFont="1" applyFill="1" applyBorder="1" applyAlignment="1" applyProtection="1">
      <alignment/>
      <protection hidden="1"/>
    </xf>
    <xf numFmtId="178" fontId="4" fillId="0" borderId="31" xfId="34" applyFont="1" applyFill="1" applyBorder="1" applyAlignment="1" applyProtection="1">
      <alignment/>
      <protection hidden="1"/>
    </xf>
    <xf numFmtId="178" fontId="5" fillId="3" borderId="5" xfId="37" applyFont="1" applyBorder="1" applyAlignment="1" applyProtection="1">
      <alignment/>
      <protection hidden="1"/>
    </xf>
    <xf numFmtId="178" fontId="5" fillId="3" borderId="3" xfId="37" applyBorder="1" applyAlignment="1" applyProtection="1">
      <alignment/>
      <protection hidden="1"/>
    </xf>
    <xf numFmtId="178" fontId="4" fillId="0" borderId="13" xfId="37" applyFont="1" applyFill="1" applyBorder="1" applyAlignment="1" applyProtection="1">
      <alignment/>
      <protection hidden="1"/>
    </xf>
    <xf numFmtId="178" fontId="4" fillId="0" borderId="17" xfId="37" applyFont="1" applyFill="1" applyBorder="1" applyAlignment="1" applyProtection="1">
      <alignment/>
      <protection hidden="1"/>
    </xf>
    <xf numFmtId="0" fontId="4" fillId="0" borderId="13" xfId="0" applyFont="1" applyBorder="1" applyAlignment="1" applyProtection="1">
      <alignment/>
      <protection hidden="1"/>
    </xf>
    <xf numFmtId="183" fontId="4" fillId="0" borderId="13" xfId="36" applyBorder="1" applyAlignment="1" applyProtection="1">
      <alignment/>
      <protection hidden="1"/>
    </xf>
    <xf numFmtId="183" fontId="4" fillId="6" borderId="17" xfId="36" applyFont="1" applyFill="1" applyBorder="1" applyAlignment="1" applyProtection="1">
      <alignment/>
      <protection hidden="1"/>
    </xf>
    <xf numFmtId="183" fontId="4" fillId="0" borderId="23" xfId="36" applyFont="1" applyBorder="1" applyAlignment="1" applyProtection="1">
      <alignment/>
      <protection hidden="1"/>
    </xf>
    <xf numFmtId="183" fontId="4" fillId="0" borderId="0" xfId="36" applyFont="1" applyFill="1" applyBorder="1" applyAlignment="1" applyProtection="1">
      <alignment/>
      <protection hidden="1"/>
    </xf>
    <xf numFmtId="0" fontId="4" fillId="0" borderId="0" xfId="0" applyFont="1" applyFill="1" applyAlignment="1" applyProtection="1">
      <alignment/>
      <protection hidden="1"/>
    </xf>
    <xf numFmtId="0" fontId="4" fillId="0" borderId="29" xfId="0" applyFont="1" applyFill="1" applyBorder="1" applyAlignment="1" applyProtection="1">
      <alignment/>
      <protection hidden="1"/>
    </xf>
    <xf numFmtId="183" fontId="4" fillId="0" borderId="13" xfId="36" applyFont="1" applyFill="1" applyBorder="1" applyAlignment="1" applyProtection="1">
      <alignment/>
      <protection hidden="1"/>
    </xf>
    <xf numFmtId="183" fontId="4" fillId="0" borderId="17" xfId="36" applyFont="1" applyFill="1" applyBorder="1" applyAlignment="1" applyProtection="1">
      <alignment/>
      <protection hidden="1"/>
    </xf>
    <xf numFmtId="183" fontId="4" fillId="0" borderId="6" xfId="36" applyFont="1" applyFill="1" applyBorder="1" applyAlignment="1" applyProtection="1">
      <alignment/>
      <protection hidden="1"/>
    </xf>
    <xf numFmtId="183" fontId="4" fillId="0" borderId="42" xfId="36" applyFont="1" applyFill="1" applyBorder="1" applyAlignment="1" applyProtection="1">
      <alignment/>
      <protection hidden="1"/>
    </xf>
    <xf numFmtId="0" fontId="5" fillId="3" borderId="16" xfId="0" applyFont="1" applyFill="1" applyBorder="1" applyAlignment="1" applyProtection="1">
      <alignment/>
      <protection hidden="1"/>
    </xf>
    <xf numFmtId="183" fontId="5" fillId="3" borderId="5" xfId="36" applyFont="1" applyFill="1" applyBorder="1" applyAlignment="1" applyProtection="1">
      <alignment/>
      <protection hidden="1"/>
    </xf>
    <xf numFmtId="183" fontId="5" fillId="3" borderId="7" xfId="36" applyFont="1" applyFill="1" applyBorder="1" applyAlignment="1" applyProtection="1">
      <alignment/>
      <protection hidden="1"/>
    </xf>
    <xf numFmtId="178" fontId="5" fillId="3" borderId="3" xfId="37" applyFont="1" applyFill="1" applyAlignment="1" applyProtection="1">
      <alignment/>
      <protection hidden="1"/>
    </xf>
    <xf numFmtId="37" fontId="2" fillId="0" borderId="0" xfId="0" applyNumberFormat="1" applyFont="1" applyBorder="1" applyAlignment="1" applyProtection="1">
      <alignment/>
      <protection hidden="1"/>
    </xf>
    <xf numFmtId="178" fontId="4" fillId="0" borderId="23" xfId="34" applyFont="1" applyBorder="1" applyAlignment="1" applyProtection="1">
      <alignment/>
      <protection hidden="1"/>
    </xf>
    <xf numFmtId="0" fontId="4" fillId="0" borderId="35" xfId="0" applyFont="1" applyFill="1" applyBorder="1" applyAlignment="1" applyProtection="1">
      <alignment/>
      <protection hidden="1"/>
    </xf>
    <xf numFmtId="178" fontId="4" fillId="0" borderId="0" xfId="34" applyAlignment="1" applyProtection="1">
      <alignment/>
      <protection hidden="1"/>
    </xf>
    <xf numFmtId="0" fontId="4" fillId="0" borderId="30" xfId="0" applyFont="1" applyFill="1" applyBorder="1" applyAlignment="1" applyProtection="1">
      <alignment/>
      <protection hidden="1"/>
    </xf>
    <xf numFmtId="0" fontId="4" fillId="0" borderId="18" xfId="0" applyFont="1" applyBorder="1" applyAlignment="1" applyProtection="1">
      <alignment/>
      <protection hidden="1"/>
    </xf>
    <xf numFmtId="178" fontId="4" fillId="0" borderId="19" xfId="34" applyBorder="1" applyAlignment="1" applyProtection="1">
      <alignment/>
      <protection hidden="1"/>
    </xf>
    <xf numFmtId="178" fontId="5" fillId="3" borderId="5" xfId="37" applyFont="1" applyFill="1" applyBorder="1" applyAlignment="1" applyProtection="1">
      <alignment/>
      <protection hidden="1"/>
    </xf>
    <xf numFmtId="183" fontId="5" fillId="3" borderId="7" xfId="38" applyFont="1" applyBorder="1" applyAlignment="1" applyProtection="1">
      <alignment/>
      <protection hidden="1"/>
    </xf>
    <xf numFmtId="169" fontId="4" fillId="0" borderId="13" xfId="0" applyNumberFormat="1" applyFont="1" applyFill="1" applyBorder="1" applyAlignment="1" applyProtection="1">
      <alignment/>
      <protection hidden="1"/>
    </xf>
    <xf numFmtId="0" fontId="4" fillId="0" borderId="48" xfId="0" applyFont="1" applyFill="1" applyBorder="1" applyAlignment="1" applyProtection="1">
      <alignment/>
      <protection hidden="1"/>
    </xf>
    <xf numFmtId="178" fontId="4" fillId="0" borderId="48" xfId="34" applyFont="1" applyFill="1" applyBorder="1" applyAlignment="1" applyProtection="1">
      <alignment/>
      <protection hidden="1"/>
    </xf>
    <xf numFmtId="178" fontId="4" fillId="0" borderId="39" xfId="34" applyFont="1" applyFill="1" applyBorder="1" applyAlignment="1" applyProtection="1">
      <alignment/>
      <protection hidden="1"/>
    </xf>
    <xf numFmtId="178" fontId="4" fillId="0" borderId="18" xfId="34" applyFont="1" applyFill="1" applyBorder="1" applyAlignment="1" applyProtection="1">
      <alignment/>
      <protection hidden="1" locked="0"/>
    </xf>
    <xf numFmtId="178" fontId="4" fillId="0" borderId="19" xfId="34" applyFont="1" applyFill="1" applyBorder="1" applyAlignment="1" applyProtection="1">
      <alignment/>
      <protection hidden="1" locked="0"/>
    </xf>
    <xf numFmtId="0" fontId="20" fillId="0" borderId="29" xfId="0" applyFont="1" applyFill="1" applyBorder="1" applyAlignment="1" applyProtection="1">
      <alignment/>
      <protection hidden="1"/>
    </xf>
    <xf numFmtId="0" fontId="20" fillId="0" borderId="35" xfId="0" applyFont="1" applyFill="1" applyBorder="1" applyAlignment="1" applyProtection="1">
      <alignment/>
      <protection hidden="1"/>
    </xf>
    <xf numFmtId="0" fontId="4" fillId="0" borderId="49" xfId="0" applyFont="1" applyBorder="1" applyAlignment="1" applyProtection="1">
      <alignment/>
      <protection hidden="1"/>
    </xf>
    <xf numFmtId="191" fontId="4" fillId="0" borderId="23" xfId="34" applyNumberFormat="1" applyBorder="1" applyAlignment="1" applyProtection="1">
      <alignment/>
      <protection hidden="1"/>
    </xf>
    <xf numFmtId="0" fontId="14" fillId="3" borderId="16" xfId="0" applyFont="1" applyFill="1" applyBorder="1" applyAlignment="1" applyProtection="1">
      <alignment/>
      <protection hidden="1"/>
    </xf>
    <xf numFmtId="183" fontId="5" fillId="3" borderId="5" xfId="38" applyFont="1" applyBorder="1" applyAlignment="1" applyProtection="1">
      <alignment/>
      <protection hidden="1"/>
    </xf>
    <xf numFmtId="2" fontId="4" fillId="0" borderId="0" xfId="0" applyNumberFormat="1" applyFont="1" applyAlignment="1" applyProtection="1">
      <alignment/>
      <protection hidden="1"/>
    </xf>
    <xf numFmtId="37" fontId="4" fillId="0" borderId="27" xfId="0" applyNumberFormat="1" applyFont="1" applyFill="1" applyBorder="1" applyAlignment="1" applyProtection="1">
      <alignment/>
      <protection hidden="1"/>
    </xf>
    <xf numFmtId="178" fontId="4" fillId="0" borderId="17" xfId="34" applyFont="1" applyFill="1" applyBorder="1" applyAlignment="1" applyProtection="1">
      <alignment/>
      <protection hidden="1" locked="0"/>
    </xf>
    <xf numFmtId="183" fontId="4" fillId="0" borderId="23" xfId="36" applyFont="1" applyFill="1" applyBorder="1" applyAlignment="1" applyProtection="1">
      <alignment/>
      <protection hidden="1" locked="0"/>
    </xf>
    <xf numFmtId="183" fontId="19" fillId="6" borderId="25" xfId="36" applyFont="1" applyFill="1" applyBorder="1" applyAlignment="1" applyProtection="1">
      <alignment/>
      <protection hidden="1"/>
    </xf>
    <xf numFmtId="183" fontId="4" fillId="0" borderId="25" xfId="36" applyFont="1" applyFill="1" applyBorder="1" applyAlignment="1" applyProtection="1">
      <alignment/>
      <protection hidden="1" locked="0"/>
    </xf>
    <xf numFmtId="37" fontId="4" fillId="0" borderId="28" xfId="0" applyNumberFormat="1" applyFont="1" applyFill="1" applyBorder="1" applyAlignment="1" applyProtection="1">
      <alignment/>
      <protection hidden="1"/>
    </xf>
    <xf numFmtId="178" fontId="5" fillId="3" borderId="16" xfId="34" applyFont="1" applyFill="1" applyBorder="1" applyAlignment="1" applyProtection="1">
      <alignment/>
      <protection hidden="1"/>
    </xf>
    <xf numFmtId="183" fontId="5" fillId="3" borderId="16" xfId="38" applyBorder="1" applyAlignment="1" applyProtection="1">
      <alignment horizontal="right"/>
      <protection hidden="1"/>
    </xf>
    <xf numFmtId="183" fontId="5" fillId="3" borderId="5" xfId="38" applyBorder="1" applyAlignment="1" applyProtection="1">
      <alignment horizontal="right"/>
      <protection hidden="1"/>
    </xf>
    <xf numFmtId="183" fontId="4" fillId="5" borderId="23" xfId="36" applyFont="1" applyFill="1" applyBorder="1" applyAlignment="1" applyProtection="1">
      <alignment/>
      <protection hidden="1"/>
    </xf>
    <xf numFmtId="183" fontId="4" fillId="5" borderId="36" xfId="36" applyFont="1" applyFill="1" applyBorder="1" applyAlignment="1" applyProtection="1">
      <alignment/>
      <protection hidden="1"/>
    </xf>
    <xf numFmtId="178" fontId="5" fillId="3" borderId="5" xfId="37" applyBorder="1" applyAlignment="1" applyProtection="1">
      <alignment/>
      <protection hidden="1"/>
    </xf>
    <xf numFmtId="183" fontId="5" fillId="3" borderId="5" xfId="38" applyBorder="1" applyAlignment="1" applyProtection="1">
      <alignment/>
      <protection hidden="1"/>
    </xf>
    <xf numFmtId="178" fontId="5" fillId="3" borderId="7" xfId="37" applyBorder="1" applyAlignment="1" applyProtection="1">
      <alignment/>
      <protection hidden="1"/>
    </xf>
    <xf numFmtId="178" fontId="4" fillId="0" borderId="3" xfId="34" applyFont="1" applyFill="1" applyBorder="1" applyAlignment="1" applyProtection="1">
      <alignment/>
      <protection hidden="1" locked="0"/>
    </xf>
    <xf numFmtId="178" fontId="4" fillId="5" borderId="23" xfId="34" applyFont="1" applyFill="1" applyBorder="1" applyAlignment="1" applyProtection="1">
      <alignment/>
      <protection hidden="1"/>
    </xf>
    <xf numFmtId="37" fontId="3" fillId="3" borderId="50" xfId="0" applyNumberFormat="1" applyFont="1" applyFill="1" applyBorder="1" applyAlignment="1" applyProtection="1">
      <alignment horizontal="right" vertical="center"/>
      <protection hidden="1"/>
    </xf>
    <xf numFmtId="0" fontId="2" fillId="0" borderId="37" xfId="0" applyFont="1" applyBorder="1" applyAlignment="1">
      <alignment horizontal="right" vertical="center"/>
    </xf>
    <xf numFmtId="0" fontId="3" fillId="3" borderId="51" xfId="0" applyFont="1" applyFill="1" applyBorder="1" applyAlignment="1" applyProtection="1">
      <alignment horizontal="right" vertical="center"/>
      <protection hidden="1"/>
    </xf>
    <xf numFmtId="0" fontId="2" fillId="0" borderId="22" xfId="0" applyFont="1" applyBorder="1" applyAlignment="1">
      <alignment horizontal="right" vertical="center"/>
    </xf>
    <xf numFmtId="37" fontId="4" fillId="0" borderId="26" xfId="0" applyNumberFormat="1" applyFont="1" applyFill="1" applyBorder="1" applyAlignment="1" applyProtection="1">
      <alignment/>
      <protection hidden="1"/>
    </xf>
    <xf numFmtId="183" fontId="4" fillId="0" borderId="49" xfId="36" applyFont="1" applyFill="1" applyBorder="1" applyAlignment="1" applyProtection="1">
      <alignment/>
      <protection hidden="1" locked="0"/>
    </xf>
    <xf numFmtId="178" fontId="4" fillId="0" borderId="17" xfId="34" applyFont="1" applyFill="1" applyBorder="1" applyAlignment="1" applyProtection="1">
      <alignment/>
      <protection hidden="1"/>
    </xf>
    <xf numFmtId="3" fontId="3" fillId="3" borderId="16" xfId="0" applyNumberFormat="1" applyFont="1" applyFill="1" applyBorder="1" applyAlignment="1" applyProtection="1">
      <alignment horizontal="center" vertical="center"/>
      <protection hidden="1"/>
    </xf>
    <xf numFmtId="3" fontId="3" fillId="3" borderId="5" xfId="0" applyNumberFormat="1" applyFont="1" applyFill="1" applyBorder="1" applyAlignment="1" applyProtection="1">
      <alignment horizontal="center" vertical="center"/>
      <protection hidden="1"/>
    </xf>
    <xf numFmtId="3" fontId="3" fillId="3" borderId="7" xfId="0" applyNumberFormat="1" applyFont="1" applyFill="1" applyBorder="1" applyAlignment="1" applyProtection="1">
      <alignment horizontal="center" vertical="center"/>
      <protection hidden="1"/>
    </xf>
    <xf numFmtId="190" fontId="4" fillId="0" borderId="23" xfId="0" applyNumberFormat="1" applyFont="1" applyFill="1" applyBorder="1" applyAlignment="1" applyProtection="1">
      <alignment/>
      <protection hidden="1" locked="0"/>
    </xf>
    <xf numFmtId="2" fontId="4" fillId="0" borderId="23" xfId="0" applyNumberFormat="1" applyFont="1" applyFill="1" applyBorder="1" applyAlignment="1" applyProtection="1">
      <alignment/>
      <protection hidden="1" locked="0"/>
    </xf>
    <xf numFmtId="181" fontId="5" fillId="3" borderId="16" xfId="34" applyNumberFormat="1" applyFont="1" applyFill="1" applyBorder="1" applyAlignment="1" applyProtection="1">
      <alignment/>
      <protection hidden="1"/>
    </xf>
    <xf numFmtId="181" fontId="5" fillId="3" borderId="5" xfId="34" applyNumberFormat="1" applyFont="1" applyFill="1" applyBorder="1" applyAlignment="1" applyProtection="1">
      <alignment/>
      <protection hidden="1"/>
    </xf>
    <xf numFmtId="3" fontId="5" fillId="0" borderId="0" xfId="0" applyNumberFormat="1" applyFont="1" applyAlignment="1" applyProtection="1">
      <alignment/>
      <protection hidden="1"/>
    </xf>
    <xf numFmtId="183" fontId="4" fillId="0" borderId="36" xfId="36" applyFont="1" applyFill="1" applyBorder="1" applyAlignment="1" applyProtection="1">
      <alignment/>
      <protection hidden="1" locked="0"/>
    </xf>
    <xf numFmtId="183" fontId="4" fillId="0" borderId="36" xfId="36" applyFont="1" applyFill="1" applyBorder="1" applyAlignment="1" applyProtection="1">
      <alignment/>
      <protection hidden="1"/>
    </xf>
    <xf numFmtId="37" fontId="14" fillId="3" borderId="5" xfId="0" applyNumberFormat="1" applyFont="1" applyFill="1" applyBorder="1" applyAlignment="1" applyProtection="1">
      <alignment/>
      <protection hidden="1"/>
    </xf>
    <xf numFmtId="0" fontId="3" fillId="3" borderId="3" xfId="0" applyFont="1" applyFill="1" applyBorder="1" applyAlignment="1" applyProtection="1">
      <alignment/>
      <protection hidden="1"/>
    </xf>
    <xf numFmtId="178" fontId="4" fillId="0" borderId="0" xfId="34" applyFont="1" applyFill="1" applyBorder="1" applyAlignment="1" applyProtection="1">
      <alignment/>
      <protection hidden="1" locked="0"/>
    </xf>
    <xf numFmtId="178" fontId="4" fillId="0" borderId="13" xfId="34" applyFont="1" applyFill="1" applyBorder="1" applyAlignment="1" applyProtection="1">
      <alignment/>
      <protection hidden="1" locked="0"/>
    </xf>
    <xf numFmtId="178" fontId="4" fillId="0" borderId="26" xfId="34" applyFont="1" applyFill="1" applyBorder="1" applyAlignment="1" applyProtection="1">
      <alignment/>
      <protection hidden="1" locked="0"/>
    </xf>
    <xf numFmtId="178" fontId="4" fillId="0" borderId="52" xfId="34" applyFont="1" applyFill="1" applyBorder="1" applyAlignment="1" applyProtection="1">
      <alignment/>
      <protection hidden="1"/>
    </xf>
    <xf numFmtId="178" fontId="5" fillId="3" borderId="21" xfId="37" applyFont="1" applyFill="1" applyBorder="1" applyAlignment="1" applyProtection="1">
      <alignment/>
      <protection hidden="1"/>
    </xf>
    <xf numFmtId="178" fontId="4" fillId="3" borderId="14" xfId="34" applyFont="1" applyFill="1" applyBorder="1" applyAlignment="1" applyProtection="1">
      <alignment/>
      <protection hidden="1" locked="0"/>
    </xf>
    <xf numFmtId="178" fontId="4" fillId="0" borderId="32" xfId="34" applyFont="1" applyFill="1" applyBorder="1" applyAlignment="1" applyProtection="1">
      <alignment/>
      <protection hidden="1"/>
    </xf>
    <xf numFmtId="178" fontId="4" fillId="0" borderId="25" xfId="34" applyFont="1" applyFill="1" applyBorder="1" applyAlignment="1" applyProtection="1">
      <alignment/>
      <protection hidden="1" locked="0"/>
    </xf>
    <xf numFmtId="178" fontId="4" fillId="0" borderId="38" xfId="34" applyFont="1" applyBorder="1" applyAlignment="1" applyProtection="1">
      <alignment/>
      <protection hidden="1"/>
    </xf>
    <xf numFmtId="178" fontId="4" fillId="0" borderId="23" xfId="34" applyFill="1" applyBorder="1" applyProtection="1">
      <alignment/>
      <protection/>
    </xf>
    <xf numFmtId="178" fontId="4" fillId="0" borderId="23" xfId="34" applyFont="1" applyFill="1" applyBorder="1" applyProtection="1">
      <alignment/>
      <protection locked="0"/>
    </xf>
    <xf numFmtId="0" fontId="1" fillId="0" borderId="0" xfId="0" applyNumberFormat="1" applyFont="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2" fillId="0" borderId="5"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2" fillId="0" borderId="5" xfId="0" applyFont="1" applyBorder="1" applyAlignment="1" applyProtection="1">
      <alignment horizontal="left" vertical="center"/>
      <protection/>
    </xf>
    <xf numFmtId="0" fontId="3" fillId="0" borderId="5" xfId="0" applyNumberFormat="1" applyFont="1" applyBorder="1" applyAlignment="1" applyProtection="1">
      <alignment vertical="center"/>
      <protection/>
    </xf>
    <xf numFmtId="186" fontId="2" fillId="0" borderId="6" xfId="0" applyNumberFormat="1" applyFont="1" applyBorder="1" applyAlignment="1" applyProtection="1">
      <alignment horizontal="righ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5" fillId="0" borderId="0" xfId="0" applyNumberFormat="1" applyFont="1" applyBorder="1" applyAlignment="1" applyProtection="1">
      <alignment horizontal="left"/>
      <protection/>
    </xf>
    <xf numFmtId="37" fontId="5" fillId="0" borderId="0" xfId="0" applyNumberFormat="1" applyFont="1" applyBorder="1" applyAlignment="1" applyProtection="1">
      <alignment/>
      <protection/>
    </xf>
    <xf numFmtId="0" fontId="5" fillId="0" borderId="0" xfId="0" applyFont="1" applyBorder="1" applyAlignment="1" applyProtection="1">
      <alignment horizontal="left" vertical="top"/>
      <protection/>
    </xf>
    <xf numFmtId="0" fontId="5" fillId="0" borderId="0" xfId="0" applyFont="1" applyBorder="1" applyAlignment="1" applyProtection="1">
      <alignment horizontal="right" vertical="top"/>
      <protection/>
    </xf>
    <xf numFmtId="0" fontId="5" fillId="0" borderId="0" xfId="0" applyFont="1" applyBorder="1" applyAlignment="1" applyProtection="1">
      <alignment horizontal="right"/>
      <protection/>
    </xf>
    <xf numFmtId="0" fontId="4" fillId="0" borderId="0" xfId="0" applyFont="1" applyBorder="1" applyAlignment="1" applyProtection="1">
      <alignment/>
      <protection/>
    </xf>
    <xf numFmtId="37" fontId="5" fillId="0" borderId="0" xfId="0" applyNumberFormat="1" applyFont="1" applyBorder="1" applyAlignment="1" applyProtection="1">
      <alignment horizontal="left"/>
      <protection/>
    </xf>
    <xf numFmtId="0" fontId="4" fillId="0" borderId="0" xfId="0" applyFont="1" applyAlignment="1" applyProtection="1">
      <alignment/>
      <protection/>
    </xf>
    <xf numFmtId="0" fontId="5" fillId="0" borderId="0" xfId="0" applyNumberFormat="1" applyFont="1" applyAlignment="1" applyProtection="1">
      <alignment/>
      <protection/>
    </xf>
    <xf numFmtId="0" fontId="4" fillId="0" borderId="0" xfId="0" applyFont="1" applyAlignment="1" applyProtection="1">
      <alignment/>
      <protection/>
    </xf>
    <xf numFmtId="0" fontId="5" fillId="0" borderId="0" xfId="0" applyFont="1" applyBorder="1" applyAlignment="1" applyProtection="1">
      <alignment horizontal="left"/>
      <protection/>
    </xf>
    <xf numFmtId="0" fontId="5" fillId="0" borderId="0" xfId="0" applyFont="1" applyBorder="1" applyAlignment="1" applyProtection="1">
      <alignment/>
      <protection/>
    </xf>
    <xf numFmtId="0" fontId="4" fillId="0" borderId="0" xfId="0" applyFont="1" applyAlignment="1" applyProtection="1">
      <alignment horizontal="left"/>
      <protection/>
    </xf>
    <xf numFmtId="0" fontId="5" fillId="0" borderId="0" xfId="0" applyFont="1" applyAlignment="1" applyProtection="1">
      <alignment/>
      <protection/>
    </xf>
    <xf numFmtId="0" fontId="0" fillId="0" borderId="0" xfId="0" applyBorder="1" applyAlignment="1" applyProtection="1">
      <alignment/>
      <protection/>
    </xf>
    <xf numFmtId="0" fontId="0" fillId="0" borderId="0" xfId="0" applyFill="1" applyAlignment="1" applyProtection="1">
      <alignment/>
      <protection/>
    </xf>
    <xf numFmtId="0" fontId="5" fillId="0" borderId="0" xfId="0" applyNumberFormat="1" applyFont="1" applyAlignment="1" applyProtection="1">
      <alignment/>
      <protection/>
    </xf>
    <xf numFmtId="0" fontId="5" fillId="0" borderId="0" xfId="0" applyFont="1" applyAlignment="1" applyProtection="1">
      <alignment/>
      <protection/>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1" fillId="0" borderId="0" xfId="0" applyNumberFormat="1" applyFont="1" applyAlignment="1" applyProtection="1">
      <alignment/>
      <protection/>
    </xf>
    <xf numFmtId="0" fontId="4" fillId="0" borderId="0" xfId="0" applyFont="1" applyFill="1" applyAlignment="1" applyProtection="1">
      <alignment vertical="center"/>
      <protection/>
    </xf>
    <xf numFmtId="37" fontId="4" fillId="0" borderId="0" xfId="0" applyNumberFormat="1" applyFont="1" applyAlignment="1" applyProtection="1">
      <alignment horizontal="left"/>
      <protection/>
    </xf>
    <xf numFmtId="2" fontId="4" fillId="0" borderId="0" xfId="0" applyNumberFormat="1" applyFont="1" applyAlignment="1" applyProtection="1">
      <alignment/>
      <protection/>
    </xf>
    <xf numFmtId="37" fontId="4" fillId="0" borderId="0" xfId="0" applyNumberFormat="1" applyFont="1" applyAlignment="1" applyProtection="1">
      <alignment/>
      <protection/>
    </xf>
    <xf numFmtId="0" fontId="4" fillId="0" borderId="0" xfId="0" applyFont="1" applyFill="1" applyBorder="1" applyAlignment="1" applyProtection="1">
      <alignment/>
      <protection/>
    </xf>
    <xf numFmtId="0" fontId="5" fillId="0" borderId="0" xfId="0" applyFont="1" applyBorder="1" applyAlignment="1" applyProtection="1">
      <alignment/>
      <protection/>
    </xf>
    <xf numFmtId="37" fontId="5" fillId="3" borderId="3" xfId="0" applyNumberFormat="1" applyFont="1" applyFill="1" applyBorder="1" applyAlignment="1" applyProtection="1">
      <alignment horizontal="right"/>
      <protection/>
    </xf>
    <xf numFmtId="0" fontId="4" fillId="0" borderId="0" xfId="0" applyFont="1" applyBorder="1" applyAlignment="1" applyProtection="1">
      <alignment horizontal="left"/>
      <protection/>
    </xf>
    <xf numFmtId="37" fontId="4" fillId="0" borderId="0" xfId="0" applyNumberFormat="1" applyFont="1" applyBorder="1" applyAlignment="1" applyProtection="1">
      <alignment/>
      <protection/>
    </xf>
    <xf numFmtId="0" fontId="5" fillId="0" borderId="0" xfId="0" applyNumberFormat="1" applyFont="1" applyBorder="1" applyAlignment="1" applyProtection="1">
      <alignment/>
      <protection/>
    </xf>
    <xf numFmtId="49" fontId="4" fillId="0" borderId="23" xfId="0" applyNumberFormat="1" applyFont="1" applyFill="1" applyBorder="1" applyAlignment="1" applyProtection="1">
      <alignment horizontal="left"/>
      <protection locked="0"/>
    </xf>
    <xf numFmtId="178" fontId="4" fillId="0" borderId="23" xfId="34" applyFont="1" applyBorder="1" applyProtection="1">
      <alignment/>
      <protection/>
    </xf>
    <xf numFmtId="0" fontId="2" fillId="0" borderId="0" xfId="0" applyNumberFormat="1" applyFont="1" applyBorder="1" applyAlignment="1" applyProtection="1">
      <alignment/>
      <protection/>
    </xf>
    <xf numFmtId="0" fontId="5" fillId="0" borderId="0" xfId="0" applyFont="1" applyFill="1" applyBorder="1" applyAlignment="1" applyProtection="1">
      <alignment/>
      <protection/>
    </xf>
    <xf numFmtId="49" fontId="4" fillId="0" borderId="0" xfId="0" applyNumberFormat="1" applyFont="1" applyBorder="1" applyAlignment="1" applyProtection="1">
      <alignment horizontal="center"/>
      <protection/>
    </xf>
    <xf numFmtId="0" fontId="4" fillId="0" borderId="0" xfId="0" applyFont="1" applyFill="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37" fontId="4" fillId="0" borderId="0" xfId="0" applyNumberFormat="1" applyFont="1" applyAlignment="1" applyProtection="1">
      <alignment/>
      <protection/>
    </xf>
    <xf numFmtId="178" fontId="4" fillId="0" borderId="17" xfId="34" applyFont="1" applyFill="1" applyBorder="1" applyProtection="1">
      <alignment/>
      <protection locked="0"/>
    </xf>
    <xf numFmtId="183" fontId="4" fillId="0" borderId="23" xfId="36" applyFont="1" applyFill="1" applyBorder="1" applyProtection="1">
      <alignment/>
      <protection locked="0"/>
    </xf>
    <xf numFmtId="178" fontId="4" fillId="0" borderId="25" xfId="34" applyFont="1" applyBorder="1" applyAlignment="1" applyProtection="1">
      <alignment/>
      <protection/>
    </xf>
    <xf numFmtId="183" fontId="4" fillId="0" borderId="25" xfId="36" applyFont="1" applyFill="1" applyBorder="1" applyProtection="1">
      <alignment/>
      <protection locked="0"/>
    </xf>
    <xf numFmtId="37" fontId="5" fillId="0" borderId="0" xfId="0" applyNumberFormat="1" applyFont="1" applyBorder="1" applyAlignment="1" applyProtection="1">
      <alignment horizontal="right"/>
      <protection/>
    </xf>
    <xf numFmtId="178" fontId="4" fillId="0" borderId="25" xfId="34" applyFont="1" applyBorder="1" applyProtection="1">
      <alignment/>
      <protection/>
    </xf>
    <xf numFmtId="183" fontId="4" fillId="0" borderId="23" xfId="36" applyFont="1" applyFill="1" applyBorder="1" applyProtection="1">
      <alignment/>
      <protection/>
    </xf>
    <xf numFmtId="0" fontId="2" fillId="0" borderId="0" xfId="0" applyFont="1" applyBorder="1" applyAlignment="1" applyProtection="1">
      <alignment vertical="center"/>
      <protection/>
    </xf>
    <xf numFmtId="37" fontId="5" fillId="0" borderId="0" xfId="0" applyNumberFormat="1" applyFont="1" applyBorder="1" applyAlignment="1" applyProtection="1">
      <alignment horizontal="right" vertical="top"/>
      <protection/>
    </xf>
    <xf numFmtId="37" fontId="4" fillId="0" borderId="0" xfId="0" applyNumberFormat="1" applyFont="1" applyBorder="1" applyAlignment="1" applyProtection="1">
      <alignment/>
      <protection/>
    </xf>
    <xf numFmtId="0" fontId="4" fillId="0" borderId="13" xfId="0" applyFont="1" applyFill="1" applyBorder="1" applyAlignment="1" applyProtection="1">
      <alignment/>
      <protection/>
    </xf>
    <xf numFmtId="0" fontId="2"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23" xfId="0" applyNumberFormat="1" applyFont="1" applyFill="1" applyBorder="1" applyAlignment="1" applyProtection="1">
      <alignment horizontal="center"/>
      <protection locked="0"/>
    </xf>
    <xf numFmtId="3" fontId="4" fillId="0" borderId="0" xfId="0" applyNumberFormat="1" applyFont="1" applyBorder="1" applyAlignment="1" applyProtection="1">
      <alignment horizontal="center"/>
      <protection/>
    </xf>
    <xf numFmtId="0" fontId="2" fillId="0" borderId="0" xfId="0" applyFont="1" applyBorder="1" applyAlignment="1" applyProtection="1">
      <alignment/>
      <protection/>
    </xf>
    <xf numFmtId="178" fontId="2" fillId="0" borderId="13" xfId="34" applyFont="1" applyFill="1" applyBorder="1" applyAlignment="1" applyProtection="1">
      <alignment horizontal="right"/>
      <protection/>
    </xf>
    <xf numFmtId="178" fontId="2" fillId="0" borderId="17" xfId="34" applyFont="1" applyFill="1" applyBorder="1" applyAlignment="1" applyProtection="1">
      <alignment horizontal="right"/>
      <protection/>
    </xf>
    <xf numFmtId="178" fontId="2" fillId="0" borderId="0" xfId="0" applyNumberFormat="1" applyFont="1" applyBorder="1" applyAlignment="1" applyProtection="1">
      <alignment/>
      <protection/>
    </xf>
    <xf numFmtId="37" fontId="4" fillId="0" borderId="0" xfId="0" applyNumberFormat="1" applyFont="1" applyFill="1" applyAlignment="1" applyProtection="1">
      <alignment vertical="center"/>
      <protection/>
    </xf>
    <xf numFmtId="168" fontId="4" fillId="0" borderId="23" xfId="0" applyNumberFormat="1" applyFont="1" applyFill="1" applyBorder="1" applyAlignment="1" applyProtection="1">
      <alignment/>
      <protection locked="0"/>
    </xf>
    <xf numFmtId="0" fontId="4" fillId="0" borderId="0" xfId="0" applyFont="1" applyAlignment="1" applyProtection="1">
      <alignment horizontal="justify"/>
      <protection/>
    </xf>
    <xf numFmtId="0" fontId="3" fillId="0" borderId="0" xfId="0" applyFont="1" applyAlignment="1" applyProtection="1">
      <alignment/>
      <protection/>
    </xf>
    <xf numFmtId="0" fontId="17" fillId="0" borderId="0" xfId="0" applyFont="1" applyAlignment="1" applyProtection="1">
      <alignment/>
      <protection/>
    </xf>
    <xf numFmtId="0" fontId="0" fillId="0" borderId="0" xfId="0" applyAlignment="1" applyProtection="1">
      <alignment horizontal="justify" wrapText="1"/>
      <protection/>
    </xf>
    <xf numFmtId="0" fontId="0" fillId="0" borderId="53" xfId="0" applyBorder="1" applyAlignment="1" applyProtection="1">
      <alignment/>
      <protection/>
    </xf>
    <xf numFmtId="0" fontId="1" fillId="0" borderId="54" xfId="0" applyFont="1" applyBorder="1" applyAlignment="1" applyProtection="1">
      <alignment/>
      <protection/>
    </xf>
    <xf numFmtId="0" fontId="0" fillId="0" borderId="54" xfId="0"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57" xfId="0" applyBorder="1" applyAlignment="1" applyProtection="1">
      <alignment/>
      <protection/>
    </xf>
    <xf numFmtId="0" fontId="1" fillId="0" borderId="16" xfId="0" applyFont="1" applyBorder="1" applyAlignment="1" applyProtection="1">
      <alignment vertical="top"/>
      <protection/>
    </xf>
    <xf numFmtId="0" fontId="0" fillId="0" borderId="7" xfId="0" applyBorder="1" applyAlignment="1" applyProtection="1">
      <alignment vertical="top" wrapText="1"/>
      <protection/>
    </xf>
    <xf numFmtId="0" fontId="0" fillId="0" borderId="0" xfId="0" applyBorder="1" applyAlignment="1" applyProtection="1">
      <alignment vertical="top" wrapText="1"/>
      <protection/>
    </xf>
    <xf numFmtId="0" fontId="0" fillId="0" borderId="57" xfId="0" applyBorder="1" applyAlignment="1" applyProtection="1">
      <alignment/>
      <protection/>
    </xf>
    <xf numFmtId="0" fontId="0" fillId="0" borderId="58" xfId="0" applyFill="1" applyBorder="1" applyAlignment="1" applyProtection="1">
      <alignment/>
      <protection/>
    </xf>
    <xf numFmtId="0" fontId="0" fillId="0" borderId="59" xfId="0" applyFill="1" applyBorder="1" applyAlignment="1" applyProtection="1">
      <alignment/>
      <protection/>
    </xf>
    <xf numFmtId="0" fontId="0" fillId="0" borderId="59" xfId="0" applyFill="1" applyBorder="1" applyAlignment="1" applyProtection="1">
      <alignment vertical="top" wrapText="1"/>
      <protection/>
    </xf>
    <xf numFmtId="0" fontId="0" fillId="0" borderId="59" xfId="0" applyFill="1" applyBorder="1" applyAlignment="1" applyProtection="1">
      <alignment vertical="top"/>
      <protection/>
    </xf>
    <xf numFmtId="0" fontId="0" fillId="0" borderId="60" xfId="0" applyFill="1" applyBorder="1" applyAlignment="1" applyProtection="1">
      <alignment/>
      <protection/>
    </xf>
    <xf numFmtId="0" fontId="4" fillId="0" borderId="0" xfId="0" applyFont="1" applyBorder="1" applyAlignment="1" applyProtection="1">
      <alignment horizontal="center" wrapText="1"/>
      <protection/>
    </xf>
    <xf numFmtId="0" fontId="4" fillId="0" borderId="0" xfId="0" applyFont="1" applyAlignment="1" applyProtection="1">
      <alignment horizontal="justify" wrapText="1"/>
      <protection/>
    </xf>
    <xf numFmtId="0" fontId="4" fillId="0" borderId="5" xfId="0" applyFont="1" applyBorder="1" applyAlignment="1" applyProtection="1">
      <alignment vertical="center"/>
      <protection/>
    </xf>
    <xf numFmtId="0" fontId="0" fillId="0" borderId="0" xfId="0" applyBorder="1" applyAlignment="1" applyProtection="1">
      <alignment vertical="center"/>
      <protection/>
    </xf>
    <xf numFmtId="0" fontId="5" fillId="0" borderId="0" xfId="0" applyFont="1" applyBorder="1" applyAlignment="1" applyProtection="1">
      <alignment vertical="center" wrapText="1"/>
      <protection/>
    </xf>
    <xf numFmtId="0" fontId="4" fillId="0" borderId="6" xfId="0" applyFont="1" applyBorder="1" applyAlignment="1" applyProtection="1">
      <alignment vertical="center"/>
      <protection/>
    </xf>
    <xf numFmtId="0" fontId="5" fillId="0" borderId="0" xfId="0" applyFont="1" applyBorder="1" applyAlignment="1" applyProtection="1">
      <alignment vertical="center"/>
      <protection/>
    </xf>
    <xf numFmtId="37" fontId="4" fillId="0" borderId="0" xfId="0" applyNumberFormat="1" applyFont="1" applyBorder="1" applyAlignment="1" applyProtection="1">
      <alignment vertical="center"/>
      <protection/>
    </xf>
    <xf numFmtId="0" fontId="0" fillId="0" borderId="0" xfId="0" applyFont="1" applyAlignment="1" applyProtection="1">
      <alignment horizontal="left"/>
      <protection/>
    </xf>
    <xf numFmtId="0" fontId="1" fillId="0" borderId="0" xfId="0" applyNumberFormat="1" applyFont="1" applyAlignment="1" applyProtection="1">
      <alignment horizontal="justify"/>
      <protection/>
    </xf>
    <xf numFmtId="0" fontId="0" fillId="0" borderId="0" xfId="0" applyFont="1" applyAlignment="1" applyProtection="1">
      <alignment horizontal="justify"/>
      <protection/>
    </xf>
    <xf numFmtId="0" fontId="1" fillId="0" borderId="0" xfId="0" applyFont="1" applyBorder="1" applyAlignment="1" applyProtection="1">
      <alignment horizontal="justify"/>
      <protection/>
    </xf>
    <xf numFmtId="170" fontId="4" fillId="0" borderId="0" xfId="0" applyNumberFormat="1" applyFont="1" applyAlignment="1" applyProtection="1">
      <alignment/>
      <protection/>
    </xf>
    <xf numFmtId="37" fontId="5" fillId="0" borderId="0" xfId="0" applyNumberFormat="1" applyFont="1" applyAlignment="1" applyProtection="1">
      <alignment/>
      <protection/>
    </xf>
    <xf numFmtId="0" fontId="4" fillId="0" borderId="0" xfId="0" applyNumberFormat="1" applyFont="1" applyAlignment="1" applyProtection="1">
      <alignment/>
      <protection/>
    </xf>
    <xf numFmtId="0" fontId="4" fillId="0" borderId="0" xfId="0" applyFont="1" applyAlignment="1" applyProtection="1">
      <alignment wrapText="1"/>
      <protection/>
    </xf>
    <xf numFmtId="0" fontId="4" fillId="0" borderId="0" xfId="0" applyFont="1" applyBorder="1" applyAlignment="1" applyProtection="1">
      <alignment horizontal="justify"/>
      <protection/>
    </xf>
    <xf numFmtId="37" fontId="4" fillId="0" borderId="0" xfId="0" applyNumberFormat="1" applyFont="1" applyAlignment="1" applyProtection="1">
      <alignment horizontal="justify"/>
      <protection/>
    </xf>
    <xf numFmtId="170" fontId="0" fillId="0" borderId="0" xfId="0" applyNumberFormat="1" applyFont="1" applyAlignment="1" applyProtection="1">
      <alignment/>
      <protection/>
    </xf>
    <xf numFmtId="170" fontId="0" fillId="0" borderId="0" xfId="0" applyNumberFormat="1" applyFont="1" applyAlignment="1" applyProtection="1">
      <alignment horizontal="justify"/>
      <protection/>
    </xf>
    <xf numFmtId="0" fontId="5" fillId="0" borderId="0" xfId="0" applyNumberFormat="1" applyFont="1" applyAlignment="1" applyProtection="1">
      <alignment horizontal="justify"/>
      <protection/>
    </xf>
    <xf numFmtId="176" fontId="4" fillId="0" borderId="61" xfId="0" applyNumberFormat="1" applyFont="1" applyFill="1" applyBorder="1" applyAlignment="1" applyProtection="1">
      <alignment horizontal="left"/>
      <protection locked="0"/>
    </xf>
    <xf numFmtId="176" fontId="4" fillId="0" borderId="36" xfId="0" applyNumberFormat="1" applyFont="1" applyFill="1" applyBorder="1" applyAlignment="1" applyProtection="1">
      <alignment horizontal="left"/>
      <protection locked="0"/>
    </xf>
    <xf numFmtId="180" fontId="4" fillId="0" borderId="23" xfId="36" applyNumberFormat="1" applyFill="1" applyBorder="1" applyProtection="1">
      <alignment/>
      <protection locked="0"/>
    </xf>
    <xf numFmtId="168" fontId="4" fillId="0" borderId="23" xfId="34" applyNumberFormat="1" applyFont="1" applyFill="1" applyBorder="1" applyProtection="1">
      <alignment/>
      <protection locked="0"/>
    </xf>
    <xf numFmtId="14" fontId="4" fillId="0" borderId="23" xfId="0" applyNumberFormat="1" applyFont="1" applyFill="1" applyBorder="1" applyAlignment="1" applyProtection="1">
      <alignment horizontal="left"/>
      <protection locked="0"/>
    </xf>
    <xf numFmtId="0" fontId="4" fillId="0" borderId="13" xfId="0" applyFont="1" applyFill="1" applyBorder="1" applyAlignment="1" applyProtection="1">
      <alignment/>
      <protection hidden="1"/>
    </xf>
    <xf numFmtId="0" fontId="4" fillId="3" borderId="5" xfId="0" applyFont="1" applyFill="1" applyBorder="1" applyAlignment="1" applyProtection="1">
      <alignment/>
      <protection hidden="1"/>
    </xf>
    <xf numFmtId="37" fontId="4" fillId="0" borderId="3" xfId="0" applyNumberFormat="1" applyFont="1" applyFill="1" applyBorder="1" applyAlignment="1" applyProtection="1">
      <alignment vertical="center"/>
      <protection locked="0"/>
    </xf>
    <xf numFmtId="0" fontId="5" fillId="0" borderId="0" xfId="32" applyFont="1" applyBorder="1" applyAlignment="1" applyProtection="1">
      <alignment horizontal="left"/>
      <protection/>
    </xf>
    <xf numFmtId="0" fontId="4" fillId="0" borderId="0" xfId="0" applyFont="1" applyAlignment="1" applyProtection="1">
      <alignment/>
      <protection locked="0"/>
    </xf>
    <xf numFmtId="186" fontId="15" fillId="0" borderId="6" xfId="0" applyNumberFormat="1" applyFont="1" applyBorder="1" applyAlignment="1" applyProtection="1">
      <alignment horizontal="right" vertical="center"/>
      <protection/>
    </xf>
    <xf numFmtId="0" fontId="5" fillId="0" borderId="0" xfId="0" applyNumberFormat="1" applyFont="1" applyBorder="1" applyAlignment="1" applyProtection="1">
      <alignment vertical="center"/>
      <protection/>
    </xf>
    <xf numFmtId="0" fontId="4" fillId="0" borderId="0" xfId="0" applyFont="1" applyAlignment="1">
      <alignment/>
    </xf>
    <xf numFmtId="0" fontId="16" fillId="0" borderId="5" xfId="0" applyNumberFormat="1" applyFont="1" applyBorder="1" applyAlignment="1" applyProtection="1">
      <alignment vertical="center"/>
      <protection/>
    </xf>
    <xf numFmtId="0" fontId="4" fillId="0" borderId="0" xfId="0" applyFont="1" applyFill="1" applyAlignment="1" applyProtection="1">
      <alignment/>
      <protection/>
    </xf>
    <xf numFmtId="0" fontId="5" fillId="3" borderId="3" xfId="0" applyFont="1" applyFill="1" applyBorder="1" applyAlignment="1" applyProtection="1">
      <alignment vertical="center"/>
      <protection/>
    </xf>
    <xf numFmtId="177" fontId="4" fillId="0" borderId="39" xfId="34" applyNumberFormat="1" applyFont="1" applyFill="1" applyBorder="1" applyProtection="1">
      <alignment/>
      <protection locked="0"/>
    </xf>
    <xf numFmtId="177" fontId="4" fillId="0" borderId="17" xfId="34" applyNumberFormat="1" applyFont="1" applyFill="1" applyBorder="1" applyProtection="1">
      <alignment/>
      <protection locked="0"/>
    </xf>
    <xf numFmtId="0" fontId="4" fillId="0" borderId="0" xfId="0" applyFont="1" applyAlignment="1" applyProtection="1">
      <alignment/>
      <protection hidden="1"/>
    </xf>
    <xf numFmtId="3" fontId="4" fillId="0" borderId="23" xfId="34" applyNumberFormat="1" applyFont="1" applyFill="1" applyBorder="1" applyProtection="1">
      <alignment/>
      <protection locked="0"/>
    </xf>
    <xf numFmtId="0" fontId="4" fillId="0" borderId="0" xfId="0" applyFont="1" applyAlignment="1" applyProtection="1">
      <alignment horizontal="left" vertical="top" wrapText="1"/>
      <protection hidden="1"/>
    </xf>
    <xf numFmtId="171" fontId="4" fillId="0" borderId="23" xfId="34" applyNumberFormat="1" applyFont="1" applyFill="1" applyBorder="1" applyProtection="1">
      <alignment/>
      <protection locked="0"/>
    </xf>
    <xf numFmtId="171" fontId="4" fillId="0" borderId="23" xfId="34" applyNumberFormat="1" applyFont="1" applyFill="1" applyBorder="1" applyProtection="1">
      <alignment/>
      <protection/>
    </xf>
    <xf numFmtId="171" fontId="4" fillId="0" borderId="0" xfId="0" applyNumberFormat="1" applyFont="1" applyAlignment="1" applyProtection="1">
      <alignment/>
      <protection/>
    </xf>
    <xf numFmtId="171" fontId="4" fillId="0" borderId="0" xfId="0" applyNumberFormat="1" applyFont="1" applyBorder="1" applyAlignment="1" applyProtection="1">
      <alignment/>
      <protection/>
    </xf>
    <xf numFmtId="171" fontId="4" fillId="0" borderId="23" xfId="36" applyNumberFormat="1" applyFont="1" applyFill="1" applyBorder="1" applyProtection="1">
      <alignment/>
      <protection locked="0"/>
    </xf>
    <xf numFmtId="171" fontId="5" fillId="0" borderId="0" xfId="0" applyNumberFormat="1" applyFont="1" applyAlignment="1" applyProtection="1">
      <alignment/>
      <protection/>
    </xf>
    <xf numFmtId="171" fontId="2" fillId="0" borderId="17" xfId="34" applyNumberFormat="1" applyFont="1" applyFill="1" applyBorder="1" applyAlignment="1" applyProtection="1">
      <alignment horizontal="right"/>
      <protection/>
    </xf>
    <xf numFmtId="0" fontId="2" fillId="0" borderId="0" xfId="0" applyFont="1" applyAlignment="1" applyProtection="1">
      <alignment horizontal="right" vertical="center"/>
      <protection/>
    </xf>
    <xf numFmtId="0" fontId="16" fillId="0" borderId="6" xfId="0" applyNumberFormat="1" applyFont="1" applyBorder="1" applyAlignment="1" applyProtection="1">
      <alignment vertical="center"/>
      <protection/>
    </xf>
    <xf numFmtId="0" fontId="16" fillId="0" borderId="0" xfId="0" applyNumberFormat="1" applyFont="1" applyBorder="1" applyAlignment="1" applyProtection="1">
      <alignment vertical="center"/>
      <protection/>
    </xf>
    <xf numFmtId="0" fontId="4" fillId="0" borderId="5" xfId="0" applyNumberFormat="1" applyFont="1" applyBorder="1" applyAlignment="1" applyProtection="1">
      <alignment vertical="center"/>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37" fontId="4" fillId="0" borderId="0" xfId="0" applyNumberFormat="1" applyFont="1" applyAlignment="1" applyProtection="1">
      <alignment horizontal="center"/>
      <protection hidden="1"/>
    </xf>
    <xf numFmtId="37" fontId="15" fillId="0" borderId="0" xfId="0" applyNumberFormat="1" applyFont="1" applyAlignment="1" applyProtection="1">
      <alignment/>
      <protection hidden="1"/>
    </xf>
    <xf numFmtId="0" fontId="15" fillId="0" borderId="0" xfId="0" applyFont="1" applyAlignment="1" applyProtection="1">
      <alignment/>
      <protection hidden="1"/>
    </xf>
    <xf numFmtId="0" fontId="4" fillId="0" borderId="0" xfId="0" applyFont="1" applyAlignment="1" applyProtection="1">
      <alignment horizontal="justify" wrapText="1"/>
      <protection hidden="1"/>
    </xf>
    <xf numFmtId="0" fontId="4" fillId="0" borderId="0" xfId="0" applyFont="1" applyAlignment="1" applyProtection="1">
      <alignment horizontal="justify"/>
      <protection hidden="1"/>
    </xf>
    <xf numFmtId="0" fontId="5" fillId="0" borderId="0" xfId="0" applyNumberFormat="1" applyFont="1" applyBorder="1" applyAlignment="1" applyProtection="1">
      <alignment vertical="center"/>
      <protection hidden="1"/>
    </xf>
    <xf numFmtId="0" fontId="16" fillId="0" borderId="0" xfId="0" applyNumberFormat="1" applyFont="1" applyBorder="1" applyAlignment="1" applyProtection="1">
      <alignment vertical="center"/>
      <protection hidden="1"/>
    </xf>
    <xf numFmtId="186" fontId="4" fillId="0" borderId="0" xfId="0" applyNumberFormat="1" applyFont="1" applyBorder="1" applyAlignment="1" applyProtection="1">
      <alignment horizontal="right" vertical="center"/>
      <protection hidden="1"/>
    </xf>
    <xf numFmtId="0" fontId="4" fillId="0" borderId="0" xfId="0" applyNumberFormat="1" applyFont="1" applyBorder="1" applyAlignment="1" applyProtection="1">
      <alignment vertical="center"/>
      <protection hidden="1"/>
    </xf>
    <xf numFmtId="186" fontId="4" fillId="0" borderId="6" xfId="0" applyNumberFormat="1" applyFont="1" applyBorder="1" applyAlignment="1" applyProtection="1">
      <alignment horizontal="right" vertical="center"/>
      <protection hidden="1"/>
    </xf>
    <xf numFmtId="0" fontId="4" fillId="0" borderId="5" xfId="0" applyFont="1" applyBorder="1" applyAlignment="1" applyProtection="1">
      <alignment vertical="center"/>
      <protection hidden="1"/>
    </xf>
    <xf numFmtId="0" fontId="4" fillId="0" borderId="5" xfId="0" applyFont="1" applyBorder="1" applyAlignment="1" applyProtection="1">
      <alignment horizontal="left" vertical="center"/>
      <protection hidden="1"/>
    </xf>
    <xf numFmtId="0" fontId="5" fillId="0" borderId="5" xfId="0" applyNumberFormat="1" applyFont="1" applyBorder="1" applyAlignment="1" applyProtection="1">
      <alignment vertical="center"/>
      <protection hidden="1"/>
    </xf>
    <xf numFmtId="0" fontId="16" fillId="0" borderId="5" xfId="0" applyNumberFormat="1" applyFont="1" applyBorder="1" applyAlignment="1" applyProtection="1">
      <alignment vertical="center"/>
      <protection hidden="1"/>
    </xf>
    <xf numFmtId="0" fontId="15" fillId="0" borderId="5" xfId="0" applyFont="1" applyBorder="1" applyAlignment="1" applyProtection="1">
      <alignment vertical="center"/>
      <protection hidden="1"/>
    </xf>
    <xf numFmtId="2" fontId="4" fillId="0" borderId="0" xfId="0" applyNumberFormat="1" applyFont="1" applyAlignment="1" applyProtection="1">
      <alignment horizontal="left"/>
      <protection hidden="1"/>
    </xf>
    <xf numFmtId="0" fontId="14" fillId="0" borderId="0" xfId="32" applyFont="1" applyBorder="1" applyAlignment="1" applyProtection="1">
      <alignment horizontal="left"/>
      <protection hidden="1"/>
    </xf>
    <xf numFmtId="37" fontId="5" fillId="0" borderId="0" xfId="0" applyNumberFormat="1" applyFont="1" applyBorder="1" applyAlignment="1" applyProtection="1">
      <alignment horizontal="center"/>
      <protection hidden="1"/>
    </xf>
    <xf numFmtId="0" fontId="5" fillId="0" borderId="0" xfId="32" applyFont="1" applyBorder="1" applyAlignment="1" applyProtection="1">
      <alignment horizontal="left"/>
      <protection hidden="1"/>
    </xf>
    <xf numFmtId="37" fontId="5" fillId="3" borderId="16" xfId="0" applyNumberFormat="1" applyFont="1" applyFill="1" applyBorder="1" applyAlignment="1" applyProtection="1">
      <alignment vertical="center"/>
      <protection hidden="1"/>
    </xf>
    <xf numFmtId="37" fontId="5" fillId="3" borderId="3" xfId="0" applyNumberFormat="1" applyFont="1" applyFill="1" applyBorder="1" applyAlignment="1" applyProtection="1">
      <alignment horizontal="left" vertical="center"/>
      <protection hidden="1"/>
    </xf>
    <xf numFmtId="37" fontId="5" fillId="3" borderId="7" xfId="0" applyNumberFormat="1" applyFont="1" applyFill="1" applyBorder="1" applyAlignment="1" applyProtection="1">
      <alignment horizontal="right" vertical="center"/>
      <protection hidden="1"/>
    </xf>
    <xf numFmtId="37" fontId="5" fillId="0" borderId="0" xfId="0" applyNumberFormat="1" applyFont="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4" fillId="0" borderId="0" xfId="0" applyNumberFormat="1" applyFont="1" applyAlignment="1" applyProtection="1">
      <alignment horizontal="right"/>
      <protection hidden="1"/>
    </xf>
    <xf numFmtId="0" fontId="4" fillId="0" borderId="0" xfId="0" applyNumberFormat="1" applyFont="1" applyAlignment="1" applyProtection="1">
      <alignment/>
      <protection hidden="1"/>
    </xf>
    <xf numFmtId="37" fontId="5" fillId="3" borderId="21" xfId="0" applyNumberFormat="1" applyFont="1" applyFill="1" applyBorder="1" applyAlignment="1" applyProtection="1">
      <alignment horizontal="right" vertical="center"/>
      <protection hidden="1"/>
    </xf>
    <xf numFmtId="0" fontId="4" fillId="0" borderId="0" xfId="0" applyFont="1" applyBorder="1" applyAlignment="1" applyProtection="1">
      <alignment/>
      <protection hidden="1"/>
    </xf>
    <xf numFmtId="0" fontId="4" fillId="0" borderId="13" xfId="0" applyFont="1" applyBorder="1" applyAlignment="1" applyProtection="1">
      <alignment/>
      <protection hidden="1"/>
    </xf>
    <xf numFmtId="178" fontId="4" fillId="0" borderId="32" xfId="34" applyFont="1" applyFill="1" applyBorder="1" applyProtection="1">
      <alignment/>
      <protection hidden="1"/>
    </xf>
    <xf numFmtId="0" fontId="5" fillId="3" borderId="3" xfId="0" applyFont="1" applyFill="1" applyBorder="1" applyAlignment="1" applyProtection="1">
      <alignment horizontal="right" vertical="center"/>
      <protection hidden="1"/>
    </xf>
    <xf numFmtId="0" fontId="5" fillId="3" borderId="14" xfId="0" applyFont="1" applyFill="1" applyBorder="1" applyAlignment="1" applyProtection="1">
      <alignment horizontal="right" vertical="center"/>
      <protection hidden="1"/>
    </xf>
    <xf numFmtId="0" fontId="5" fillId="0" borderId="0" xfId="0" applyNumberFormat="1" applyFont="1" applyAlignment="1" applyProtection="1">
      <alignment/>
      <protection hidden="1"/>
    </xf>
    <xf numFmtId="37" fontId="4" fillId="0" borderId="17"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horizontal="left"/>
      <protection hidden="1"/>
    </xf>
    <xf numFmtId="0" fontId="5" fillId="3" borderId="3" xfId="0" applyFont="1" applyFill="1" applyBorder="1" applyAlignment="1" applyProtection="1">
      <alignment vertical="center"/>
      <protection hidden="1"/>
    </xf>
    <xf numFmtId="0" fontId="5" fillId="3" borderId="16" xfId="0" applyFont="1" applyFill="1" applyBorder="1" applyAlignment="1" applyProtection="1">
      <alignment horizontal="left" vertical="center"/>
      <protection hidden="1"/>
    </xf>
    <xf numFmtId="37" fontId="5" fillId="3" borderId="2" xfId="0" applyNumberFormat="1" applyFont="1" applyFill="1" applyBorder="1" applyAlignment="1" applyProtection="1">
      <alignment horizontal="right" vertical="center"/>
      <protection hidden="1"/>
    </xf>
    <xf numFmtId="0" fontId="5" fillId="3" borderId="21" xfId="0" applyFont="1" applyFill="1" applyBorder="1" applyAlignment="1" applyProtection="1">
      <alignment horizontal="right" vertical="center"/>
      <protection hidden="1"/>
    </xf>
    <xf numFmtId="0" fontId="5" fillId="0" borderId="0" xfId="0" applyFont="1" applyAlignment="1" applyProtection="1">
      <alignment vertical="center"/>
      <protection hidden="1"/>
    </xf>
    <xf numFmtId="0" fontId="4" fillId="0" borderId="34" xfId="0" applyFont="1" applyBorder="1" applyAlignment="1" applyProtection="1">
      <alignment vertical="center"/>
      <protection hidden="1"/>
    </xf>
    <xf numFmtId="0" fontId="3" fillId="0" borderId="5" xfId="0" applyNumberFormat="1" applyFont="1" applyBorder="1" applyAlignment="1" applyProtection="1">
      <alignment vertical="center"/>
      <protection hidden="1"/>
    </xf>
    <xf numFmtId="0" fontId="4" fillId="0" borderId="0" xfId="0" applyFont="1" applyBorder="1" applyAlignment="1" applyProtection="1">
      <alignment horizontal="left"/>
      <protection hidden="1"/>
    </xf>
    <xf numFmtId="37" fontId="4" fillId="0" borderId="0" xfId="0" applyNumberFormat="1" applyFont="1" applyAlignment="1" applyProtection="1">
      <alignment/>
      <protection hidden="1"/>
    </xf>
    <xf numFmtId="178" fontId="5" fillId="0" borderId="17" xfId="34" applyFont="1" applyFill="1" applyBorder="1" applyAlignment="1" applyProtection="1">
      <alignment horizontal="right"/>
      <protection hidden="1"/>
    </xf>
    <xf numFmtId="37" fontId="4" fillId="0" borderId="0" xfId="0" applyNumberFormat="1" applyFont="1" applyBorder="1" applyAlignment="1" applyProtection="1">
      <alignment/>
      <protection hidden="1"/>
    </xf>
    <xf numFmtId="0" fontId="0" fillId="0" borderId="0" xfId="0" applyAlignment="1" applyProtection="1">
      <alignment/>
      <protection hidden="1"/>
    </xf>
    <xf numFmtId="0" fontId="5" fillId="0" borderId="6" xfId="0" applyNumberFormat="1" applyFont="1" applyBorder="1" applyAlignment="1" applyProtection="1">
      <alignment vertical="center"/>
      <protection hidden="1"/>
    </xf>
    <xf numFmtId="178" fontId="4" fillId="0" borderId="0" xfId="0" applyNumberFormat="1" applyFont="1" applyBorder="1" applyAlignment="1" applyProtection="1">
      <alignment/>
      <protection hidden="1"/>
    </xf>
    <xf numFmtId="0" fontId="4" fillId="0" borderId="0" xfId="0" applyFont="1" applyFill="1" applyBorder="1" applyAlignment="1" applyProtection="1">
      <alignment/>
      <protection hidden="1"/>
    </xf>
    <xf numFmtId="0" fontId="5" fillId="0" borderId="0" xfId="0" applyFont="1" applyFill="1" applyBorder="1" applyAlignment="1" applyProtection="1">
      <alignment vertical="center"/>
      <protection hidden="1"/>
    </xf>
    <xf numFmtId="0" fontId="5" fillId="0" borderId="0" xfId="0" applyNumberFormat="1" applyFont="1" applyBorder="1" applyAlignment="1" applyProtection="1">
      <alignment/>
      <protection hidden="1"/>
    </xf>
    <xf numFmtId="37" fontId="5" fillId="0" borderId="34" xfId="0" applyNumberFormat="1" applyFont="1" applyBorder="1" applyAlignment="1" applyProtection="1">
      <alignment vertical="center"/>
      <protection hidden="1"/>
    </xf>
    <xf numFmtId="37" fontId="5" fillId="3" borderId="16" xfId="0" applyNumberFormat="1" applyFont="1" applyFill="1" applyBorder="1" applyAlignment="1" applyProtection="1">
      <alignment horizontal="center" vertical="center"/>
      <protection hidden="1"/>
    </xf>
    <xf numFmtId="37" fontId="5" fillId="0" borderId="0" xfId="0" applyNumberFormat="1" applyFont="1" applyBorder="1" applyAlignment="1" applyProtection="1">
      <alignment/>
      <protection hidden="1"/>
    </xf>
    <xf numFmtId="37" fontId="5" fillId="0" borderId="0" xfId="0" applyNumberFormat="1" applyFont="1" applyBorder="1" applyAlignment="1" applyProtection="1">
      <alignment horizontal="center" vertical="top"/>
      <protection hidden="1"/>
    </xf>
    <xf numFmtId="2" fontId="4" fillId="0" borderId="0" xfId="0" applyNumberFormat="1" applyFont="1" applyAlignment="1" applyProtection="1">
      <alignment/>
      <protection hidden="1"/>
    </xf>
    <xf numFmtId="37" fontId="4" fillId="0" borderId="12" xfId="0" applyNumberFormat="1" applyFont="1" applyFill="1" applyBorder="1" applyAlignment="1" applyProtection="1">
      <alignment/>
      <protection hidden="1"/>
    </xf>
    <xf numFmtId="0" fontId="5" fillId="3" borderId="51" xfId="0" applyFont="1" applyFill="1" applyBorder="1" applyAlignment="1" applyProtection="1">
      <alignment horizontal="right" vertical="center"/>
      <protection hidden="1"/>
    </xf>
    <xf numFmtId="37" fontId="5" fillId="3" borderId="5" xfId="0" applyNumberFormat="1" applyFont="1" applyFill="1" applyBorder="1" applyAlignment="1" applyProtection="1">
      <alignment horizontal="center" vertical="center"/>
      <protection hidden="1"/>
    </xf>
    <xf numFmtId="175" fontId="4" fillId="0" borderId="23" xfId="34" applyNumberFormat="1" applyFont="1" applyFill="1" applyBorder="1" applyAlignment="1" applyProtection="1">
      <alignment horizontal="center"/>
      <protection hidden="1"/>
    </xf>
    <xf numFmtId="0" fontId="4" fillId="0" borderId="32" xfId="0" applyFont="1" applyFill="1" applyBorder="1" applyAlignment="1" applyProtection="1">
      <alignment wrapText="1"/>
      <protection hidden="1"/>
    </xf>
    <xf numFmtId="0" fontId="4" fillId="0" borderId="32" xfId="0" applyFont="1" applyBorder="1" applyAlignment="1" applyProtection="1">
      <alignment/>
      <protection hidden="1"/>
    </xf>
    <xf numFmtId="0" fontId="4" fillId="0" borderId="12" xfId="0" applyFont="1" applyBorder="1" applyAlignment="1" applyProtection="1">
      <alignment/>
      <protection hidden="1"/>
    </xf>
    <xf numFmtId="0" fontId="5" fillId="0" borderId="0" xfId="0" applyNumberFormat="1" applyFont="1" applyBorder="1" applyAlignment="1" applyProtection="1">
      <alignment horizontal="left" vertical="center"/>
      <protection hidden="1"/>
    </xf>
    <xf numFmtId="37" fontId="5" fillId="3" borderId="21" xfId="0" applyNumberFormat="1" applyFont="1" applyFill="1" applyBorder="1" applyAlignment="1" applyProtection="1">
      <alignment horizontal="center" vertical="center"/>
      <protection hidden="1"/>
    </xf>
    <xf numFmtId="37" fontId="5" fillId="3" borderId="14" xfId="0" applyNumberFormat="1" applyFont="1" applyFill="1" applyBorder="1" applyAlignment="1" applyProtection="1">
      <alignment horizontal="center" vertical="center"/>
      <protection hidden="1"/>
    </xf>
    <xf numFmtId="0" fontId="5" fillId="0" borderId="0" xfId="0" applyFont="1" applyBorder="1" applyAlignment="1" applyProtection="1">
      <alignment horizontal="left" vertical="top" wrapText="1"/>
      <protection hidden="1"/>
    </xf>
    <xf numFmtId="0" fontId="1" fillId="0" borderId="0" xfId="0" applyNumberFormat="1" applyFont="1" applyAlignment="1" applyProtection="1">
      <alignment/>
      <protection hidden="1"/>
    </xf>
    <xf numFmtId="3" fontId="4" fillId="0" borderId="0" xfId="0" applyNumberFormat="1" applyFont="1" applyAlignment="1" applyProtection="1">
      <alignment/>
      <protection hidden="1"/>
    </xf>
    <xf numFmtId="3" fontId="3" fillId="3" borderId="51" xfId="0" applyNumberFormat="1" applyFont="1" applyFill="1" applyBorder="1" applyAlignment="1" applyProtection="1">
      <alignment horizontal="center" vertical="center"/>
      <protection hidden="1"/>
    </xf>
    <xf numFmtId="3" fontId="5" fillId="0" borderId="0" xfId="0" applyNumberFormat="1" applyFont="1" applyAlignment="1" applyProtection="1">
      <alignment/>
      <protection hidden="1"/>
    </xf>
    <xf numFmtId="0" fontId="5" fillId="3" borderId="5" xfId="0" applyFont="1" applyFill="1" applyBorder="1" applyAlignment="1" applyProtection="1">
      <alignment horizontal="left" vertical="center"/>
      <protection hidden="1"/>
    </xf>
    <xf numFmtId="0" fontId="4" fillId="3" borderId="5" xfId="0" applyFont="1" applyFill="1" applyBorder="1" applyAlignment="1" applyProtection="1">
      <alignment horizontal="left"/>
      <protection hidden="1"/>
    </xf>
    <xf numFmtId="178" fontId="4" fillId="3" borderId="5" xfId="0" applyNumberFormat="1" applyFont="1" applyFill="1" applyBorder="1" applyAlignment="1" applyProtection="1">
      <alignment/>
      <protection hidden="1"/>
    </xf>
    <xf numFmtId="3" fontId="4" fillId="3" borderId="5" xfId="0" applyNumberFormat="1" applyFont="1" applyFill="1" applyBorder="1" applyAlignment="1" applyProtection="1">
      <alignment horizontal="center"/>
      <protection hidden="1"/>
    </xf>
    <xf numFmtId="3" fontId="4" fillId="3" borderId="7" xfId="0" applyNumberFormat="1" applyFont="1" applyFill="1" applyBorder="1" applyAlignment="1" applyProtection="1">
      <alignment horizontal="center"/>
      <protection hidden="1"/>
    </xf>
    <xf numFmtId="3" fontId="4" fillId="0" borderId="0" xfId="0" applyNumberFormat="1" applyFont="1" applyBorder="1" applyAlignment="1" applyProtection="1">
      <alignment horizontal="center"/>
      <protection hidden="1"/>
    </xf>
    <xf numFmtId="0" fontId="5" fillId="0" borderId="0" xfId="0" applyFont="1" applyFill="1" applyBorder="1" applyAlignment="1" applyProtection="1">
      <alignment horizontal="right" vertical="center"/>
      <protection hidden="1"/>
    </xf>
    <xf numFmtId="0" fontId="3" fillId="0" borderId="0" xfId="0" applyFont="1" applyBorder="1" applyAlignment="1" applyProtection="1">
      <alignment/>
      <protection hidden="1"/>
    </xf>
    <xf numFmtId="3" fontId="3" fillId="0" borderId="0" xfId="0" applyNumberFormat="1"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protection hidden="1"/>
    </xf>
    <xf numFmtId="0" fontId="0" fillId="0" borderId="0" xfId="0" applyBorder="1" applyAlignment="1" applyProtection="1">
      <alignment/>
      <protection locked="0"/>
    </xf>
    <xf numFmtId="0" fontId="1" fillId="0" borderId="0" xfId="0" applyNumberFormat="1" applyFont="1" applyBorder="1" applyAlignment="1" applyProtection="1">
      <alignment/>
      <protection locked="0"/>
    </xf>
    <xf numFmtId="0" fontId="0" fillId="0" borderId="0" xfId="0" applyBorder="1" applyAlignment="1" applyProtection="1">
      <alignment/>
      <protection locked="0"/>
    </xf>
    <xf numFmtId="0" fontId="1"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Alignment="1" applyProtection="1">
      <alignment/>
      <protection locked="0"/>
    </xf>
    <xf numFmtId="0" fontId="4" fillId="0" borderId="0" xfId="0" applyFont="1" applyAlignment="1" applyProtection="1">
      <alignment/>
      <protection locked="0"/>
    </xf>
    <xf numFmtId="0" fontId="4" fillId="0" borderId="0" xfId="0" applyFont="1" applyFill="1" applyAlignment="1" applyProtection="1">
      <alignment/>
      <protection locked="0"/>
    </xf>
    <xf numFmtId="3" fontId="4" fillId="0" borderId="17" xfId="34" applyNumberFormat="1" applyFont="1" applyFill="1" applyBorder="1" applyProtection="1">
      <alignment/>
      <protection locked="0"/>
    </xf>
    <xf numFmtId="0" fontId="3" fillId="0" borderId="5" xfId="0" applyFont="1" applyBorder="1" applyAlignment="1" applyProtection="1">
      <alignment vertical="center"/>
      <protection hidden="1"/>
    </xf>
    <xf numFmtId="0" fontId="3" fillId="0" borderId="5"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protection hidden="1"/>
    </xf>
    <xf numFmtId="0" fontId="17" fillId="0" borderId="0" xfId="0" applyFont="1" applyAlignment="1" applyProtection="1">
      <alignment/>
      <protection hidden="1"/>
    </xf>
    <xf numFmtId="0" fontId="17" fillId="0" borderId="0" xfId="0" applyFont="1" applyAlignment="1" applyProtection="1">
      <alignment/>
      <protection hidden="1"/>
    </xf>
    <xf numFmtId="0" fontId="18" fillId="0" borderId="5" xfId="0" applyFont="1" applyBorder="1" applyAlignment="1" applyProtection="1">
      <alignment/>
      <protection hidden="1"/>
    </xf>
    <xf numFmtId="0" fontId="18" fillId="0" borderId="5" xfId="0" applyFont="1" applyBorder="1" applyAlignment="1" applyProtection="1">
      <alignment horizontal="left"/>
      <protection hidden="1"/>
    </xf>
    <xf numFmtId="0" fontId="0" fillId="0" borderId="5" xfId="0" applyBorder="1" applyAlignment="1" applyProtection="1">
      <alignment vertical="center"/>
      <protection hidden="1"/>
    </xf>
    <xf numFmtId="37" fontId="0" fillId="0" borderId="5" xfId="0" applyNumberFormat="1" applyBorder="1" applyAlignment="1" applyProtection="1">
      <alignment/>
      <protection hidden="1"/>
    </xf>
    <xf numFmtId="0" fontId="0" fillId="0" borderId="5" xfId="0" applyBorder="1" applyAlignment="1" applyProtection="1">
      <alignment/>
      <protection hidden="1"/>
    </xf>
    <xf numFmtId="0" fontId="0" fillId="0" borderId="5" xfId="0" applyBorder="1" applyAlignment="1" applyProtection="1">
      <alignment/>
      <protection hidden="1"/>
    </xf>
    <xf numFmtId="0" fontId="11" fillId="0" borderId="5" xfId="0" applyFont="1" applyBorder="1" applyAlignment="1" applyProtection="1">
      <alignment/>
      <protection hidden="1"/>
    </xf>
    <xf numFmtId="0" fontId="0" fillId="0" borderId="6" xfId="0" applyBorder="1" applyAlignment="1" applyProtection="1">
      <alignment/>
      <protection hidden="1"/>
    </xf>
    <xf numFmtId="0" fontId="0" fillId="0" borderId="0" xfId="0" applyBorder="1" applyAlignment="1" applyProtection="1">
      <alignment/>
      <protection hidden="1"/>
    </xf>
    <xf numFmtId="0" fontId="5" fillId="0" borderId="62" xfId="0" applyFont="1" applyBorder="1" applyAlignment="1" applyProtection="1">
      <alignment/>
      <protection hidden="1"/>
    </xf>
    <xf numFmtId="0" fontId="4" fillId="0" borderId="35" xfId="0" applyFont="1" applyBorder="1" applyAlignment="1" applyProtection="1">
      <alignment/>
      <protection hidden="1"/>
    </xf>
    <xf numFmtId="0" fontId="5" fillId="0" borderId="16" xfId="0" applyFont="1" applyBorder="1" applyAlignment="1" applyProtection="1">
      <alignment/>
      <protection hidden="1"/>
    </xf>
    <xf numFmtId="0" fontId="4" fillId="0" borderId="0" xfId="0" applyFont="1" applyBorder="1" applyAlignment="1" applyProtection="1">
      <alignment horizontal="right"/>
      <protection hidden="1"/>
    </xf>
    <xf numFmtId="0" fontId="5" fillId="0" borderId="0" xfId="0" applyFont="1" applyBorder="1" applyAlignment="1" applyProtection="1">
      <alignment horizontal="center" wrapText="1"/>
      <protection hidden="1"/>
    </xf>
    <xf numFmtId="0" fontId="5" fillId="0" borderId="16" xfId="0" applyFont="1" applyBorder="1" applyAlignment="1" applyProtection="1">
      <alignment vertical="center"/>
      <protection hidden="1"/>
    </xf>
    <xf numFmtId="37" fontId="4" fillId="0" borderId="16" xfId="0" applyNumberFormat="1" applyFont="1" applyFill="1" applyBorder="1" applyAlignment="1" applyProtection="1">
      <alignment vertical="center"/>
      <protection hidden="1"/>
    </xf>
    <xf numFmtId="37" fontId="4" fillId="0" borderId="7" xfId="0" applyNumberFormat="1" applyFont="1" applyFill="1" applyBorder="1" applyAlignment="1" applyProtection="1">
      <alignment vertical="center"/>
      <protection hidden="1"/>
    </xf>
    <xf numFmtId="0" fontId="5" fillId="0" borderId="50" xfId="0" applyFont="1" applyBorder="1" applyAlignment="1" applyProtection="1">
      <alignment vertical="center"/>
      <protection hidden="1"/>
    </xf>
    <xf numFmtId="0" fontId="5" fillId="0" borderId="33" xfId="0" applyFont="1" applyBorder="1" applyAlignment="1" applyProtection="1">
      <alignment vertical="center"/>
      <protection hidden="1"/>
    </xf>
    <xf numFmtId="0" fontId="4" fillId="0" borderId="33"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0" borderId="18" xfId="0" applyFont="1" applyBorder="1" applyAlignment="1" applyProtection="1">
      <alignment vertical="center"/>
      <protection hidden="1"/>
    </xf>
    <xf numFmtId="0" fontId="4" fillId="0" borderId="29"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5" fillId="0" borderId="62" xfId="0" applyFont="1" applyBorder="1" applyAlignment="1" applyProtection="1">
      <alignment vertical="center"/>
      <protection hidden="1"/>
    </xf>
    <xf numFmtId="0" fontId="4" fillId="0" borderId="48" xfId="0" applyFont="1" applyBorder="1" applyAlignment="1" applyProtection="1">
      <alignment vertical="center"/>
      <protection hidden="1"/>
    </xf>
    <xf numFmtId="0" fontId="4" fillId="0" borderId="63" xfId="0" applyFont="1" applyBorder="1" applyAlignment="1" applyProtection="1">
      <alignment vertical="center"/>
      <protection hidden="1"/>
    </xf>
    <xf numFmtId="37" fontId="4" fillId="0" borderId="64" xfId="0" applyNumberFormat="1" applyFont="1" applyFill="1" applyBorder="1" applyAlignment="1" applyProtection="1">
      <alignment vertical="center"/>
      <protection hidden="1"/>
    </xf>
    <xf numFmtId="37" fontId="4" fillId="0" borderId="0" xfId="0" applyNumberFormat="1" applyFont="1" applyFill="1" applyBorder="1" applyAlignment="1" applyProtection="1">
      <alignment vertical="center"/>
      <protection hidden="1"/>
    </xf>
    <xf numFmtId="37" fontId="4" fillId="0" borderId="34" xfId="0" applyNumberFormat="1" applyFont="1" applyFill="1" applyBorder="1" applyAlignment="1" applyProtection="1">
      <alignment vertical="center"/>
      <protection hidden="1"/>
    </xf>
    <xf numFmtId="37" fontId="4" fillId="0" borderId="34" xfId="0" applyNumberFormat="1" applyFont="1" applyFill="1" applyBorder="1" applyAlignment="1" applyProtection="1">
      <alignment horizontal="right" vertical="center"/>
      <protection hidden="1"/>
    </xf>
    <xf numFmtId="37" fontId="4" fillId="0" borderId="19" xfId="0" applyNumberFormat="1" applyFont="1" applyFill="1" applyBorder="1" applyAlignment="1" applyProtection="1">
      <alignment vertical="center"/>
      <protection hidden="1"/>
    </xf>
    <xf numFmtId="37" fontId="4" fillId="0" borderId="65"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49" fontId="4" fillId="0" borderId="0" xfId="0" applyNumberFormat="1" applyFont="1" applyAlignment="1" applyProtection="1">
      <alignment horizontal="right"/>
      <protection/>
    </xf>
    <xf numFmtId="49" fontId="5" fillId="0" borderId="0" xfId="0" applyNumberFormat="1" applyFont="1" applyAlignment="1" applyProtection="1">
      <alignment horizontal="right"/>
      <protection/>
    </xf>
    <xf numFmtId="49" fontId="4" fillId="0" borderId="0" xfId="0" applyNumberFormat="1" applyFont="1" applyAlignment="1" applyProtection="1">
      <alignment horizontal="right"/>
      <protection locked="0"/>
    </xf>
    <xf numFmtId="49" fontId="4" fillId="0" borderId="0" xfId="0" applyNumberFormat="1" applyFont="1" applyAlignment="1" applyProtection="1">
      <alignment horizontal="justify"/>
      <protection locked="0"/>
    </xf>
    <xf numFmtId="49" fontId="0" fillId="0" borderId="0" xfId="0" applyNumberFormat="1" applyFont="1" applyAlignment="1" applyProtection="1">
      <alignment horizontal="justify"/>
      <protection locked="0"/>
    </xf>
    <xf numFmtId="49" fontId="4" fillId="0" borderId="0" xfId="0" applyNumberFormat="1" applyFont="1" applyAlignment="1" applyProtection="1">
      <alignment/>
      <protection locked="0"/>
    </xf>
    <xf numFmtId="49" fontId="4" fillId="0" borderId="0" xfId="0" applyNumberFormat="1" applyFont="1" applyAlignment="1" applyProtection="1">
      <alignment horizontal="justify" wrapText="1"/>
      <protection locked="0"/>
    </xf>
    <xf numFmtId="49" fontId="4" fillId="0" borderId="0" xfId="0" applyNumberFormat="1" applyFont="1" applyAlignment="1" applyProtection="1">
      <alignment wrapText="1"/>
      <protection locked="0"/>
    </xf>
    <xf numFmtId="0" fontId="11" fillId="0" borderId="59" xfId="0" applyFont="1" applyBorder="1" applyAlignment="1" applyProtection="1">
      <alignment vertical="top" wrapText="1"/>
      <protection hidden="1" locked="0"/>
    </xf>
    <xf numFmtId="0" fontId="5" fillId="3" borderId="23" xfId="0" applyNumberFormat="1" applyFont="1" applyFill="1" applyBorder="1" applyAlignment="1" applyProtection="1">
      <alignment horizontal="left"/>
      <protection hidden="1"/>
    </xf>
    <xf numFmtId="178" fontId="4" fillId="0" borderId="24" xfId="34" applyFont="1" applyFill="1" applyBorder="1" applyProtection="1">
      <alignment/>
      <protection locked="0"/>
    </xf>
    <xf numFmtId="178" fontId="5" fillId="3" borderId="23" xfId="37" applyFont="1" applyFill="1" applyBorder="1" applyProtection="1">
      <alignment/>
      <protection/>
    </xf>
    <xf numFmtId="0" fontId="5" fillId="3" borderId="23" xfId="0" applyNumberFormat="1" applyFont="1" applyFill="1" applyBorder="1" applyAlignment="1" applyProtection="1">
      <alignment horizontal="left"/>
      <protection/>
    </xf>
    <xf numFmtId="0" fontId="5" fillId="3" borderId="23" xfId="0" applyFont="1" applyFill="1" applyBorder="1" applyAlignment="1" applyProtection="1">
      <alignment horizontal="left"/>
      <protection hidden="1"/>
    </xf>
    <xf numFmtId="0" fontId="4" fillId="3" borderId="25" xfId="0" applyFont="1" applyFill="1" applyBorder="1" applyAlignment="1" applyProtection="1">
      <alignment/>
      <protection hidden="1"/>
    </xf>
    <xf numFmtId="0" fontId="5" fillId="3" borderId="25" xfId="0" applyFont="1" applyFill="1" applyBorder="1" applyAlignment="1" applyProtection="1">
      <alignment/>
      <protection hidden="1"/>
    </xf>
    <xf numFmtId="0" fontId="4" fillId="0" borderId="32" xfId="0" applyFont="1" applyFill="1" applyBorder="1" applyAlignment="1" applyProtection="1">
      <alignment/>
      <protection hidden="1"/>
    </xf>
    <xf numFmtId="178" fontId="4" fillId="0" borderId="12" xfId="34" applyFont="1" applyFill="1" applyBorder="1" applyProtection="1">
      <alignment/>
      <protection locked="0"/>
    </xf>
    <xf numFmtId="0" fontId="4" fillId="3" borderId="13" xfId="0" applyFont="1" applyFill="1" applyBorder="1" applyAlignment="1" applyProtection="1">
      <alignment/>
      <protection hidden="1"/>
    </xf>
    <xf numFmtId="178" fontId="5" fillId="3" borderId="23" xfId="37" applyFont="1" applyBorder="1" applyProtection="1">
      <alignment/>
      <protection/>
    </xf>
    <xf numFmtId="0" fontId="5" fillId="3" borderId="13" xfId="0" applyFont="1" applyFill="1" applyBorder="1" applyAlignment="1" applyProtection="1">
      <alignment/>
      <protection hidden="1"/>
    </xf>
    <xf numFmtId="183" fontId="4" fillId="0" borderId="24" xfId="36" applyFont="1" applyFill="1" applyBorder="1" applyProtection="1">
      <alignment/>
      <protection locked="0"/>
    </xf>
    <xf numFmtId="183" fontId="5" fillId="3" borderId="23" xfId="38" applyFont="1" applyBorder="1" applyProtection="1">
      <alignment/>
      <protection/>
    </xf>
    <xf numFmtId="0" fontId="5" fillId="3" borderId="61" xfId="0" applyNumberFormat="1" applyFont="1" applyFill="1" applyBorder="1" applyAlignment="1" applyProtection="1">
      <alignment horizontal="left"/>
      <protection hidden="1"/>
    </xf>
    <xf numFmtId="37" fontId="5" fillId="3" borderId="23" xfId="0" applyNumberFormat="1" applyFont="1" applyFill="1" applyBorder="1" applyAlignment="1" applyProtection="1">
      <alignment/>
      <protection hidden="1"/>
    </xf>
    <xf numFmtId="177" fontId="5" fillId="3" borderId="23" xfId="37" applyNumberFormat="1" applyFont="1" applyBorder="1" applyProtection="1">
      <alignment/>
      <protection/>
    </xf>
    <xf numFmtId="171" fontId="5" fillId="3" borderId="23" xfId="0" applyNumberFormat="1" applyFont="1" applyFill="1" applyBorder="1" applyAlignment="1" applyProtection="1">
      <alignment/>
      <protection/>
    </xf>
    <xf numFmtId="182" fontId="4" fillId="0" borderId="17" xfId="0" applyNumberFormat="1" applyFont="1" applyFill="1" applyBorder="1" applyAlignment="1" applyProtection="1">
      <alignment horizontal="left"/>
      <protection locked="0"/>
    </xf>
    <xf numFmtId="182" fontId="4" fillId="0" borderId="12" xfId="0" applyNumberFormat="1" applyFont="1" applyFill="1" applyBorder="1" applyAlignment="1" applyProtection="1">
      <alignment horizontal="left"/>
      <protection locked="0"/>
    </xf>
    <xf numFmtId="49" fontId="4" fillId="0" borderId="24" xfId="0" applyNumberFormat="1" applyFont="1" applyFill="1" applyBorder="1" applyAlignment="1" applyProtection="1">
      <alignment horizontal="left"/>
      <protection locked="0"/>
    </xf>
    <xf numFmtId="3" fontId="4" fillId="0" borderId="12" xfId="34" applyNumberFormat="1" applyFont="1" applyFill="1" applyBorder="1" applyProtection="1">
      <alignment/>
      <protection locked="0"/>
    </xf>
    <xf numFmtId="178" fontId="4" fillId="0" borderId="24" xfId="34" applyFont="1" applyBorder="1" applyProtection="1">
      <alignment/>
      <protection/>
    </xf>
    <xf numFmtId="178" fontId="5" fillId="3" borderId="23" xfId="37" applyFont="1" applyFill="1" applyBorder="1" applyProtection="1">
      <alignment/>
      <protection hidden="1"/>
    </xf>
    <xf numFmtId="178" fontId="5" fillId="3" borderId="23" xfId="34" applyFont="1" applyFill="1" applyBorder="1" applyProtection="1">
      <alignment/>
      <protection/>
    </xf>
    <xf numFmtId="171" fontId="5" fillId="3" borderId="23" xfId="37" applyNumberFormat="1" applyFont="1" applyBorder="1" applyProtection="1">
      <alignment/>
      <protection/>
    </xf>
    <xf numFmtId="0" fontId="4" fillId="0" borderId="12" xfId="0" applyFont="1" applyFill="1" applyBorder="1" applyAlignment="1" applyProtection="1">
      <alignment/>
      <protection hidden="1"/>
    </xf>
    <xf numFmtId="0" fontId="5" fillId="3" borderId="25" xfId="32" applyFont="1" applyFill="1" applyBorder="1" applyProtection="1">
      <alignment/>
      <protection hidden="1"/>
    </xf>
    <xf numFmtId="37" fontId="5" fillId="3" borderId="17" xfId="0" applyNumberFormat="1" applyFont="1" applyFill="1" applyBorder="1" applyAlignment="1" applyProtection="1">
      <alignment/>
      <protection hidden="1"/>
    </xf>
    <xf numFmtId="178" fontId="4" fillId="0" borderId="24" xfId="34" applyFill="1" applyBorder="1" applyProtection="1">
      <alignment/>
      <protection/>
    </xf>
    <xf numFmtId="178" fontId="5" fillId="3" borderId="23" xfId="37" applyBorder="1" applyProtection="1">
      <alignment/>
      <protection/>
    </xf>
    <xf numFmtId="0" fontId="5" fillId="3" borderId="23" xfId="32" applyFont="1" applyFill="1" applyBorder="1" applyProtection="1">
      <alignment/>
      <protection hidden="1"/>
    </xf>
    <xf numFmtId="178" fontId="5" fillId="3" borderId="23" xfId="37" applyFill="1" applyBorder="1" applyProtection="1">
      <alignment/>
      <protection/>
    </xf>
    <xf numFmtId="178" fontId="4" fillId="0" borderId="12" xfId="34" applyFont="1" applyFill="1" applyBorder="1" applyProtection="1">
      <alignment/>
      <protection hidden="1"/>
    </xf>
    <xf numFmtId="37" fontId="5" fillId="0" borderId="0" xfId="0" applyNumberFormat="1" applyFont="1" applyFill="1" applyBorder="1" applyAlignment="1" applyProtection="1">
      <alignment/>
      <protection hidden="1"/>
    </xf>
    <xf numFmtId="0" fontId="4" fillId="0" borderId="17" xfId="0" applyFont="1" applyBorder="1" applyAlignment="1" applyProtection="1">
      <alignment/>
      <protection hidden="1"/>
    </xf>
    <xf numFmtId="179" fontId="4" fillId="0" borderId="23" xfId="34" applyNumberFormat="1" applyFont="1" applyFill="1" applyBorder="1" applyProtection="1">
      <alignment/>
      <protection/>
    </xf>
    <xf numFmtId="37" fontId="5" fillId="3" borderId="13" xfId="0" applyNumberFormat="1" applyFont="1" applyFill="1" applyBorder="1" applyAlignment="1" applyProtection="1">
      <alignment/>
      <protection hidden="1"/>
    </xf>
    <xf numFmtId="178" fontId="5" fillId="3" borderId="23" xfId="37" applyFont="1" applyFill="1" applyBorder="1" applyAlignment="1" applyProtection="1">
      <alignment/>
      <protection/>
    </xf>
    <xf numFmtId="166" fontId="5" fillId="3" borderId="23" xfId="0" applyNumberFormat="1" applyFont="1" applyFill="1" applyBorder="1" applyAlignment="1" applyProtection="1">
      <alignment horizontal="center"/>
      <protection/>
    </xf>
    <xf numFmtId="37" fontId="5" fillId="3" borderId="25" xfId="0" applyNumberFormat="1" applyFont="1" applyFill="1" applyBorder="1" applyAlignment="1" applyProtection="1">
      <alignment/>
      <protection hidden="1"/>
    </xf>
    <xf numFmtId="0" fontId="5" fillId="3" borderId="23" xfId="0" applyNumberFormat="1" applyFont="1" applyFill="1" applyBorder="1" applyAlignment="1" applyProtection="1">
      <alignment horizontal="left" wrapText="1"/>
      <protection hidden="1"/>
    </xf>
    <xf numFmtId="37" fontId="4" fillId="0" borderId="23" xfId="0" applyNumberFormat="1" applyFont="1" applyFill="1" applyBorder="1" applyAlignment="1" applyProtection="1">
      <alignment/>
      <protection hidden="1"/>
    </xf>
    <xf numFmtId="49" fontId="4" fillId="0" borderId="17" xfId="0" applyNumberFormat="1" applyFont="1" applyFill="1" applyBorder="1" applyAlignment="1" applyProtection="1">
      <alignment horizontal="left"/>
      <protection locked="0"/>
    </xf>
    <xf numFmtId="49" fontId="4" fillId="0" borderId="12" xfId="0" applyNumberFormat="1" applyFont="1" applyFill="1" applyBorder="1" applyAlignment="1" applyProtection="1">
      <alignment horizontal="left"/>
      <protection locked="0"/>
    </xf>
    <xf numFmtId="14" fontId="4" fillId="0" borderId="24" xfId="0" applyNumberFormat="1" applyFont="1" applyFill="1" applyBorder="1" applyAlignment="1" applyProtection="1">
      <alignment horizontal="left"/>
      <protection locked="0"/>
    </xf>
    <xf numFmtId="168" fontId="4" fillId="0" borderId="24" xfId="0" applyNumberFormat="1" applyFont="1" applyFill="1" applyBorder="1" applyAlignment="1" applyProtection="1">
      <alignment/>
      <protection locked="0"/>
    </xf>
    <xf numFmtId="168" fontId="4" fillId="0" borderId="24" xfId="34" applyNumberFormat="1" applyFont="1" applyFill="1" applyBorder="1" applyProtection="1">
      <alignment/>
      <protection locked="0"/>
    </xf>
    <xf numFmtId="171" fontId="5" fillId="3" borderId="23" xfId="37" applyNumberFormat="1" applyBorder="1" applyProtection="1">
      <alignment/>
      <protection/>
    </xf>
    <xf numFmtId="171" fontId="4" fillId="3" borderId="23" xfId="0" applyNumberFormat="1" applyFont="1" applyFill="1" applyBorder="1" applyAlignment="1" applyProtection="1">
      <alignment horizontal="left"/>
      <protection/>
    </xf>
    <xf numFmtId="171" fontId="4" fillId="3" borderId="23" xfId="0" applyNumberFormat="1" applyFont="1" applyFill="1" applyBorder="1" applyAlignment="1" applyProtection="1">
      <alignment/>
      <protection/>
    </xf>
    <xf numFmtId="171" fontId="5" fillId="3" borderId="23" xfId="0" applyNumberFormat="1" applyFont="1" applyFill="1" applyBorder="1" applyAlignment="1" applyProtection="1">
      <alignment horizontal="left"/>
      <protection/>
    </xf>
    <xf numFmtId="0" fontId="3" fillId="3" borderId="23" xfId="0" applyNumberFormat="1" applyFont="1" applyFill="1" applyBorder="1" applyAlignment="1" applyProtection="1">
      <alignment horizontal="left"/>
      <protection hidden="1"/>
    </xf>
    <xf numFmtId="178" fontId="2" fillId="0" borderId="32" xfId="34" applyFont="1" applyFill="1" applyBorder="1" applyAlignment="1" applyProtection="1">
      <alignment horizontal="right"/>
      <protection/>
    </xf>
    <xf numFmtId="178" fontId="2" fillId="0" borderId="12" xfId="34" applyFont="1" applyFill="1" applyBorder="1" applyAlignment="1" applyProtection="1">
      <alignment horizontal="right"/>
      <protection/>
    </xf>
    <xf numFmtId="178" fontId="2" fillId="3" borderId="25" xfId="34" applyFont="1" applyFill="1" applyBorder="1" applyAlignment="1" applyProtection="1">
      <alignment horizontal="right"/>
      <protection/>
    </xf>
    <xf numFmtId="178" fontId="2" fillId="3" borderId="13" xfId="34" applyFont="1" applyFill="1" applyBorder="1" applyAlignment="1" applyProtection="1">
      <alignment horizontal="right"/>
      <protection/>
    </xf>
    <xf numFmtId="178" fontId="2" fillId="3" borderId="17" xfId="34" applyFont="1" applyFill="1" applyBorder="1" applyAlignment="1" applyProtection="1">
      <alignment horizontal="right"/>
      <protection/>
    </xf>
    <xf numFmtId="171" fontId="2" fillId="0" borderId="12" xfId="34" applyNumberFormat="1" applyFont="1" applyFill="1" applyBorder="1" applyAlignment="1" applyProtection="1">
      <alignment horizontal="right"/>
      <protection/>
    </xf>
    <xf numFmtId="0" fontId="4" fillId="0" borderId="17" xfId="0" applyFont="1" applyFill="1" applyBorder="1" applyAlignment="1" applyProtection="1">
      <alignment horizontal="left"/>
      <protection hidden="1"/>
    </xf>
    <xf numFmtId="183" fontId="4" fillId="0" borderId="24" xfId="36" applyNumberFormat="1" applyFont="1" applyFill="1" applyBorder="1" applyProtection="1">
      <alignment/>
      <protection locked="0"/>
    </xf>
    <xf numFmtId="183" fontId="4" fillId="0" borderId="24" xfId="36" applyNumberFormat="1" applyFont="1" applyFill="1" applyBorder="1" applyProtection="1">
      <alignment/>
      <protection/>
    </xf>
    <xf numFmtId="3" fontId="4" fillId="0" borderId="13" xfId="0" applyNumberFormat="1"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3" fontId="4" fillId="0" borderId="32" xfId="0" applyNumberFormat="1" applyFont="1" applyFill="1" applyBorder="1" applyAlignment="1" applyProtection="1">
      <alignment horizontal="left"/>
      <protection hidden="1"/>
    </xf>
    <xf numFmtId="0" fontId="4" fillId="0" borderId="32" xfId="0" applyFont="1" applyFill="1" applyBorder="1" applyAlignment="1" applyProtection="1">
      <alignment/>
      <protection/>
    </xf>
    <xf numFmtId="0" fontId="4" fillId="0" borderId="12" xfId="0" applyFont="1" applyFill="1" applyBorder="1" applyAlignment="1" applyProtection="1">
      <alignment/>
      <protection/>
    </xf>
    <xf numFmtId="0" fontId="5" fillId="3" borderId="13" xfId="0" applyFont="1" applyFill="1" applyBorder="1" applyAlignment="1" applyProtection="1">
      <alignment/>
      <protection/>
    </xf>
    <xf numFmtId="0" fontId="5" fillId="3" borderId="17" xfId="0" applyFont="1" applyFill="1" applyBorder="1" applyAlignment="1" applyProtection="1">
      <alignment/>
      <protection/>
    </xf>
    <xf numFmtId="0" fontId="3" fillId="0" borderId="6" xfId="0" applyNumberFormat="1" applyFont="1" applyBorder="1" applyAlignment="1" applyProtection="1">
      <alignment vertical="center"/>
      <protection hidden="1"/>
    </xf>
    <xf numFmtId="0" fontId="16" fillId="0" borderId="6" xfId="0" applyNumberFormat="1"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6" xfId="0" applyNumberFormat="1" applyFont="1" applyBorder="1" applyAlignment="1" applyProtection="1">
      <alignment vertical="center"/>
      <protection hidden="1"/>
    </xf>
    <xf numFmtId="181" fontId="5" fillId="0" borderId="49" xfId="34" applyNumberFormat="1" applyFont="1" applyFill="1" applyBorder="1" applyProtection="1">
      <alignment/>
      <protection/>
    </xf>
    <xf numFmtId="181" fontId="5" fillId="0" borderId="32" xfId="34" applyNumberFormat="1" applyFont="1" applyFill="1" applyBorder="1" applyProtection="1">
      <alignment/>
      <protection/>
    </xf>
    <xf numFmtId="181" fontId="5" fillId="0" borderId="12" xfId="34" applyNumberFormat="1" applyFont="1" applyFill="1" applyBorder="1" applyProtection="1">
      <alignment/>
      <protection/>
    </xf>
    <xf numFmtId="37" fontId="5" fillId="3" borderId="24" xfId="0" applyNumberFormat="1" applyFont="1" applyFill="1" applyBorder="1" applyAlignment="1" applyProtection="1">
      <alignment/>
      <protection hidden="1"/>
    </xf>
    <xf numFmtId="179" fontId="5" fillId="3" borderId="24" xfId="37" applyNumberFormat="1" applyBorder="1" applyProtection="1">
      <alignment/>
      <protection/>
    </xf>
    <xf numFmtId="179" fontId="5" fillId="3" borderId="24" xfId="34" applyNumberFormat="1" applyFont="1" applyFill="1" applyBorder="1" applyProtection="1">
      <alignment/>
      <protection/>
    </xf>
    <xf numFmtId="0" fontId="4" fillId="3" borderId="25"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3" xfId="0" applyFont="1" applyFill="1" applyBorder="1" applyAlignment="1" applyProtection="1">
      <alignment horizontal="left"/>
      <protection/>
    </xf>
    <xf numFmtId="0" fontId="4" fillId="3" borderId="17" xfId="0" applyFont="1" applyFill="1" applyBorder="1" applyAlignment="1" applyProtection="1">
      <alignment horizontal="left"/>
      <protection/>
    </xf>
    <xf numFmtId="0" fontId="4" fillId="3" borderId="25" xfId="0" applyFont="1" applyFill="1" applyBorder="1" applyAlignment="1" applyProtection="1">
      <alignment/>
      <protection hidden="1"/>
    </xf>
    <xf numFmtId="0" fontId="4" fillId="3" borderId="13" xfId="0" applyFont="1" applyFill="1" applyBorder="1" applyAlignment="1" applyProtection="1">
      <alignment/>
      <protection/>
    </xf>
    <xf numFmtId="0" fontId="4" fillId="3" borderId="17" xfId="0" applyFont="1" applyFill="1" applyBorder="1" applyAlignment="1" applyProtection="1">
      <alignment/>
      <protection/>
    </xf>
    <xf numFmtId="0" fontId="5" fillId="3" borderId="13" xfId="0" applyFont="1" applyFill="1" applyBorder="1" applyAlignment="1" applyProtection="1">
      <alignment horizontal="left"/>
      <protection hidden="1"/>
    </xf>
    <xf numFmtId="0" fontId="5" fillId="3" borderId="13" xfId="0" applyFont="1" applyFill="1" applyBorder="1" applyAlignment="1" applyProtection="1">
      <alignment horizontal="left"/>
      <protection/>
    </xf>
    <xf numFmtId="0" fontId="5" fillId="3" borderId="17" xfId="0" applyFont="1" applyFill="1" applyBorder="1" applyAlignment="1" applyProtection="1">
      <alignment horizontal="left"/>
      <protection/>
    </xf>
    <xf numFmtId="178" fontId="5" fillId="3" borderId="13" xfId="37" applyBorder="1" applyProtection="1">
      <alignment/>
      <protection hidden="1"/>
    </xf>
    <xf numFmtId="178" fontId="5" fillId="3" borderId="17" xfId="37" applyBorder="1" applyProtection="1">
      <alignment/>
      <protection hidden="1"/>
    </xf>
    <xf numFmtId="0" fontId="5" fillId="3" borderId="49" xfId="0" applyFont="1" applyFill="1" applyBorder="1" applyAlignment="1" applyProtection="1">
      <alignment/>
      <protection hidden="1"/>
    </xf>
    <xf numFmtId="0" fontId="4" fillId="0" borderId="0" xfId="0" applyNumberFormat="1" applyFont="1" applyAlignment="1" applyProtection="1">
      <alignment horizontal="right"/>
      <protection locked="0"/>
    </xf>
    <xf numFmtId="0" fontId="0" fillId="0" borderId="0" xfId="0" applyNumberFormat="1" applyFont="1" applyAlignment="1" applyProtection="1">
      <alignment horizontal="right"/>
      <protection locked="0"/>
    </xf>
    <xf numFmtId="183" fontId="5" fillId="3" borderId="23" xfId="37" applyNumberFormat="1" applyFont="1" applyFill="1" applyBorder="1" applyAlignment="1" applyProtection="1">
      <alignment/>
      <protection/>
    </xf>
    <xf numFmtId="0" fontId="4" fillId="0" borderId="0" xfId="0" applyNumberFormat="1" applyFont="1" applyAlignment="1" applyProtection="1">
      <alignment/>
      <protection locked="0"/>
    </xf>
    <xf numFmtId="0" fontId="1" fillId="0" borderId="0" xfId="0" applyFont="1" applyAlignment="1">
      <alignment/>
    </xf>
    <xf numFmtId="3" fontId="4" fillId="0" borderId="23" xfId="35" applyNumberFormat="1" applyFont="1" applyFill="1" applyBorder="1" applyProtection="1">
      <alignment/>
      <protection locked="0"/>
    </xf>
    <xf numFmtId="178" fontId="4" fillId="0" borderId="23" xfId="35" applyNumberFormat="1" applyFont="1" applyFill="1" applyBorder="1" applyProtection="1">
      <alignment/>
      <protection/>
    </xf>
    <xf numFmtId="174" fontId="4" fillId="0" borderId="0" xfId="0" applyNumberFormat="1" applyFont="1" applyAlignment="1" applyProtection="1">
      <alignment/>
      <protection/>
    </xf>
    <xf numFmtId="0" fontId="1" fillId="0" borderId="0" xfId="0" applyFont="1" applyAlignment="1" applyProtection="1">
      <alignment/>
      <protection hidden="1"/>
    </xf>
    <xf numFmtId="178" fontId="1" fillId="0" borderId="66" xfId="37" applyFont="1" applyFill="1" applyBorder="1" applyAlignment="1" applyProtection="1">
      <alignment vertical="center"/>
      <protection/>
    </xf>
    <xf numFmtId="178" fontId="5" fillId="0" borderId="67" xfId="37" applyFill="1" applyBorder="1" applyAlignment="1" applyProtection="1">
      <alignment vertical="center"/>
      <protection/>
    </xf>
    <xf numFmtId="178" fontId="5" fillId="0" borderId="13" xfId="34" applyFont="1" applyFill="1" applyBorder="1" applyAlignment="1" applyProtection="1">
      <alignment horizontal="right"/>
      <protection hidden="1"/>
    </xf>
    <xf numFmtId="170" fontId="4" fillId="0" borderId="25" xfId="34" applyNumberFormat="1" applyFont="1" applyBorder="1" applyAlignment="1" applyProtection="1">
      <alignment horizontal="center"/>
      <protection hidden="1"/>
    </xf>
    <xf numFmtId="4" fontId="4" fillId="0" borderId="25" xfId="34" applyNumberFormat="1" applyFont="1" applyFill="1" applyBorder="1" applyAlignment="1" applyProtection="1">
      <alignment horizontal="center"/>
      <protection hidden="1"/>
    </xf>
    <xf numFmtId="171" fontId="5" fillId="0" borderId="0" xfId="37" applyNumberFormat="1" applyFill="1" applyBorder="1" applyProtection="1">
      <alignment/>
      <protection/>
    </xf>
    <xf numFmtId="0" fontId="0" fillId="0" borderId="0" xfId="0" applyBorder="1" applyAlignment="1">
      <alignment/>
    </xf>
    <xf numFmtId="175" fontId="4" fillId="0" borderId="25" xfId="34" applyNumberFormat="1" applyFont="1" applyBorder="1" applyAlignment="1" applyProtection="1">
      <alignment horizontal="center"/>
      <protection hidden="1"/>
    </xf>
    <xf numFmtId="178" fontId="4" fillId="0" borderId="49" xfId="34" applyFont="1" applyBorder="1" applyAlignment="1" applyProtection="1">
      <alignment/>
      <protection/>
    </xf>
    <xf numFmtId="175" fontId="4" fillId="0" borderId="49" xfId="34" applyNumberFormat="1" applyFont="1" applyBorder="1" applyAlignment="1" applyProtection="1">
      <alignment horizontal="center"/>
      <protection hidden="1"/>
    </xf>
    <xf numFmtId="175" fontId="4" fillId="0" borderId="25" xfId="34" applyNumberFormat="1" applyFont="1" applyFill="1" applyBorder="1" applyAlignment="1" applyProtection="1">
      <alignment horizontal="center"/>
      <protection hidden="1"/>
    </xf>
    <xf numFmtId="166" fontId="4" fillId="0" borderId="23" xfId="0" applyNumberFormat="1" applyFont="1" applyBorder="1" applyAlignment="1" applyProtection="1">
      <alignment horizontal="center"/>
      <protection/>
    </xf>
    <xf numFmtId="37" fontId="4" fillId="0" borderId="68" xfId="0" applyNumberFormat="1" applyFont="1" applyFill="1" applyBorder="1" applyAlignment="1" applyProtection="1">
      <alignment vertical="center"/>
      <protection locked="0"/>
    </xf>
    <xf numFmtId="0" fontId="4" fillId="0" borderId="16" xfId="0" applyFont="1" applyBorder="1" applyAlignment="1" applyProtection="1">
      <alignment/>
      <protection hidden="1"/>
    </xf>
    <xf numFmtId="178" fontId="4" fillId="0" borderId="17" xfId="34" applyFont="1" applyBorder="1" applyProtection="1">
      <alignment/>
      <protection/>
    </xf>
    <xf numFmtId="3" fontId="4" fillId="0" borderId="13" xfId="0" applyNumberFormat="1" applyFont="1" applyFill="1" applyBorder="1" applyAlignment="1" applyProtection="1" quotePrefix="1">
      <alignment horizontal="left"/>
      <protection hidden="1"/>
    </xf>
    <xf numFmtId="0" fontId="1" fillId="0" borderId="0" xfId="33" applyNumberFormat="1" applyFont="1" applyAlignment="1" applyProtection="1">
      <alignment/>
      <protection hidden="1"/>
    </xf>
    <xf numFmtId="0" fontId="0" fillId="0" borderId="0" xfId="33" applyAlignment="1" applyProtection="1">
      <alignment horizontal="left"/>
      <protection hidden="1"/>
    </xf>
    <xf numFmtId="0" fontId="0" fillId="0" borderId="0" xfId="33" applyAlignment="1" applyProtection="1">
      <alignment/>
      <protection hidden="1"/>
    </xf>
    <xf numFmtId="0" fontId="1" fillId="0" borderId="0" xfId="33" applyFont="1" applyBorder="1" applyAlignment="1" applyProtection="1">
      <alignment/>
      <protection hidden="1"/>
    </xf>
    <xf numFmtId="0" fontId="2" fillId="0" borderId="5" xfId="33" applyNumberFormat="1" applyFont="1" applyBorder="1" applyAlignment="1" applyProtection="1" quotePrefix="1">
      <alignment vertical="center"/>
      <protection hidden="1"/>
    </xf>
    <xf numFmtId="0" fontId="2" fillId="0" borderId="5" xfId="33" applyFont="1" applyBorder="1" applyAlignment="1" applyProtection="1">
      <alignment horizontal="left" vertical="center"/>
      <protection hidden="1"/>
    </xf>
    <xf numFmtId="0" fontId="2" fillId="0" borderId="6" xfId="33" applyFont="1" applyBorder="1" applyAlignment="1" applyProtection="1">
      <alignment horizontal="left" vertical="center"/>
      <protection hidden="1"/>
    </xf>
    <xf numFmtId="0" fontId="3" fillId="0" borderId="6" xfId="33" applyNumberFormat="1" applyFont="1" applyBorder="1" applyAlignment="1" applyProtection="1">
      <alignment vertical="center"/>
      <protection hidden="1"/>
    </xf>
    <xf numFmtId="0" fontId="13" fillId="0" borderId="6" xfId="33" applyNumberFormat="1" applyFont="1" applyBorder="1" applyAlignment="1" applyProtection="1">
      <alignment vertical="center"/>
      <protection hidden="1"/>
    </xf>
    <xf numFmtId="186" fontId="2" fillId="0" borderId="6" xfId="33" applyNumberFormat="1" applyFont="1" applyBorder="1" applyAlignment="1" applyProtection="1">
      <alignment horizontal="right" vertical="center"/>
      <protection hidden="1"/>
    </xf>
    <xf numFmtId="0" fontId="1" fillId="0" borderId="0" xfId="33" applyFont="1">
      <alignment/>
      <protection/>
    </xf>
    <xf numFmtId="0" fontId="2" fillId="0" borderId="0" xfId="33" applyFont="1" applyAlignment="1" applyProtection="1">
      <alignment vertical="center"/>
      <protection/>
    </xf>
    <xf numFmtId="0" fontId="0" fillId="0" borderId="0" xfId="33">
      <alignment/>
      <protection/>
    </xf>
    <xf numFmtId="0" fontId="0" fillId="0" borderId="0" xfId="33" applyFont="1">
      <alignment/>
      <protection/>
    </xf>
    <xf numFmtId="0" fontId="4" fillId="0" borderId="0" xfId="33" applyFont="1" applyBorder="1" applyProtection="1">
      <alignment/>
      <protection/>
    </xf>
    <xf numFmtId="0" fontId="4" fillId="0" borderId="0" xfId="33" applyFont="1" applyProtection="1">
      <alignment/>
      <protection/>
    </xf>
    <xf numFmtId="0" fontId="0" fillId="3" borderId="3" xfId="33" applyFill="1" applyBorder="1" applyAlignment="1">
      <alignment horizontal="center"/>
      <protection/>
    </xf>
    <xf numFmtId="0" fontId="0" fillId="0" borderId="0" xfId="33" applyAlignment="1">
      <alignment vertical="top" wrapText="1"/>
      <protection/>
    </xf>
    <xf numFmtId="0" fontId="4" fillId="0" borderId="0" xfId="33" applyFont="1" applyAlignment="1" applyProtection="1">
      <alignment/>
      <protection/>
    </xf>
    <xf numFmtId="0" fontId="4" fillId="0" borderId="23" xfId="0" applyFont="1" applyBorder="1" applyAlignment="1">
      <alignment/>
    </xf>
    <xf numFmtId="0" fontId="6" fillId="0" borderId="6" xfId="33" applyFont="1" applyBorder="1" applyAlignment="1" applyProtection="1">
      <alignment horizontal="left" vertical="center"/>
      <protection hidden="1"/>
    </xf>
    <xf numFmtId="0" fontId="4" fillId="0" borderId="23" xfId="0" applyFont="1" applyFill="1" applyBorder="1" applyAlignment="1">
      <alignment/>
    </xf>
    <xf numFmtId="170" fontId="5" fillId="0" borderId="0" xfId="0" applyNumberFormat="1" applyFont="1" applyAlignment="1" applyProtection="1">
      <alignment/>
      <protection hidden="1"/>
    </xf>
    <xf numFmtId="0" fontId="4" fillId="0" borderId="0" xfId="0" applyNumberFormat="1" applyFont="1" applyAlignment="1" applyProtection="1">
      <alignment horizontal="right" wrapText="1"/>
      <protection hidden="1"/>
    </xf>
    <xf numFmtId="49" fontId="4" fillId="0" borderId="0" xfId="0" applyNumberFormat="1" applyFont="1" applyAlignment="1" applyProtection="1">
      <alignment horizontal="justify"/>
      <protection hidden="1"/>
    </xf>
    <xf numFmtId="0" fontId="5" fillId="0" borderId="0" xfId="0" applyFont="1" applyAlignment="1" applyProtection="1">
      <alignment vertical="top"/>
      <protection hidden="1"/>
    </xf>
    <xf numFmtId="0" fontId="5" fillId="0" borderId="0" xfId="0" applyFont="1" applyAlignment="1" applyProtection="1">
      <alignment horizontal="left" vertical="top"/>
      <protection hidden="1"/>
    </xf>
    <xf numFmtId="170" fontId="4" fillId="0" borderId="0" xfId="0" applyNumberFormat="1" applyFont="1" applyAlignment="1" applyProtection="1">
      <alignment/>
      <protection hidden="1"/>
    </xf>
    <xf numFmtId="0" fontId="5" fillId="0" borderId="0" xfId="0" applyFont="1" applyAlignment="1" applyProtection="1">
      <alignment vertical="top"/>
      <protection locked="0"/>
    </xf>
    <xf numFmtId="0" fontId="4" fillId="0" borderId="0" xfId="0" applyFont="1" applyAlignment="1" applyProtection="1">
      <alignment horizontal="justify"/>
      <protection locked="0"/>
    </xf>
    <xf numFmtId="0" fontId="4" fillId="0" borderId="0" xfId="0" applyFont="1" applyBorder="1" applyAlignment="1">
      <alignment/>
    </xf>
    <xf numFmtId="182" fontId="4" fillId="0" borderId="13" xfId="0" applyNumberFormat="1" applyFont="1" applyFill="1" applyBorder="1" applyAlignment="1" applyProtection="1">
      <alignment horizontal="left"/>
      <protection locked="0"/>
    </xf>
    <xf numFmtId="49" fontId="4" fillId="0" borderId="38" xfId="0" applyNumberFormat="1" applyFont="1" applyFill="1" applyBorder="1" applyAlignment="1" applyProtection="1">
      <alignment horizontal="left"/>
      <protection locked="0"/>
    </xf>
    <xf numFmtId="0" fontId="4" fillId="3" borderId="23" xfId="0" applyFont="1" applyFill="1" applyBorder="1" applyAlignment="1" applyProtection="1">
      <alignment horizontal="left" vertical="center"/>
      <protection locked="0"/>
    </xf>
    <xf numFmtId="49" fontId="4" fillId="0" borderId="23" xfId="34" applyNumberFormat="1" applyFont="1" applyFill="1" applyBorder="1" applyAlignment="1" applyProtection="1">
      <alignment horizontal="center"/>
      <protection locked="0"/>
    </xf>
    <xf numFmtId="49" fontId="4" fillId="0" borderId="24" xfId="34" applyNumberFormat="1" applyFont="1" applyFill="1" applyBorder="1" applyAlignment="1" applyProtection="1">
      <alignment horizontal="center"/>
      <protection locked="0"/>
    </xf>
    <xf numFmtId="169" fontId="4" fillId="0" borderId="0" xfId="0" applyNumberFormat="1" applyFont="1" applyAlignment="1">
      <alignment/>
    </xf>
    <xf numFmtId="0" fontId="5" fillId="0" borderId="0" xfId="0" applyFont="1" applyAlignment="1">
      <alignment/>
    </xf>
    <xf numFmtId="0" fontId="4" fillId="0" borderId="0" xfId="0" applyFont="1" applyBorder="1" applyAlignment="1" applyProtection="1" quotePrefix="1">
      <alignment horizontal="center" wrapText="1"/>
      <protection hidden="1"/>
    </xf>
    <xf numFmtId="0" fontId="4" fillId="0" borderId="0" xfId="0" applyFont="1" applyBorder="1" applyAlignment="1" applyProtection="1">
      <alignment horizontal="center" wrapText="1"/>
      <protection hidden="1"/>
    </xf>
    <xf numFmtId="0" fontId="24" fillId="0" borderId="0" xfId="0" applyFont="1" applyBorder="1" applyAlignment="1" applyProtection="1">
      <alignment vertical="center"/>
      <protection hidden="1"/>
    </xf>
    <xf numFmtId="0" fontId="24" fillId="0" borderId="0" xfId="0" applyFont="1" applyBorder="1" applyAlignment="1" applyProtection="1">
      <alignment/>
      <protection/>
    </xf>
    <xf numFmtId="0" fontId="25"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vertical="center"/>
      <protection/>
    </xf>
    <xf numFmtId="0" fontId="4" fillId="0" borderId="0" xfId="0" applyFont="1" applyAlignment="1">
      <alignment horizontal="center"/>
    </xf>
    <xf numFmtId="169" fontId="4" fillId="0" borderId="0" xfId="0" applyNumberFormat="1" applyFont="1" applyAlignment="1" applyProtection="1">
      <alignment/>
      <protection/>
    </xf>
    <xf numFmtId="0" fontId="4" fillId="0" borderId="0" xfId="0" applyFont="1" applyBorder="1" applyAlignment="1">
      <alignment horizontal="center"/>
    </xf>
    <xf numFmtId="169" fontId="5" fillId="0" borderId="0" xfId="0" applyNumberFormat="1" applyFont="1" applyBorder="1" applyAlignment="1">
      <alignment/>
    </xf>
    <xf numFmtId="169" fontId="5" fillId="0" borderId="0" xfId="0" applyNumberFormat="1" applyFont="1" applyBorder="1" applyAlignment="1" applyProtection="1">
      <alignment/>
      <protection/>
    </xf>
    <xf numFmtId="0" fontId="4" fillId="0" borderId="0" xfId="0" applyFont="1" applyFill="1" applyAlignment="1">
      <alignment/>
    </xf>
    <xf numFmtId="0" fontId="4" fillId="0" borderId="0" xfId="0" applyFont="1" applyAlignment="1">
      <alignment horizontal="left"/>
    </xf>
    <xf numFmtId="169" fontId="4" fillId="7" borderId="0" xfId="0" applyNumberFormat="1" applyFont="1" applyFill="1" applyAlignment="1" applyProtection="1">
      <alignment/>
      <protection/>
    </xf>
    <xf numFmtId="169" fontId="4" fillId="7" borderId="0" xfId="0" applyNumberFormat="1" applyFont="1" applyFill="1" applyAlignment="1">
      <alignment/>
    </xf>
    <xf numFmtId="0" fontId="5" fillId="3" borderId="21" xfId="0" applyFont="1" applyFill="1" applyBorder="1" applyAlignment="1">
      <alignment horizontal="center"/>
    </xf>
    <xf numFmtId="169" fontId="5" fillId="3" borderId="21" xfId="0" applyNumberFormat="1" applyFont="1" applyFill="1" applyBorder="1" applyAlignment="1">
      <alignment horizontal="center"/>
    </xf>
    <xf numFmtId="0" fontId="5" fillId="3" borderId="14" xfId="0" applyNumberFormat="1" applyFont="1" applyFill="1" applyBorder="1" applyAlignment="1">
      <alignment horizontal="center"/>
    </xf>
    <xf numFmtId="0" fontId="5" fillId="3" borderId="22" xfId="0" applyNumberFormat="1" applyFont="1" applyFill="1" applyBorder="1" applyAlignment="1">
      <alignment horizontal="center"/>
    </xf>
    <xf numFmtId="169" fontId="4" fillId="0" borderId="23" xfId="0" applyNumberFormat="1" applyFont="1" applyBorder="1" applyAlignment="1">
      <alignment/>
    </xf>
    <xf numFmtId="0" fontId="4" fillId="0" borderId="6" xfId="0" applyFont="1" applyBorder="1" applyAlignment="1" applyProtection="1">
      <alignment/>
      <protection/>
    </xf>
    <xf numFmtId="0" fontId="5" fillId="0" borderId="0" xfId="0" applyNumberFormat="1" applyFont="1" applyAlignment="1" applyProtection="1">
      <alignment horizontal="left"/>
      <protection/>
    </xf>
    <xf numFmtId="0" fontId="5" fillId="0" borderId="0" xfId="0" applyFont="1" applyAlignment="1">
      <alignment horizontal="left"/>
    </xf>
    <xf numFmtId="169" fontId="5" fillId="3" borderId="33" xfId="0" applyNumberFormat="1" applyFont="1" applyFill="1" applyBorder="1" applyAlignment="1">
      <alignment horizontal="center"/>
    </xf>
    <xf numFmtId="169" fontId="5" fillId="3" borderId="14" xfId="0" applyNumberFormat="1" applyFont="1" applyFill="1" applyBorder="1" applyAlignment="1">
      <alignment horizontal="right"/>
    </xf>
    <xf numFmtId="169" fontId="4" fillId="0" borderId="6" xfId="0" applyNumberFormat="1" applyFont="1" applyBorder="1" applyAlignment="1">
      <alignment/>
    </xf>
    <xf numFmtId="0" fontId="5" fillId="3" borderId="14" xfId="0" applyFont="1" applyFill="1" applyBorder="1" applyAlignment="1">
      <alignment horizontal="center"/>
    </xf>
    <xf numFmtId="0" fontId="5" fillId="3" borderId="23" xfId="0" applyFont="1" applyFill="1" applyBorder="1" applyAlignment="1">
      <alignment horizontal="left"/>
    </xf>
    <xf numFmtId="0" fontId="5" fillId="3" borderId="25" xfId="0" applyFont="1" applyFill="1" applyBorder="1" applyAlignment="1">
      <alignment horizontal="left"/>
    </xf>
    <xf numFmtId="178" fontId="4" fillId="0" borderId="25" xfId="34" applyFont="1" applyFill="1" applyBorder="1" applyProtection="1">
      <alignment/>
      <protection locked="0"/>
    </xf>
    <xf numFmtId="0" fontId="5" fillId="3" borderId="33" xfId="0" applyFont="1" applyFill="1" applyBorder="1" applyAlignment="1">
      <alignment horizontal="center"/>
    </xf>
    <xf numFmtId="0" fontId="5" fillId="3" borderId="0" xfId="0" applyFont="1" applyFill="1" applyBorder="1" applyAlignment="1">
      <alignment horizontal="center"/>
    </xf>
    <xf numFmtId="0" fontId="5" fillId="3" borderId="2" xfId="0" applyFont="1" applyFill="1" applyBorder="1" applyAlignment="1">
      <alignment horizontal="center"/>
    </xf>
    <xf numFmtId="0" fontId="5" fillId="3" borderId="6" xfId="0" applyFont="1" applyFill="1" applyBorder="1" applyAlignment="1">
      <alignment horizontal="center"/>
    </xf>
    <xf numFmtId="0" fontId="4" fillId="0" borderId="0" xfId="0" applyNumberFormat="1" applyFont="1" applyBorder="1" applyAlignment="1" applyProtection="1">
      <alignment horizontal="left" vertical="center"/>
      <protection hidden="1"/>
    </xf>
    <xf numFmtId="0" fontId="15" fillId="0" borderId="0" xfId="0" applyFont="1" applyBorder="1" applyAlignment="1" applyProtection="1">
      <alignment vertical="center"/>
      <protection hidden="1"/>
    </xf>
    <xf numFmtId="0" fontId="4" fillId="0" borderId="13" xfId="0" applyFont="1" applyBorder="1" applyAlignment="1">
      <alignment/>
    </xf>
    <xf numFmtId="0" fontId="4" fillId="0" borderId="23" xfId="0" applyFont="1" applyBorder="1" applyAlignment="1">
      <alignment horizontal="left"/>
    </xf>
    <xf numFmtId="184" fontId="4" fillId="0" borderId="0" xfId="36" applyNumberFormat="1" applyFont="1" applyFill="1" applyBorder="1" applyAlignment="1" applyProtection="1">
      <alignment/>
      <protection/>
    </xf>
    <xf numFmtId="0" fontId="4" fillId="0" borderId="23" xfId="0" applyFont="1" applyBorder="1" applyAlignment="1" applyProtection="1">
      <alignment/>
      <protection hidden="1"/>
    </xf>
    <xf numFmtId="37" fontId="5" fillId="0" borderId="0" xfId="0" applyNumberFormat="1" applyFont="1" applyFill="1" applyBorder="1" applyAlignment="1" applyProtection="1">
      <alignment horizontal="left"/>
      <protection hidden="1"/>
    </xf>
    <xf numFmtId="178" fontId="5" fillId="0" borderId="0" xfId="37" applyFont="1" applyFill="1" applyBorder="1" applyProtection="1">
      <alignment/>
      <protection/>
    </xf>
    <xf numFmtId="178" fontId="4" fillId="3" borderId="23" xfId="34" applyFont="1" applyFill="1" applyBorder="1" applyProtection="1">
      <alignment/>
      <protection/>
    </xf>
    <xf numFmtId="0" fontId="5" fillId="0" borderId="0" xfId="0" applyFont="1" applyFill="1" applyBorder="1" applyAlignment="1">
      <alignment horizontal="left"/>
    </xf>
    <xf numFmtId="178" fontId="4" fillId="0" borderId="0" xfId="34" applyFont="1" applyFill="1" applyBorder="1" applyProtection="1">
      <alignment/>
      <protection/>
    </xf>
    <xf numFmtId="178" fontId="5" fillId="0" borderId="0" xfId="35" applyNumberFormat="1" applyFont="1" applyFill="1" applyBorder="1" applyAlignment="1" applyProtection="1">
      <alignment horizontal="left"/>
      <protection/>
    </xf>
    <xf numFmtId="178" fontId="5" fillId="3" borderId="23" xfId="35" applyNumberFormat="1" applyFont="1" applyFill="1" applyBorder="1" applyAlignment="1" applyProtection="1">
      <alignment horizontal="left"/>
      <protection/>
    </xf>
    <xf numFmtId="37" fontId="4" fillId="0" borderId="17" xfId="0" applyNumberFormat="1" applyFont="1" applyFill="1" applyBorder="1" applyAlignment="1" applyProtection="1">
      <alignment horizontal="left"/>
      <protection hidden="1"/>
    </xf>
    <xf numFmtId="2" fontId="4" fillId="0" borderId="0" xfId="0" applyNumberFormat="1" applyFont="1" applyAlignment="1">
      <alignment/>
    </xf>
    <xf numFmtId="3" fontId="4" fillId="0" borderId="0" xfId="0" applyNumberFormat="1" applyFont="1" applyAlignment="1">
      <alignment/>
    </xf>
    <xf numFmtId="0" fontId="5" fillId="0" borderId="0" xfId="0" applyFont="1" applyBorder="1" applyAlignment="1">
      <alignment/>
    </xf>
    <xf numFmtId="0" fontId="4" fillId="0" borderId="23" xfId="0" applyFont="1" applyBorder="1" applyAlignment="1" applyProtection="1">
      <alignment/>
      <protection/>
    </xf>
    <xf numFmtId="9" fontId="4" fillId="0" borderId="23" xfId="0" applyNumberFormat="1" applyFont="1" applyFill="1" applyBorder="1" applyAlignment="1">
      <alignment/>
    </xf>
    <xf numFmtId="9" fontId="4" fillId="0" borderId="23" xfId="30" applyFont="1" applyFill="1" applyBorder="1" applyAlignment="1">
      <alignment/>
    </xf>
    <xf numFmtId="0" fontId="5" fillId="3" borderId="23" xfId="0" applyFont="1" applyFill="1" applyBorder="1" applyAlignment="1">
      <alignment/>
    </xf>
    <xf numFmtId="3" fontId="5" fillId="3" borderId="23" xfId="0" applyNumberFormat="1" applyFont="1" applyFill="1" applyBorder="1" applyAlignment="1">
      <alignment/>
    </xf>
    <xf numFmtId="177" fontId="5" fillId="0" borderId="0" xfId="34" applyNumberFormat="1" applyFont="1" applyFill="1" applyBorder="1" applyProtection="1">
      <alignment/>
      <protection/>
    </xf>
    <xf numFmtId="177" fontId="5" fillId="0" borderId="0" xfId="37" applyNumberFormat="1" applyFont="1" applyFill="1" applyBorder="1" applyProtection="1">
      <alignment/>
      <protection/>
    </xf>
    <xf numFmtId="0" fontId="5" fillId="0" borderId="0" xfId="0" applyNumberFormat="1" applyFont="1" applyFill="1" applyBorder="1" applyAlignment="1" applyProtection="1">
      <alignment horizontal="center" vertical="center"/>
      <protection hidden="1"/>
    </xf>
    <xf numFmtId="0" fontId="4" fillId="0" borderId="69" xfId="0" applyFont="1" applyFill="1" applyBorder="1" applyAlignment="1" applyProtection="1">
      <alignment horizontal="center" vertical="center"/>
      <protection hidden="1"/>
    </xf>
    <xf numFmtId="0" fontId="4" fillId="0" borderId="0" xfId="0" applyFont="1" applyAlignment="1" applyProtection="1">
      <alignment horizontal="center"/>
      <protection/>
    </xf>
    <xf numFmtId="0" fontId="5" fillId="0" borderId="70" xfId="0" applyFont="1" applyFill="1" applyBorder="1" applyAlignment="1" applyProtection="1">
      <alignment horizontal="center" vertical="center"/>
      <protection hidden="1"/>
    </xf>
    <xf numFmtId="189" fontId="5" fillId="3" borderId="14"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xf>
    <xf numFmtId="0" fontId="4" fillId="0" borderId="0" xfId="0" applyFont="1" applyFill="1" applyBorder="1" applyAlignment="1">
      <alignment/>
    </xf>
    <xf numFmtId="189" fontId="5" fillId="3" borderId="14" xfId="0" applyNumberFormat="1" applyFont="1" applyFill="1" applyBorder="1" applyAlignment="1" applyProtection="1">
      <alignment vertical="center"/>
      <protection hidden="1"/>
    </xf>
    <xf numFmtId="0" fontId="5" fillId="3" borderId="14" xfId="0" applyFont="1" applyFill="1" applyBorder="1" applyAlignment="1" applyProtection="1">
      <alignment horizontal="center" vertical="center"/>
      <protection hidden="1"/>
    </xf>
    <xf numFmtId="189" fontId="5" fillId="3" borderId="3" xfId="0" applyNumberFormat="1" applyFont="1" applyFill="1" applyBorder="1" applyAlignment="1" applyProtection="1">
      <alignment horizontal="center" vertical="center"/>
      <protection hidden="1"/>
    </xf>
    <xf numFmtId="0" fontId="5" fillId="3" borderId="21" xfId="0" applyFont="1" applyFill="1" applyBorder="1" applyAlignment="1" applyProtection="1">
      <alignment vertical="center"/>
      <protection hidden="1"/>
    </xf>
    <xf numFmtId="0" fontId="4" fillId="0" borderId="17" xfId="0" applyFont="1" applyBorder="1" applyAlignment="1" applyProtection="1">
      <alignment/>
      <protection/>
    </xf>
    <xf numFmtId="0" fontId="26" fillId="0" borderId="17" xfId="0" applyFont="1" applyBorder="1" applyAlignment="1" applyProtection="1">
      <alignment/>
      <protection/>
    </xf>
    <xf numFmtId="0" fontId="4" fillId="0" borderId="0" xfId="0" applyFont="1" applyBorder="1" applyAlignment="1">
      <alignment horizontal="left"/>
    </xf>
    <xf numFmtId="49" fontId="4" fillId="0" borderId="0" xfId="0" applyNumberFormat="1" applyFont="1" applyBorder="1" applyAlignment="1">
      <alignment/>
    </xf>
    <xf numFmtId="0" fontId="5" fillId="0" borderId="6" xfId="0" applyNumberFormat="1" applyFont="1" applyBorder="1" applyAlignment="1" applyProtection="1">
      <alignment/>
      <protection hidden="1"/>
    </xf>
    <xf numFmtId="0" fontId="4" fillId="0" borderId="6" xfId="0" applyFont="1" applyBorder="1" applyAlignment="1" applyProtection="1">
      <alignment/>
      <protection hidden="1"/>
    </xf>
    <xf numFmtId="0" fontId="5" fillId="7" borderId="0" xfId="0" applyNumberFormat="1" applyFont="1" applyFill="1" applyBorder="1" applyAlignment="1" applyProtection="1">
      <alignment horizontal="left"/>
      <protection hidden="1"/>
    </xf>
    <xf numFmtId="0" fontId="5" fillId="7" borderId="0" xfId="0" applyFont="1" applyFill="1" applyBorder="1" applyAlignment="1">
      <alignment horizontal="left"/>
    </xf>
    <xf numFmtId="3" fontId="4" fillId="0" borderId="23" xfId="0" applyNumberFormat="1" applyFont="1" applyBorder="1" applyAlignment="1">
      <alignment/>
    </xf>
    <xf numFmtId="3" fontId="4" fillId="0" borderId="0" xfId="0" applyNumberFormat="1" applyFont="1" applyFill="1" applyBorder="1" applyAlignment="1" applyProtection="1">
      <alignment/>
      <protection locked="0"/>
    </xf>
    <xf numFmtId="0" fontId="5" fillId="3" borderId="50" xfId="0" applyFont="1" applyFill="1" applyBorder="1" applyAlignment="1">
      <alignment/>
    </xf>
    <xf numFmtId="0" fontId="5" fillId="3" borderId="37" xfId="0" applyNumberFormat="1" applyFont="1" applyFill="1" applyBorder="1" applyAlignment="1">
      <alignment/>
    </xf>
    <xf numFmtId="0" fontId="5" fillId="3" borderId="51" xfId="0" applyFont="1" applyFill="1" applyBorder="1" applyAlignment="1">
      <alignment/>
    </xf>
    <xf numFmtId="0" fontId="5" fillId="3" borderId="22" xfId="0" applyNumberFormat="1" applyFont="1" applyFill="1" applyBorder="1" applyAlignment="1">
      <alignment/>
    </xf>
    <xf numFmtId="0" fontId="5" fillId="0" borderId="0" xfId="0" applyFont="1" applyFill="1" applyBorder="1" applyAlignment="1">
      <alignment/>
    </xf>
    <xf numFmtId="0" fontId="5" fillId="0" borderId="0" xfId="0" applyNumberFormat="1" applyFont="1" applyFill="1" applyBorder="1" applyAlignment="1">
      <alignment/>
    </xf>
    <xf numFmtId="1" fontId="5" fillId="0" borderId="0" xfId="0" applyNumberFormat="1" applyFont="1" applyFill="1" applyBorder="1" applyAlignment="1">
      <alignment/>
    </xf>
    <xf numFmtId="0" fontId="5" fillId="3" borderId="23" xfId="0" applyFont="1" applyFill="1" applyBorder="1" applyAlignment="1">
      <alignment horizontal="center"/>
    </xf>
    <xf numFmtId="0" fontId="5" fillId="3" borderId="25" xfId="0" applyFont="1" applyFill="1" applyBorder="1" applyAlignment="1" applyProtection="1">
      <alignment/>
      <protection hidden="1"/>
    </xf>
    <xf numFmtId="0" fontId="4" fillId="3" borderId="13" xfId="0" applyFont="1" applyFill="1" applyBorder="1" applyAlignment="1">
      <alignment/>
    </xf>
    <xf numFmtId="0" fontId="4" fillId="0" borderId="24" xfId="34" applyNumberFormat="1" applyFont="1" applyBorder="1" applyProtection="1">
      <alignment/>
      <protection/>
    </xf>
    <xf numFmtId="0" fontId="5" fillId="0" borderId="0" xfId="0" applyFont="1" applyBorder="1" applyAlignment="1" applyProtection="1">
      <alignment vertical="center"/>
      <protection hidden="1"/>
    </xf>
    <xf numFmtId="0" fontId="5" fillId="3" borderId="13" xfId="0" applyFont="1" applyFill="1" applyBorder="1" applyAlignment="1" applyProtection="1">
      <alignment wrapText="1"/>
      <protection hidden="1"/>
    </xf>
    <xf numFmtId="0" fontId="4" fillId="3" borderId="17" xfId="0" applyFont="1" applyFill="1" applyBorder="1" applyAlignment="1" applyProtection="1">
      <alignment/>
      <protection hidden="1"/>
    </xf>
    <xf numFmtId="37" fontId="5" fillId="0" borderId="0" xfId="0" applyNumberFormat="1" applyFont="1" applyBorder="1" applyAlignment="1">
      <alignment/>
    </xf>
    <xf numFmtId="37" fontId="4" fillId="0" borderId="0" xfId="0" applyNumberFormat="1" applyFont="1" applyBorder="1" applyAlignment="1">
      <alignment/>
    </xf>
    <xf numFmtId="37" fontId="4" fillId="0" borderId="0" xfId="0" applyNumberFormat="1" applyFont="1" applyBorder="1" applyAlignment="1">
      <alignment horizontal="center"/>
    </xf>
    <xf numFmtId="166" fontId="4" fillId="0" borderId="0" xfId="0" applyNumberFormat="1" applyFont="1" applyBorder="1" applyAlignment="1">
      <alignment/>
    </xf>
    <xf numFmtId="3" fontId="4" fillId="0" borderId="0" xfId="0" applyNumberFormat="1" applyFont="1" applyBorder="1" applyAlignment="1">
      <alignment horizontal="center"/>
    </xf>
    <xf numFmtId="178" fontId="4" fillId="3" borderId="23" xfId="0" applyNumberFormat="1" applyFont="1" applyFill="1" applyBorder="1" applyAlignment="1" applyProtection="1">
      <alignment/>
      <protection/>
    </xf>
    <xf numFmtId="166" fontId="4" fillId="0" borderId="23" xfId="0" applyNumberFormat="1" applyFont="1" applyBorder="1" applyAlignment="1">
      <alignment/>
    </xf>
    <xf numFmtId="3" fontId="4" fillId="0" borderId="17" xfId="0" applyNumberFormat="1" applyFont="1" applyBorder="1" applyAlignment="1" applyProtection="1">
      <alignment/>
      <protection/>
    </xf>
    <xf numFmtId="37" fontId="4" fillId="0" borderId="23" xfId="0" applyNumberFormat="1" applyFont="1" applyBorder="1" applyAlignment="1">
      <alignment/>
    </xf>
    <xf numFmtId="37" fontId="4" fillId="0" borderId="23" xfId="0" applyNumberFormat="1" applyFont="1" applyBorder="1" applyAlignment="1">
      <alignment horizontal="left" vertical="top" wrapText="1"/>
    </xf>
    <xf numFmtId="3" fontId="4" fillId="0" borderId="38" xfId="0" applyNumberFormat="1" applyFont="1" applyBorder="1" applyAlignment="1">
      <alignment/>
    </xf>
    <xf numFmtId="37" fontId="5" fillId="3" borderId="71" xfId="0" applyNumberFormat="1" applyFont="1" applyFill="1" applyBorder="1" applyAlignment="1">
      <alignment horizontal="center" vertical="top"/>
    </xf>
    <xf numFmtId="37" fontId="5" fillId="3" borderId="44" xfId="0" applyNumberFormat="1" applyFont="1" applyFill="1" applyBorder="1" applyAlignment="1">
      <alignment horizontal="center"/>
    </xf>
    <xf numFmtId="37" fontId="5" fillId="3" borderId="72" xfId="0" applyNumberFormat="1" applyFont="1" applyFill="1" applyBorder="1" applyAlignment="1">
      <alignment horizontal="center"/>
    </xf>
    <xf numFmtId="0" fontId="5" fillId="3" borderId="21" xfId="0" applyFont="1" applyFill="1" applyBorder="1" applyAlignment="1">
      <alignment/>
    </xf>
    <xf numFmtId="0" fontId="5" fillId="3" borderId="14" xfId="0" applyFont="1" applyFill="1" applyBorder="1" applyAlignment="1">
      <alignment/>
    </xf>
    <xf numFmtId="0" fontId="4" fillId="0" borderId="73" xfId="0" applyFont="1" applyBorder="1" applyAlignment="1">
      <alignment/>
    </xf>
    <xf numFmtId="3" fontId="4" fillId="7" borderId="23" xfId="0" applyNumberFormat="1" applyFont="1" applyFill="1" applyBorder="1" applyAlignment="1">
      <alignment horizontal="right"/>
    </xf>
    <xf numFmtId="3" fontId="5" fillId="3" borderId="23" xfId="0" applyNumberFormat="1" applyFont="1" applyFill="1" applyBorder="1" applyAlignment="1">
      <alignment horizontal="right"/>
    </xf>
    <xf numFmtId="3" fontId="4" fillId="0" borderId="23" xfId="0" applyNumberFormat="1" applyFont="1" applyBorder="1" applyAlignment="1">
      <alignment horizontal="right"/>
    </xf>
    <xf numFmtId="0" fontId="4" fillId="0" borderId="6" xfId="0" applyFont="1" applyBorder="1" applyAlignment="1" applyProtection="1">
      <alignment/>
      <protection locked="0"/>
    </xf>
    <xf numFmtId="37" fontId="5" fillId="3" borderId="2" xfId="0" applyNumberFormat="1" applyFont="1" applyFill="1" applyBorder="1" applyAlignment="1" applyProtection="1">
      <alignment horizontal="center" vertical="center"/>
      <protection hidden="1"/>
    </xf>
    <xf numFmtId="178" fontId="4" fillId="0" borderId="24" xfId="34" applyFont="1" applyFill="1" applyBorder="1" applyAlignment="1" applyProtection="1">
      <alignment/>
      <protection/>
    </xf>
    <xf numFmtId="171" fontId="21" fillId="0" borderId="73" xfId="37" applyNumberFormat="1" applyFont="1" applyFill="1" applyBorder="1" applyAlignment="1" applyProtection="1">
      <alignment/>
      <protection/>
    </xf>
    <xf numFmtId="37" fontId="5" fillId="3" borderId="23" xfId="0" applyNumberFormat="1" applyFont="1" applyFill="1" applyBorder="1" applyAlignment="1">
      <alignment/>
    </xf>
    <xf numFmtId="3" fontId="5" fillId="3" borderId="17" xfId="0" applyNumberFormat="1" applyFont="1" applyFill="1" applyBorder="1" applyAlignment="1" applyProtection="1">
      <alignment/>
      <protection/>
    </xf>
    <xf numFmtId="166" fontId="5" fillId="3" borderId="23" xfId="0" applyNumberFormat="1" applyFont="1" applyFill="1" applyBorder="1" applyAlignment="1">
      <alignment/>
    </xf>
    <xf numFmtId="184" fontId="5" fillId="3" borderId="17" xfId="36" applyNumberFormat="1" applyFont="1" applyFill="1" applyBorder="1" applyAlignment="1" applyProtection="1">
      <alignment/>
      <protection/>
    </xf>
    <xf numFmtId="3" fontId="4" fillId="0" borderId="23" xfId="0" applyNumberFormat="1" applyFont="1" applyBorder="1" applyAlignment="1" applyProtection="1">
      <alignment/>
      <protection/>
    </xf>
    <xf numFmtId="3" fontId="4" fillId="7" borderId="38" xfId="0" applyNumberFormat="1" applyFont="1" applyFill="1" applyBorder="1" applyAlignment="1">
      <alignment horizontal="right"/>
    </xf>
    <xf numFmtId="3" fontId="4" fillId="0" borderId="24" xfId="34" applyNumberFormat="1" applyFont="1" applyFill="1" applyBorder="1" applyProtection="1">
      <alignment/>
      <protection locked="0"/>
    </xf>
    <xf numFmtId="3" fontId="5" fillId="3" borderId="23" xfId="37" applyNumberFormat="1" applyFont="1" applyBorder="1" applyAlignment="1" applyProtection="1">
      <alignment/>
      <protection/>
    </xf>
    <xf numFmtId="3" fontId="4" fillId="0" borderId="73" xfId="0" applyNumberFormat="1" applyFont="1" applyBorder="1" applyAlignment="1">
      <alignment/>
    </xf>
    <xf numFmtId="3" fontId="4" fillId="0" borderId="38" xfId="34" applyNumberFormat="1" applyFont="1" applyFill="1" applyBorder="1" applyProtection="1">
      <alignment/>
      <protection locked="0"/>
    </xf>
    <xf numFmtId="3" fontId="4" fillId="7" borderId="0" xfId="0" applyNumberFormat="1" applyFont="1" applyFill="1" applyBorder="1" applyAlignment="1">
      <alignment/>
    </xf>
    <xf numFmtId="3" fontId="4" fillId="0" borderId="0" xfId="0" applyNumberFormat="1" applyFont="1" applyBorder="1" applyAlignment="1">
      <alignment/>
    </xf>
    <xf numFmtId="3" fontId="5" fillId="3" borderId="13" xfId="0" applyNumberFormat="1" applyFont="1" applyFill="1" applyBorder="1" applyAlignment="1">
      <alignment/>
    </xf>
    <xf numFmtId="178" fontId="5" fillId="3" borderId="23" xfId="0" applyNumberFormat="1" applyFont="1" applyFill="1" applyBorder="1" applyAlignment="1">
      <alignment/>
    </xf>
    <xf numFmtId="0" fontId="5" fillId="3" borderId="23" xfId="0" applyFont="1" applyFill="1" applyBorder="1" applyAlignment="1" applyProtection="1">
      <alignment/>
      <protection hidden="1"/>
    </xf>
    <xf numFmtId="0" fontId="5" fillId="0" borderId="23" xfId="0" applyFont="1" applyFill="1" applyBorder="1" applyAlignment="1" applyProtection="1">
      <alignment/>
      <protection hidden="1"/>
    </xf>
    <xf numFmtId="0" fontId="4" fillId="0" borderId="5" xfId="0" applyNumberFormat="1" applyFont="1" applyBorder="1" applyAlignment="1" applyProtection="1">
      <alignment vertical="center"/>
      <protection/>
    </xf>
    <xf numFmtId="37" fontId="5" fillId="3" borderId="25" xfId="0" applyNumberFormat="1" applyFont="1" applyFill="1" applyBorder="1" applyAlignment="1" applyProtection="1">
      <alignment horizontal="left"/>
      <protection hidden="1"/>
    </xf>
    <xf numFmtId="37" fontId="5" fillId="3" borderId="13" xfId="0" applyNumberFormat="1" applyFont="1" applyFill="1" applyBorder="1" applyAlignment="1" applyProtection="1">
      <alignment horizontal="left"/>
      <protection hidden="1"/>
    </xf>
    <xf numFmtId="37" fontId="5" fillId="3" borderId="17" xfId="0" applyNumberFormat="1" applyFont="1" applyFill="1" applyBorder="1" applyAlignment="1" applyProtection="1">
      <alignment horizontal="left"/>
      <protection hidden="1"/>
    </xf>
    <xf numFmtId="3" fontId="5" fillId="3" borderId="25" xfId="0" applyNumberFormat="1" applyFont="1" applyFill="1" applyBorder="1" applyAlignment="1">
      <alignment/>
    </xf>
    <xf numFmtId="3" fontId="5" fillId="3" borderId="3" xfId="0" applyNumberFormat="1" applyFont="1" applyFill="1" applyBorder="1" applyAlignment="1">
      <alignment/>
    </xf>
    <xf numFmtId="0" fontId="4" fillId="0" borderId="0" xfId="0" applyFont="1" applyFill="1" applyBorder="1" applyAlignment="1">
      <alignment wrapText="1"/>
    </xf>
    <xf numFmtId="0" fontId="5" fillId="3" borderId="21" xfId="0" applyFont="1" applyFill="1" applyBorder="1" applyAlignment="1">
      <alignment horizontal="center" wrapText="1" shrinkToFit="1"/>
    </xf>
    <xf numFmtId="0" fontId="5" fillId="3" borderId="2" xfId="0" applyFont="1" applyFill="1" applyBorder="1" applyAlignment="1">
      <alignment horizontal="center" wrapText="1" shrinkToFit="1"/>
    </xf>
    <xf numFmtId="0" fontId="5" fillId="3" borderId="14" xfId="0" applyFont="1" applyFill="1" applyBorder="1" applyAlignment="1">
      <alignment horizontal="center" wrapText="1" shrinkToFit="1"/>
    </xf>
    <xf numFmtId="0" fontId="5" fillId="3" borderId="2" xfId="0" applyFont="1" applyFill="1" applyBorder="1" applyAlignment="1">
      <alignment/>
    </xf>
    <xf numFmtId="178" fontId="4" fillId="7" borderId="0" xfId="34" applyFont="1" applyFill="1" applyBorder="1" applyAlignment="1" applyProtection="1">
      <alignment/>
      <protection/>
    </xf>
    <xf numFmtId="0" fontId="0" fillId="7" borderId="0" xfId="0" applyFill="1" applyBorder="1" applyAlignment="1">
      <alignment/>
    </xf>
    <xf numFmtId="37" fontId="5" fillId="7" borderId="0" xfId="0" applyNumberFormat="1" applyFont="1" applyFill="1" applyBorder="1" applyAlignment="1" applyProtection="1">
      <alignment/>
      <protection hidden="1"/>
    </xf>
    <xf numFmtId="171" fontId="21" fillId="7" borderId="0" xfId="37" applyNumberFormat="1" applyFont="1" applyFill="1" applyBorder="1" applyAlignment="1" applyProtection="1">
      <alignment/>
      <protection/>
    </xf>
    <xf numFmtId="0" fontId="0" fillId="0" borderId="0" xfId="33" applyBorder="1" applyAlignment="1">
      <alignment horizontal="left" vertical="center" wrapText="1"/>
      <protection/>
    </xf>
    <xf numFmtId="178" fontId="5" fillId="0" borderId="0" xfId="34" applyFont="1" applyFill="1" applyBorder="1" applyAlignment="1" applyProtection="1">
      <alignment horizontal="left"/>
      <protection hidden="1"/>
    </xf>
    <xf numFmtId="0" fontId="4" fillId="0" borderId="25" xfId="0" applyFont="1" applyFill="1" applyBorder="1" applyAlignment="1" applyProtection="1">
      <alignment/>
      <protection hidden="1"/>
    </xf>
    <xf numFmtId="0" fontId="4" fillId="0" borderId="17" xfId="0" applyFont="1" applyBorder="1" applyAlignment="1" applyProtection="1">
      <alignment/>
      <protection/>
    </xf>
    <xf numFmtId="0" fontId="5" fillId="0" borderId="0" xfId="0" applyFont="1" applyAlignment="1" applyProtection="1">
      <alignment/>
      <protection hidden="1"/>
    </xf>
    <xf numFmtId="3" fontId="4" fillId="3" borderId="23" xfId="0" applyNumberFormat="1" applyFont="1" applyFill="1" applyBorder="1" applyAlignment="1">
      <alignment/>
    </xf>
    <xf numFmtId="37" fontId="5" fillId="3" borderId="38" xfId="0" applyNumberFormat="1" applyFont="1" applyFill="1" applyBorder="1" applyAlignment="1" applyProtection="1">
      <alignment/>
      <protection hidden="1"/>
    </xf>
    <xf numFmtId="178" fontId="5" fillId="3" borderId="38" xfId="37" applyFont="1" applyBorder="1" applyProtection="1">
      <alignment/>
      <protection/>
    </xf>
    <xf numFmtId="178" fontId="5" fillId="7" borderId="38" xfId="37" applyFont="1" applyFill="1" applyBorder="1" applyProtection="1">
      <alignment/>
      <protection/>
    </xf>
    <xf numFmtId="0" fontId="4" fillId="0" borderId="25" xfId="0" applyFont="1" applyBorder="1" applyAlignment="1" applyProtection="1">
      <alignment/>
      <protection/>
    </xf>
    <xf numFmtId="1" fontId="4" fillId="0" borderId="23" xfId="0" applyNumberFormat="1" applyFont="1" applyBorder="1" applyAlignment="1" applyProtection="1">
      <alignment horizontal="center"/>
      <protection hidden="1"/>
    </xf>
    <xf numFmtId="1" fontId="4" fillId="0" borderId="24" xfId="0" applyNumberFormat="1" applyFont="1" applyBorder="1" applyAlignment="1" applyProtection="1">
      <alignment horizontal="center"/>
      <protection hidden="1"/>
    </xf>
    <xf numFmtId="167" fontId="4" fillId="0" borderId="0" xfId="0" applyNumberFormat="1" applyFont="1" applyFill="1" applyBorder="1" applyAlignment="1" applyProtection="1">
      <alignment horizontal="center"/>
      <protection/>
    </xf>
    <xf numFmtId="0" fontId="4" fillId="0" borderId="25" xfId="0" applyFont="1" applyFill="1" applyBorder="1" applyAlignment="1" applyProtection="1">
      <alignment/>
      <protection hidden="1"/>
    </xf>
    <xf numFmtId="0" fontId="4" fillId="0" borderId="13" xfId="0" applyFont="1" applyFill="1" applyBorder="1" applyAlignment="1" applyProtection="1">
      <alignment wrapText="1"/>
      <protection hidden="1"/>
    </xf>
    <xf numFmtId="0" fontId="4" fillId="0" borderId="17" xfId="0" applyFont="1" applyBorder="1" applyAlignment="1" applyProtection="1">
      <alignment/>
      <protection hidden="1"/>
    </xf>
    <xf numFmtId="178" fontId="4" fillId="7" borderId="23" xfId="37" applyFont="1" applyFill="1" applyBorder="1" applyProtection="1">
      <alignment/>
      <protection/>
    </xf>
    <xf numFmtId="0" fontId="5" fillId="3" borderId="3" xfId="0" applyFont="1" applyFill="1" applyBorder="1" applyAlignment="1" applyProtection="1">
      <alignment horizontal="center" vertical="center"/>
      <protection hidden="1"/>
    </xf>
    <xf numFmtId="0" fontId="5" fillId="3" borderId="21" xfId="0" applyFont="1" applyFill="1" applyBorder="1" applyAlignment="1" applyProtection="1">
      <alignment horizontal="center" vertical="center"/>
      <protection hidden="1"/>
    </xf>
    <xf numFmtId="0" fontId="5" fillId="0" borderId="23" xfId="0" applyNumberFormat="1" applyFont="1" applyBorder="1" applyAlignment="1" applyProtection="1">
      <alignment vertical="center"/>
      <protection hidden="1"/>
    </xf>
    <xf numFmtId="0" fontId="2" fillId="0" borderId="0" xfId="0" applyNumberFormat="1" applyFont="1" applyAlignment="1" applyProtection="1">
      <alignment/>
      <protection/>
    </xf>
    <xf numFmtId="173" fontId="4" fillId="0" borderId="23" xfId="0" applyNumberFormat="1" applyFont="1" applyFill="1" applyBorder="1" applyAlignment="1">
      <alignment/>
    </xf>
    <xf numFmtId="0" fontId="4" fillId="3" borderId="14" xfId="0" applyFont="1" applyFill="1" applyBorder="1" applyAlignment="1">
      <alignment/>
    </xf>
    <xf numFmtId="178" fontId="5" fillId="0" borderId="23" xfId="0" applyNumberFormat="1" applyFont="1" applyBorder="1" applyAlignment="1">
      <alignment/>
    </xf>
    <xf numFmtId="167" fontId="4" fillId="0" borderId="23" xfId="0" applyNumberFormat="1" applyFont="1" applyFill="1" applyBorder="1" applyAlignment="1" applyProtection="1">
      <alignment horizontal="center"/>
      <protection hidden="1"/>
    </xf>
    <xf numFmtId="167" fontId="4" fillId="0" borderId="24" xfId="0" applyNumberFormat="1" applyFont="1" applyFill="1" applyBorder="1" applyAlignment="1" applyProtection="1">
      <alignment horizontal="center"/>
      <protection hidden="1"/>
    </xf>
    <xf numFmtId="3" fontId="4" fillId="0" borderId="23" xfId="0" applyNumberFormat="1" applyFont="1" applyBorder="1" applyAlignment="1" applyProtection="1">
      <alignment/>
      <protection hidden="1"/>
    </xf>
    <xf numFmtId="3" fontId="4" fillId="0" borderId="24" xfId="36" applyNumberFormat="1" applyFont="1" applyFill="1" applyBorder="1" applyProtection="1">
      <alignment/>
      <protection locked="0"/>
    </xf>
    <xf numFmtId="178" fontId="4" fillId="3" borderId="23" xfId="0" applyNumberFormat="1" applyFont="1" applyFill="1" applyBorder="1" applyAlignment="1" applyProtection="1">
      <alignment/>
      <protection/>
    </xf>
    <xf numFmtId="3" fontId="5" fillId="3" borderId="23" xfId="0" applyNumberFormat="1" applyFont="1" applyFill="1" applyBorder="1" applyAlignment="1" applyProtection="1">
      <alignment/>
      <protection/>
    </xf>
    <xf numFmtId="3" fontId="4" fillId="0" borderId="23" xfId="0" applyNumberFormat="1" applyFont="1" applyBorder="1" applyAlignment="1" applyProtection="1">
      <alignment/>
      <protection locked="0"/>
    </xf>
    <xf numFmtId="37" fontId="5" fillId="3" borderId="21" xfId="0" applyNumberFormat="1" applyFont="1" applyFill="1" applyBorder="1" applyAlignment="1" applyProtection="1">
      <alignment horizontal="center" vertical="center" wrapText="1"/>
      <protection hidden="1"/>
    </xf>
    <xf numFmtId="2" fontId="5" fillId="3" borderId="16" xfId="0" applyNumberFormat="1" applyFont="1" applyFill="1" applyBorder="1" applyAlignment="1">
      <alignment horizontal="center"/>
    </xf>
    <xf numFmtId="1" fontId="5" fillId="3" borderId="3" xfId="0" applyNumberFormat="1" applyFont="1" applyFill="1" applyBorder="1" applyAlignment="1">
      <alignment horizontal="center"/>
    </xf>
    <xf numFmtId="1" fontId="5" fillId="3" borderId="5" xfId="0" applyNumberFormat="1" applyFont="1" applyFill="1" applyBorder="1" applyAlignment="1">
      <alignment horizontal="center"/>
    </xf>
    <xf numFmtId="1" fontId="4" fillId="0" borderId="3" xfId="0" applyNumberFormat="1" applyFont="1" applyFill="1" applyBorder="1" applyAlignment="1" applyProtection="1">
      <alignment vertical="center"/>
      <protection locked="0"/>
    </xf>
    <xf numFmtId="0" fontId="0" fillId="0" borderId="0" xfId="33" applyBorder="1">
      <alignment/>
      <protection/>
    </xf>
    <xf numFmtId="3" fontId="4" fillId="0" borderId="3" xfId="0" applyNumberFormat="1" applyFont="1" applyBorder="1" applyAlignment="1">
      <alignment horizontal="right"/>
    </xf>
    <xf numFmtId="37" fontId="4" fillId="0" borderId="24" xfId="0" applyNumberFormat="1" applyFont="1" applyBorder="1" applyAlignment="1">
      <alignment/>
    </xf>
    <xf numFmtId="37" fontId="4" fillId="0" borderId="24" xfId="0" applyNumberFormat="1" applyFont="1" applyBorder="1" applyAlignment="1">
      <alignment horizontal="right"/>
    </xf>
    <xf numFmtId="37" fontId="4" fillId="0" borderId="3" xfId="0" applyNumberFormat="1" applyFont="1" applyBorder="1" applyAlignment="1">
      <alignment/>
    </xf>
    <xf numFmtId="37" fontId="4" fillId="0" borderId="3" xfId="0" applyNumberFormat="1" applyFont="1" applyBorder="1" applyAlignment="1">
      <alignment horizontal="right"/>
    </xf>
    <xf numFmtId="166" fontId="4" fillId="0" borderId="3" xfId="0" applyNumberFormat="1" applyFont="1" applyBorder="1" applyAlignment="1">
      <alignment/>
    </xf>
    <xf numFmtId="0" fontId="5" fillId="3" borderId="74" xfId="0" applyFont="1" applyFill="1" applyBorder="1" applyAlignment="1">
      <alignment horizontal="center"/>
    </xf>
    <xf numFmtId="0" fontId="0" fillId="0" borderId="0" xfId="0" applyFill="1" applyAlignment="1">
      <alignment/>
    </xf>
    <xf numFmtId="37" fontId="5" fillId="7" borderId="0" xfId="0" applyNumberFormat="1" applyFont="1" applyFill="1" applyBorder="1" applyAlignment="1" applyProtection="1">
      <alignment horizontal="right"/>
      <protection hidden="1"/>
    </xf>
    <xf numFmtId="0" fontId="5" fillId="0" borderId="0" xfId="0" applyFont="1" applyBorder="1" applyAlignment="1">
      <alignment horizontal="left"/>
    </xf>
    <xf numFmtId="0" fontId="4" fillId="7" borderId="26" xfId="0" applyFont="1" applyFill="1" applyBorder="1" applyAlignment="1">
      <alignment/>
    </xf>
    <xf numFmtId="3" fontId="4" fillId="7" borderId="24" xfId="0" applyNumberFormat="1" applyFont="1" applyFill="1" applyBorder="1" applyAlignment="1">
      <alignment/>
    </xf>
    <xf numFmtId="3" fontId="4" fillId="0" borderId="31" xfId="0" applyNumberFormat="1" applyFont="1" applyBorder="1" applyAlignment="1">
      <alignment/>
    </xf>
    <xf numFmtId="0" fontId="4" fillId="0" borderId="73" xfId="0" applyFont="1" applyFill="1" applyBorder="1" applyAlignment="1" applyProtection="1">
      <alignment/>
      <protection hidden="1"/>
    </xf>
    <xf numFmtId="0" fontId="4" fillId="0" borderId="26" xfId="0" applyFont="1" applyBorder="1" applyAlignment="1">
      <alignment/>
    </xf>
    <xf numFmtId="0" fontId="4" fillId="0" borderId="12" xfId="0" applyFont="1" applyBorder="1" applyAlignment="1">
      <alignment/>
    </xf>
    <xf numFmtId="3" fontId="4" fillId="0" borderId="23" xfId="0" applyNumberFormat="1" applyFont="1" applyFill="1" applyBorder="1" applyAlignment="1">
      <alignment horizontal="right"/>
    </xf>
    <xf numFmtId="0" fontId="4" fillId="0" borderId="25" xfId="0" applyFont="1" applyFill="1" applyBorder="1" applyAlignment="1">
      <alignment/>
    </xf>
    <xf numFmtId="178" fontId="5" fillId="0" borderId="75" xfId="37" applyFill="1" applyBorder="1" applyAlignment="1" applyProtection="1">
      <alignment horizontal="right" vertical="center"/>
      <protection/>
    </xf>
    <xf numFmtId="3" fontId="3" fillId="3" borderId="50" xfId="0" applyNumberFormat="1" applyFont="1" applyFill="1" applyBorder="1" applyAlignment="1" applyProtection="1">
      <alignment horizontal="center" vertical="center"/>
      <protection hidden="1"/>
    </xf>
    <xf numFmtId="3" fontId="3" fillId="3" borderId="21" xfId="0" applyNumberFormat="1" applyFont="1" applyFill="1" applyBorder="1" applyAlignment="1" applyProtection="1">
      <alignment horizontal="center" vertical="center"/>
      <protection hidden="1"/>
    </xf>
    <xf numFmtId="0" fontId="3" fillId="3" borderId="21" xfId="0" applyFont="1" applyFill="1" applyBorder="1" applyAlignment="1" applyProtection="1">
      <alignment horizontal="center" vertical="center"/>
      <protection hidden="1"/>
    </xf>
    <xf numFmtId="2" fontId="3" fillId="3" borderId="14" xfId="0" applyNumberFormat="1"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3" fontId="3" fillId="3" borderId="6" xfId="0" applyNumberFormat="1" applyFont="1" applyFill="1" applyBorder="1" applyAlignment="1" applyProtection="1">
      <alignment horizontal="center" vertical="center"/>
      <protection hidden="1"/>
    </xf>
    <xf numFmtId="0" fontId="0" fillId="0" borderId="0" xfId="33" applyFont="1" applyProtection="1">
      <alignment/>
      <protection/>
    </xf>
    <xf numFmtId="178" fontId="4" fillId="0" borderId="24" xfId="34" applyFont="1" applyFill="1" applyBorder="1" applyProtection="1" quotePrefix="1">
      <alignment/>
      <protection/>
    </xf>
    <xf numFmtId="0" fontId="0" fillId="0" borderId="64" xfId="33" applyBorder="1">
      <alignment/>
      <protection/>
    </xf>
    <xf numFmtId="0" fontId="5" fillId="7" borderId="0" xfId="0" applyNumberFormat="1" applyFont="1" applyFill="1" applyAlignment="1" applyProtection="1">
      <alignment/>
      <protection/>
    </xf>
    <xf numFmtId="0" fontId="4" fillId="7" borderId="0" xfId="0" applyFont="1" applyFill="1" applyAlignment="1" applyProtection="1">
      <alignment/>
      <protection/>
    </xf>
    <xf numFmtId="49" fontId="4" fillId="7" borderId="0" xfId="0" applyNumberFormat="1" applyFont="1" applyFill="1" applyBorder="1" applyAlignment="1" applyProtection="1">
      <alignment horizontal="center"/>
      <protection/>
    </xf>
    <xf numFmtId="0" fontId="4" fillId="7" borderId="0" xfId="0" applyFont="1" applyFill="1" applyAlignment="1" applyProtection="1">
      <alignment/>
      <protection/>
    </xf>
    <xf numFmtId="178" fontId="4" fillId="7" borderId="24" xfId="34" applyFill="1" applyBorder="1" applyProtection="1">
      <alignment/>
      <protection/>
    </xf>
    <xf numFmtId="0" fontId="4" fillId="0" borderId="0" xfId="0" applyNumberFormat="1" applyFont="1" applyAlignment="1" applyProtection="1">
      <alignment horizontal="left"/>
      <protection/>
    </xf>
    <xf numFmtId="169" fontId="4" fillId="0" borderId="13" xfId="0" applyNumberFormat="1" applyFont="1" applyBorder="1" applyAlignment="1">
      <alignment/>
    </xf>
    <xf numFmtId="169" fontId="4" fillId="7" borderId="23" xfId="0" applyNumberFormat="1" applyFont="1" applyFill="1" applyBorder="1" applyAlignment="1">
      <alignment horizontal="center"/>
    </xf>
    <xf numFmtId="178" fontId="4" fillId="0" borderId="23" xfId="34" applyFont="1" applyFill="1" applyBorder="1" applyAlignment="1" applyProtection="1">
      <alignment horizontal="center"/>
      <protection locked="0"/>
    </xf>
    <xf numFmtId="169" fontId="5" fillId="3" borderId="23" xfId="0" applyNumberFormat="1" applyFont="1" applyFill="1" applyBorder="1" applyAlignment="1">
      <alignment horizontal="center"/>
    </xf>
    <xf numFmtId="0" fontId="2" fillId="0" borderId="0" xfId="0" applyNumberFormat="1" applyFont="1" applyBorder="1" applyAlignment="1" applyProtection="1">
      <alignment vertical="center"/>
      <protection/>
    </xf>
    <xf numFmtId="0" fontId="5" fillId="0" borderId="6" xfId="0" applyFont="1" applyBorder="1" applyAlignment="1" applyProtection="1">
      <alignment/>
      <protection hidden="1"/>
    </xf>
    <xf numFmtId="169" fontId="4" fillId="0" borderId="23" xfId="0" applyNumberFormat="1" applyFont="1" applyBorder="1" applyAlignment="1" applyProtection="1">
      <alignment horizontal="center"/>
      <protection locked="0"/>
    </xf>
    <xf numFmtId="0" fontId="15" fillId="0" borderId="0" xfId="0" applyFont="1" applyAlignment="1" applyProtection="1">
      <alignment/>
      <protection/>
    </xf>
    <xf numFmtId="0" fontId="5" fillId="0" borderId="0" xfId="0" applyNumberFormat="1" applyFont="1" applyBorder="1" applyAlignment="1" applyProtection="1">
      <alignment/>
      <protection/>
    </xf>
    <xf numFmtId="37" fontId="4" fillId="0" borderId="3" xfId="0" applyNumberFormat="1" applyFont="1" applyFill="1" applyBorder="1" applyAlignment="1">
      <alignment/>
    </xf>
    <xf numFmtId="0" fontId="4" fillId="0" borderId="0" xfId="0" applyFont="1" applyFill="1" applyAlignment="1" applyProtection="1">
      <alignment horizontal="justify" vertical="top" wrapText="1"/>
      <protection hidden="1"/>
    </xf>
    <xf numFmtId="0"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186" fontId="4" fillId="0" borderId="0" xfId="0" applyNumberFormat="1" applyFont="1" applyFill="1" applyBorder="1" applyAlignment="1" applyProtection="1">
      <alignment horizontal="right" vertical="center"/>
      <protection/>
    </xf>
    <xf numFmtId="0" fontId="5" fillId="0" borderId="0" xfId="0" applyNumberFormat="1" applyFont="1" applyFill="1" applyAlignment="1" applyProtection="1">
      <alignment/>
      <protection hidden="1"/>
    </xf>
    <xf numFmtId="0" fontId="16" fillId="0" borderId="0" xfId="0" applyNumberFormat="1" applyFont="1" applyFill="1" applyBorder="1" applyAlignment="1" applyProtection="1">
      <alignment vertical="center"/>
      <protection hidden="1"/>
    </xf>
    <xf numFmtId="186" fontId="4" fillId="0" borderId="0" xfId="0" applyNumberFormat="1" applyFont="1" applyFill="1" applyBorder="1" applyAlignment="1" applyProtection="1">
      <alignment horizontal="right" vertical="center"/>
      <protection hidden="1"/>
    </xf>
    <xf numFmtId="0" fontId="4" fillId="0" borderId="0" xfId="0" applyFont="1" applyFill="1" applyAlignment="1" applyProtection="1">
      <alignment horizontal="justify"/>
      <protection hidden="1"/>
    </xf>
    <xf numFmtId="0" fontId="4" fillId="0" borderId="0" xfId="0" applyFont="1" applyFill="1" applyAlignment="1" applyProtection="1">
      <alignment wrapText="1"/>
      <protection hidden="1"/>
    </xf>
    <xf numFmtId="37" fontId="4" fillId="0" borderId="18" xfId="0" applyNumberFormat="1" applyFont="1" applyFill="1" applyBorder="1" applyAlignment="1" applyProtection="1">
      <alignment horizontal="left" vertical="center"/>
      <protection locked="0"/>
    </xf>
    <xf numFmtId="0" fontId="4" fillId="0" borderId="18"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37" fontId="4" fillId="0" borderId="76" xfId="0" applyNumberFormat="1" applyFont="1" applyFill="1" applyBorder="1" applyAlignment="1" applyProtection="1">
      <alignment horizontal="left" vertical="center"/>
      <protection locked="0"/>
    </xf>
    <xf numFmtId="37" fontId="4" fillId="0" borderId="48" xfId="0" applyNumberFormat="1" applyFont="1" applyFill="1" applyBorder="1" applyAlignment="1" applyProtection="1">
      <alignment horizontal="left" vertical="center"/>
      <protection locked="0"/>
    </xf>
    <xf numFmtId="37" fontId="4" fillId="0" borderId="63" xfId="0" applyNumberFormat="1" applyFont="1" applyFill="1" applyBorder="1" applyAlignment="1" applyProtection="1">
      <alignment horizontal="left" vertical="center"/>
      <protection locked="0"/>
    </xf>
    <xf numFmtId="37" fontId="4" fillId="0" borderId="25" xfId="0" applyNumberFormat="1" applyFont="1" applyFill="1" applyBorder="1" applyAlignment="1" applyProtection="1">
      <alignment horizontal="left" vertical="center"/>
      <protection locked="0"/>
    </xf>
    <xf numFmtId="37" fontId="4" fillId="0" borderId="13" xfId="0" applyNumberFormat="1" applyFont="1" applyFill="1" applyBorder="1" applyAlignment="1" applyProtection="1">
      <alignment horizontal="left" vertical="center"/>
      <protection locked="0"/>
    </xf>
    <xf numFmtId="37" fontId="4" fillId="0" borderId="74" xfId="0" applyNumberFormat="1" applyFont="1" applyFill="1" applyBorder="1" applyAlignment="1" applyProtection="1">
      <alignment horizontal="left" vertical="center"/>
      <protection locked="0"/>
    </xf>
    <xf numFmtId="37" fontId="4" fillId="0" borderId="40" xfId="0" applyNumberFormat="1" applyFont="1" applyFill="1" applyBorder="1" applyAlignment="1" applyProtection="1">
      <alignment horizontal="left" vertical="center"/>
      <protection locked="0"/>
    </xf>
    <xf numFmtId="0" fontId="4" fillId="0" borderId="13" xfId="0" applyFont="1" applyBorder="1" applyAlignment="1" applyProtection="1">
      <alignment horizontal="left" vertical="center"/>
      <protection hidden="1"/>
    </xf>
    <xf numFmtId="0" fontId="4" fillId="0" borderId="17" xfId="0" applyFont="1" applyBorder="1" applyAlignment="1" applyProtection="1">
      <alignment horizontal="left" vertical="center"/>
      <protection hidden="1"/>
    </xf>
    <xf numFmtId="0" fontId="4" fillId="0" borderId="30" xfId="0" applyFont="1" applyBorder="1" applyAlignment="1" applyProtection="1">
      <alignment horizontal="left" vertical="center"/>
      <protection hidden="1"/>
    </xf>
    <xf numFmtId="37" fontId="4" fillId="0" borderId="63" xfId="0" applyNumberFormat="1" applyFont="1" applyFill="1" applyBorder="1" applyAlignment="1" applyProtection="1">
      <alignment horizontal="center" vertical="center"/>
      <protection locked="0"/>
    </xf>
    <xf numFmtId="0" fontId="5" fillId="0" borderId="62" xfId="0" applyFont="1" applyBorder="1" applyAlignment="1" applyProtection="1">
      <alignment horizontal="left" vertical="center"/>
      <protection hidden="1"/>
    </xf>
    <xf numFmtId="0" fontId="5" fillId="0" borderId="48" xfId="0" applyFont="1" applyBorder="1" applyAlignment="1" applyProtection="1">
      <alignment horizontal="left" vertical="center"/>
      <protection hidden="1"/>
    </xf>
    <xf numFmtId="0" fontId="5" fillId="0" borderId="39" xfId="0" applyFont="1" applyBorder="1" applyAlignment="1" applyProtection="1">
      <alignment horizontal="left" vertical="center"/>
      <protection hidden="1"/>
    </xf>
    <xf numFmtId="0" fontId="4" fillId="0" borderId="29" xfId="0" applyFont="1" applyBorder="1" applyAlignment="1" applyProtection="1">
      <alignment horizontal="left" vertical="center"/>
      <protection hidden="1"/>
    </xf>
    <xf numFmtId="1" fontId="4" fillId="0" borderId="49" xfId="0" applyNumberFormat="1" applyFont="1" applyBorder="1" applyAlignment="1" applyProtection="1">
      <alignment/>
      <protection/>
    </xf>
    <xf numFmtId="37" fontId="4" fillId="0" borderId="25" xfId="0" applyNumberFormat="1" applyFont="1" applyFill="1" applyBorder="1" applyAlignment="1" applyProtection="1">
      <alignment horizontal="center" vertical="center"/>
      <protection locked="0"/>
    </xf>
    <xf numFmtId="37" fontId="4" fillId="0" borderId="13" xfId="0" applyNumberFormat="1" applyFont="1" applyFill="1" applyBorder="1" applyAlignment="1" applyProtection="1">
      <alignment horizontal="center" vertical="center"/>
      <protection locked="0"/>
    </xf>
    <xf numFmtId="37" fontId="4" fillId="0" borderId="74" xfId="0" applyNumberFormat="1" applyFont="1" applyFill="1" applyBorder="1" applyAlignment="1" applyProtection="1">
      <alignment horizontal="center" vertical="center"/>
      <protection locked="0"/>
    </xf>
    <xf numFmtId="37" fontId="4" fillId="0" borderId="40" xfId="0" applyNumberFormat="1" applyFont="1" applyFill="1" applyBorder="1" applyAlignment="1" applyProtection="1">
      <alignment horizontal="center" vertical="center"/>
      <protection locked="0"/>
    </xf>
    <xf numFmtId="37" fontId="4" fillId="0" borderId="18" xfId="0" applyNumberFormat="1" applyFont="1" applyFill="1" applyBorder="1" applyAlignment="1" applyProtection="1">
      <alignment horizontal="center" vertical="center"/>
      <protection locked="0"/>
    </xf>
    <xf numFmtId="37" fontId="4" fillId="0" borderId="65" xfId="0" applyNumberFormat="1" applyFont="1" applyFill="1" applyBorder="1" applyAlignment="1" applyProtection="1">
      <alignment horizontal="center" vertical="center"/>
      <protection locked="0"/>
    </xf>
    <xf numFmtId="37" fontId="4" fillId="0" borderId="76" xfId="0" applyNumberFormat="1" applyFont="1" applyFill="1" applyBorder="1" applyAlignment="1" applyProtection="1">
      <alignment horizontal="center" vertical="center"/>
      <protection locked="0"/>
    </xf>
    <xf numFmtId="37" fontId="4" fillId="0" borderId="48" xfId="0" applyNumberFormat="1" applyFont="1" applyFill="1" applyBorder="1" applyAlignment="1" applyProtection="1">
      <alignment horizontal="center" vertical="center"/>
      <protection locked="0"/>
    </xf>
    <xf numFmtId="37" fontId="4" fillId="0" borderId="65" xfId="0" applyNumberFormat="1" applyFont="1" applyFill="1" applyBorder="1" applyAlignment="1" applyProtection="1">
      <alignment horizontal="left" vertical="center"/>
      <protection locked="0"/>
    </xf>
    <xf numFmtId="37" fontId="4" fillId="0" borderId="36" xfId="0" applyNumberFormat="1" applyFont="1" applyFill="1" applyBorder="1" applyAlignment="1" applyProtection="1">
      <alignment horizontal="left" vertical="center"/>
      <protection locked="0"/>
    </xf>
    <xf numFmtId="37" fontId="4" fillId="0" borderId="77" xfId="0" applyNumberFormat="1" applyFont="1" applyFill="1" applyBorder="1" applyAlignment="1" applyProtection="1">
      <alignment horizontal="left" vertical="center"/>
      <protection locked="0"/>
    </xf>
    <xf numFmtId="37" fontId="4" fillId="0" borderId="78" xfId="0" applyNumberFormat="1" applyFont="1" applyFill="1" applyBorder="1" applyAlignment="1" applyProtection="1">
      <alignment horizontal="left" vertical="center"/>
      <protection locked="0"/>
    </xf>
    <xf numFmtId="37" fontId="4" fillId="0" borderId="26" xfId="0" applyNumberFormat="1" applyFont="1" applyFill="1" applyBorder="1" applyAlignment="1" applyProtection="1">
      <alignment horizontal="left" vertical="center"/>
      <protection locked="0"/>
    </xf>
    <xf numFmtId="37" fontId="4" fillId="0" borderId="70" xfId="0" applyNumberFormat="1" applyFont="1" applyFill="1" applyBorder="1" applyAlignment="1" applyProtection="1">
      <alignment horizontal="left" vertical="center"/>
      <protection locked="0"/>
    </xf>
    <xf numFmtId="0" fontId="4" fillId="0" borderId="28" xfId="0" applyFont="1" applyBorder="1" applyAlignment="1" applyProtection="1">
      <alignment horizontal="left" vertical="center"/>
      <protection/>
    </xf>
    <xf numFmtId="0" fontId="4" fillId="0" borderId="36" xfId="0" applyFont="1" applyBorder="1" applyAlignment="1" applyProtection="1">
      <alignment horizontal="left" vertical="center"/>
      <protection/>
    </xf>
    <xf numFmtId="0" fontId="5" fillId="0" borderId="79" xfId="0" applyFont="1" applyBorder="1" applyAlignment="1" applyProtection="1">
      <alignment horizontal="left" vertical="center"/>
      <protection hidden="1"/>
    </xf>
    <xf numFmtId="0" fontId="5" fillId="0" borderId="26" xfId="0" applyFont="1" applyBorder="1" applyAlignment="1" applyProtection="1">
      <alignment horizontal="left" vertical="center"/>
      <protection hidden="1"/>
    </xf>
    <xf numFmtId="0" fontId="5" fillId="0" borderId="47" xfId="0" applyFont="1" applyBorder="1" applyAlignment="1" applyProtection="1">
      <alignment horizontal="left" vertical="center"/>
      <protection hidden="1"/>
    </xf>
    <xf numFmtId="37" fontId="4" fillId="0" borderId="40" xfId="0" applyNumberFormat="1" applyFont="1" applyFill="1" applyBorder="1" applyAlignment="1" applyProtection="1">
      <alignment horizontal="right" vertical="center"/>
      <protection locked="0"/>
    </xf>
    <xf numFmtId="37" fontId="4" fillId="0" borderId="18" xfId="0" applyNumberFormat="1" applyFont="1" applyFill="1" applyBorder="1" applyAlignment="1" applyProtection="1">
      <alignment horizontal="right" vertical="center"/>
      <protection locked="0"/>
    </xf>
    <xf numFmtId="15" fontId="4" fillId="0" borderId="30" xfId="0" applyNumberFormat="1" applyFont="1" applyFill="1" applyBorder="1" applyAlignment="1" applyProtection="1" quotePrefix="1">
      <alignment horizontal="right" vertical="center"/>
      <protection locked="0"/>
    </xf>
    <xf numFmtId="15" fontId="4" fillId="0" borderId="18" xfId="0" applyNumberFormat="1" applyFont="1" applyFill="1" applyBorder="1" applyAlignment="1" applyProtection="1" quotePrefix="1">
      <alignment horizontal="right" vertical="center"/>
      <protection locked="0"/>
    </xf>
    <xf numFmtId="0" fontId="0" fillId="0" borderId="0" xfId="0" applyBorder="1" applyAlignment="1" applyProtection="1">
      <alignment horizontal="justify" vertical="top" wrapText="1"/>
      <protection hidden="1"/>
    </xf>
    <xf numFmtId="0" fontId="0" fillId="0" borderId="0" xfId="0" applyBorder="1" applyAlignment="1" applyProtection="1">
      <alignment horizontal="justify" wrapText="1"/>
      <protection hidden="1"/>
    </xf>
    <xf numFmtId="0" fontId="5" fillId="0" borderId="80" xfId="0" applyFont="1" applyBorder="1" applyAlignment="1" applyProtection="1">
      <alignment horizontal="left" vertical="center"/>
      <protection hidden="1"/>
    </xf>
    <xf numFmtId="0" fontId="5" fillId="0" borderId="61" xfId="0" applyFont="1" applyBorder="1" applyAlignment="1" applyProtection="1">
      <alignment horizontal="left" vertical="center"/>
      <protection hidden="1"/>
    </xf>
    <xf numFmtId="37" fontId="4" fillId="0" borderId="61" xfId="0" applyNumberFormat="1" applyFont="1" applyFill="1" applyBorder="1" applyAlignment="1" applyProtection="1">
      <alignment horizontal="center" vertical="center"/>
      <protection locked="0"/>
    </xf>
    <xf numFmtId="37" fontId="4" fillId="0" borderId="81" xfId="0" applyNumberFormat="1" applyFont="1" applyFill="1" applyBorder="1" applyAlignment="1" applyProtection="1">
      <alignment horizontal="center" vertical="center"/>
      <protection locked="0"/>
    </xf>
    <xf numFmtId="37" fontId="4" fillId="0" borderId="23" xfId="0" applyNumberFormat="1" applyFont="1" applyFill="1" applyBorder="1" applyAlignment="1" applyProtection="1">
      <alignment horizontal="center" vertical="center"/>
      <protection locked="0"/>
    </xf>
    <xf numFmtId="37" fontId="4" fillId="0" borderId="82" xfId="0" applyNumberFormat="1" applyFont="1" applyFill="1" applyBorder="1" applyAlignment="1" applyProtection="1">
      <alignment horizontal="center" vertical="center"/>
      <protection locked="0"/>
    </xf>
    <xf numFmtId="0" fontId="4" fillId="0" borderId="27" xfId="0" applyFont="1" applyBorder="1" applyAlignment="1" applyProtection="1">
      <alignment horizontal="left" vertical="center"/>
      <protection hidden="1"/>
    </xf>
    <xf numFmtId="0" fontId="4" fillId="0" borderId="23" xfId="0" applyFont="1" applyBorder="1" applyAlignment="1" applyProtection="1">
      <alignment horizontal="lef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14" fontId="4" fillId="0" borderId="16" xfId="0" applyNumberFormat="1" applyFont="1" applyBorder="1" applyAlignment="1" applyProtection="1" quotePrefix="1">
      <alignment horizontal="center" wrapText="1"/>
      <protection hidden="1"/>
    </xf>
    <xf numFmtId="0" fontId="4" fillId="0" borderId="5" xfId="0" applyFont="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4" fillId="0" borderId="16" xfId="0" applyFont="1" applyBorder="1" applyAlignment="1" applyProtection="1">
      <alignment horizontal="center" wrapText="1"/>
      <protection hidden="1"/>
    </xf>
    <xf numFmtId="0" fontId="5" fillId="0" borderId="16" xfId="0" applyFont="1" applyBorder="1" applyAlignment="1" applyProtection="1">
      <alignment horizontal="center" wrapText="1"/>
      <protection hidden="1"/>
    </xf>
    <xf numFmtId="0" fontId="5" fillId="0" borderId="5"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4" fillId="0" borderId="0" xfId="0" applyFont="1" applyBorder="1" applyAlignment="1" applyProtection="1">
      <alignment horizontal="justify" wrapText="1"/>
      <protection hidden="1"/>
    </xf>
    <xf numFmtId="0" fontId="0" fillId="0" borderId="0" xfId="0" applyAlignment="1" applyProtection="1">
      <alignment horizontal="justify" wrapText="1"/>
      <protection hidden="1"/>
    </xf>
    <xf numFmtId="0" fontId="5" fillId="0" borderId="62" xfId="0" applyFont="1" applyBorder="1" applyAlignment="1" applyProtection="1">
      <alignment horizontal="center" wrapText="1"/>
      <protection hidden="1"/>
    </xf>
    <xf numFmtId="0" fontId="5" fillId="0" borderId="48" xfId="0" applyFont="1" applyBorder="1" applyAlignment="1" applyProtection="1">
      <alignment horizontal="center" wrapText="1"/>
      <protection hidden="1"/>
    </xf>
    <xf numFmtId="0" fontId="5" fillId="0" borderId="63" xfId="0" applyFont="1" applyBorder="1" applyAlignment="1" applyProtection="1">
      <alignment horizontal="center" wrapText="1"/>
      <protection hidden="1"/>
    </xf>
    <xf numFmtId="0" fontId="5" fillId="0" borderId="35" xfId="0" applyFont="1" applyBorder="1" applyAlignment="1" applyProtection="1">
      <alignment horizontal="center" wrapText="1"/>
      <protection hidden="1"/>
    </xf>
    <xf numFmtId="0" fontId="5" fillId="0" borderId="32" xfId="0" applyFont="1" applyBorder="1" applyAlignment="1" applyProtection="1">
      <alignment horizontal="center" wrapText="1"/>
      <protection hidden="1"/>
    </xf>
    <xf numFmtId="0" fontId="5" fillId="0" borderId="69" xfId="0" applyFont="1" applyBorder="1" applyAlignment="1" applyProtection="1">
      <alignment horizontal="center" wrapText="1"/>
      <protection hidden="1"/>
    </xf>
    <xf numFmtId="0" fontId="4" fillId="0" borderId="0" xfId="0" applyNumberFormat="1" applyFont="1" applyAlignment="1" applyProtection="1">
      <alignment vertical="center" wrapText="1"/>
      <protection hidden="1"/>
    </xf>
    <xf numFmtId="0" fontId="0" fillId="0" borderId="0" xfId="0" applyAlignment="1" applyProtection="1">
      <alignment vertical="center" wrapText="1"/>
      <protection hidden="1"/>
    </xf>
    <xf numFmtId="0" fontId="4" fillId="0" borderId="0" xfId="0" applyFont="1" applyFill="1" applyAlignment="1" applyProtection="1">
      <alignment horizontal="justify" vertical="top" wrapText="1"/>
      <protection hidden="1"/>
    </xf>
    <xf numFmtId="0" fontId="4" fillId="0" borderId="0" xfId="0" applyFont="1" applyAlignment="1" applyProtection="1">
      <alignment horizontal="left" vertical="top" wrapText="1"/>
      <protection hidden="1"/>
    </xf>
    <xf numFmtId="0" fontId="4" fillId="0" borderId="0" xfId="0" applyNumberFormat="1" applyFont="1" applyFill="1" applyAlignment="1" applyProtection="1">
      <alignment horizontal="left" vertical="top" wrapText="1"/>
      <protection/>
    </xf>
    <xf numFmtId="0" fontId="4" fillId="0" borderId="0" xfId="0" applyNumberFormat="1" applyFont="1" applyAlignment="1" applyProtection="1">
      <alignment horizontal="justify" vertical="top" wrapText="1"/>
      <protection/>
    </xf>
    <xf numFmtId="0" fontId="0" fillId="0" borderId="0" xfId="0" applyFont="1" applyAlignment="1">
      <alignment horizontal="justify" vertical="top" wrapText="1"/>
    </xf>
    <xf numFmtId="0" fontId="4" fillId="0" borderId="0" xfId="0" applyFont="1" applyAlignment="1" applyProtection="1">
      <alignment horizontal="justify" vertical="top"/>
      <protection hidden="1"/>
    </xf>
    <xf numFmtId="0" fontId="4" fillId="0" borderId="0" xfId="0" applyFont="1" applyAlignment="1" applyProtection="1">
      <alignment horizontal="justify" vertical="top" wrapText="1"/>
      <protection hidden="1"/>
    </xf>
    <xf numFmtId="0" fontId="0" fillId="0" borderId="0" xfId="0" applyAlignment="1" applyProtection="1">
      <alignment horizontal="justify" vertical="top" wrapText="1"/>
      <protection hidden="1"/>
    </xf>
    <xf numFmtId="0" fontId="4" fillId="0" borderId="0" xfId="0" applyNumberFormat="1" applyFont="1" applyFill="1" applyAlignment="1" applyProtection="1">
      <alignment horizontal="justify" vertical="top" wrapText="1"/>
      <protection hidden="1"/>
    </xf>
    <xf numFmtId="0" fontId="4" fillId="0" borderId="0" xfId="0" applyFont="1" applyAlignment="1" applyProtection="1" quotePrefix="1">
      <alignment horizontal="left" vertical="top"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4" fillId="0" borderId="0" xfId="0" applyNumberFormat="1" applyFont="1" applyFill="1" applyAlignment="1" applyProtection="1">
      <alignment horizontal="left" vertical="top" wrapText="1"/>
      <protection hidden="1"/>
    </xf>
    <xf numFmtId="0" fontId="5" fillId="0" borderId="0" xfId="0" applyNumberFormat="1" applyFont="1" applyFill="1" applyAlignment="1" applyProtection="1">
      <alignment horizontal="left" vertical="top" wrapText="1"/>
      <protection hidden="1"/>
    </xf>
    <xf numFmtId="0" fontId="0" fillId="0" borderId="0" xfId="0" applyFill="1" applyAlignment="1">
      <alignment wrapText="1"/>
    </xf>
    <xf numFmtId="0" fontId="4" fillId="0" borderId="0" xfId="0" applyFont="1" applyAlignment="1" applyProtection="1" quotePrefix="1">
      <alignment horizontal="justify" vertical="top" wrapText="1"/>
      <protection hidden="1"/>
    </xf>
    <xf numFmtId="0" fontId="5" fillId="0" borderId="0" xfId="0" applyFont="1" applyAlignment="1" applyProtection="1">
      <alignment horizontal="justify" vertical="top" wrapText="1"/>
      <protection hidden="1"/>
    </xf>
    <xf numFmtId="0" fontId="4" fillId="0" borderId="0" xfId="0" applyFont="1" applyFill="1" applyAlignment="1" applyProtection="1" quotePrefix="1">
      <alignment horizontal="justify" vertical="top" wrapText="1"/>
      <protection hidden="1"/>
    </xf>
    <xf numFmtId="0" fontId="4" fillId="0" borderId="0" xfId="0" applyFont="1" applyAlignment="1" applyProtection="1" quotePrefix="1">
      <alignment horizontal="justify" vertical="top"/>
      <protection hidden="1"/>
    </xf>
    <xf numFmtId="0" fontId="4" fillId="0" borderId="0" xfId="0" applyNumberFormat="1" applyFont="1" applyFill="1" applyBorder="1" applyAlignment="1" applyProtection="1">
      <alignment horizontal="left" vertical="top" wrapText="1"/>
      <protection hidden="1"/>
    </xf>
    <xf numFmtId="0" fontId="0" fillId="0" borderId="0" xfId="0" applyFill="1" applyAlignment="1" applyProtection="1">
      <alignment horizontal="left" vertical="top" wrapText="1"/>
      <protection hidden="1"/>
    </xf>
    <xf numFmtId="169" fontId="4" fillId="0" borderId="25" xfId="0" applyNumberFormat="1" applyFont="1" applyBorder="1" applyAlignment="1" quotePrefix="1">
      <alignment horizontal="center"/>
    </xf>
    <xf numFmtId="169" fontId="4" fillId="0" borderId="17" xfId="0" applyNumberFormat="1" applyFont="1" applyBorder="1" applyAlignment="1" quotePrefix="1">
      <alignment horizontal="center"/>
    </xf>
    <xf numFmtId="44" fontId="4" fillId="0" borderId="25" xfId="43" applyNumberFormat="1" applyFont="1" applyFill="1" applyBorder="1" applyAlignment="1" applyProtection="1">
      <alignment horizontal="center"/>
      <protection/>
    </xf>
    <xf numFmtId="44" fontId="4" fillId="0" borderId="17" xfId="43" applyNumberFormat="1" applyFont="1" applyFill="1" applyBorder="1" applyAlignment="1" applyProtection="1">
      <alignment horizontal="center"/>
      <protection/>
    </xf>
    <xf numFmtId="169" fontId="5" fillId="3" borderId="16" xfId="0" applyNumberFormat="1" applyFont="1" applyFill="1" applyBorder="1" applyAlignment="1">
      <alignment horizontal="center"/>
    </xf>
    <xf numFmtId="169" fontId="5" fillId="3" borderId="7" xfId="0" applyNumberFormat="1" applyFont="1" applyFill="1" applyBorder="1" applyAlignment="1">
      <alignment horizontal="center"/>
    </xf>
    <xf numFmtId="0" fontId="5" fillId="3" borderId="33" xfId="0" applyNumberFormat="1" applyFont="1" applyFill="1" applyBorder="1" applyAlignment="1" applyProtection="1">
      <alignment horizontal="center"/>
      <protection/>
    </xf>
    <xf numFmtId="0" fontId="5" fillId="3" borderId="37" xfId="0" applyNumberFormat="1" applyFont="1" applyFill="1" applyBorder="1" applyAlignment="1" applyProtection="1">
      <alignment horizontal="center"/>
      <protection/>
    </xf>
    <xf numFmtId="0" fontId="5" fillId="0" borderId="0" xfId="0" applyFont="1" applyFill="1" applyAlignment="1">
      <alignment horizontal="justify" vertical="top"/>
    </xf>
    <xf numFmtId="169" fontId="4" fillId="3" borderId="25" xfId="0" applyNumberFormat="1" applyFont="1" applyFill="1" applyBorder="1" applyAlignment="1">
      <alignment horizontal="center"/>
    </xf>
    <xf numFmtId="169" fontId="4" fillId="3" borderId="17" xfId="0" applyNumberFormat="1" applyFont="1" applyFill="1" applyBorder="1" applyAlignment="1">
      <alignment horizontal="center"/>
    </xf>
    <xf numFmtId="0" fontId="0" fillId="3" borderId="51" xfId="0" applyFill="1" applyBorder="1" applyAlignment="1">
      <alignment horizontal="center"/>
    </xf>
    <xf numFmtId="0" fontId="0" fillId="3" borderId="22" xfId="0" applyFill="1" applyBorder="1" applyAlignment="1">
      <alignment horizontal="center"/>
    </xf>
    <xf numFmtId="0" fontId="5" fillId="3" borderId="16" xfId="0" applyNumberFormat="1" applyFont="1" applyFill="1" applyBorder="1" applyAlignment="1">
      <alignment horizontal="center"/>
    </xf>
    <xf numFmtId="0" fontId="5" fillId="3" borderId="7" xfId="0" applyNumberFormat="1" applyFont="1" applyFill="1" applyBorder="1" applyAlignment="1">
      <alignment horizontal="center"/>
    </xf>
    <xf numFmtId="37" fontId="5" fillId="3" borderId="25" xfId="0" applyNumberFormat="1" applyFont="1" applyFill="1" applyBorder="1" applyAlignment="1" applyProtection="1">
      <alignment horizontal="left"/>
      <protection hidden="1"/>
    </xf>
    <xf numFmtId="37" fontId="5" fillId="3" borderId="17" xfId="0" applyNumberFormat="1" applyFont="1" applyFill="1" applyBorder="1" applyAlignment="1" applyProtection="1">
      <alignment horizontal="left"/>
      <protection hidden="1"/>
    </xf>
    <xf numFmtId="37" fontId="4" fillId="0" borderId="25" xfId="0" applyNumberFormat="1" applyFont="1" applyFill="1" applyBorder="1" applyAlignment="1" applyProtection="1">
      <alignment horizontal="left"/>
      <protection hidden="1"/>
    </xf>
    <xf numFmtId="37" fontId="4" fillId="0" borderId="17" xfId="0" applyNumberFormat="1" applyFont="1" applyFill="1" applyBorder="1" applyAlignment="1" applyProtection="1">
      <alignment horizontal="left"/>
      <protection hidden="1"/>
    </xf>
    <xf numFmtId="37" fontId="5" fillId="3" borderId="16" xfId="0" applyNumberFormat="1" applyFont="1" applyFill="1" applyBorder="1" applyAlignment="1" applyProtection="1">
      <alignment horizontal="left" vertical="center"/>
      <protection hidden="1"/>
    </xf>
    <xf numFmtId="37" fontId="5" fillId="3" borderId="7" xfId="0" applyNumberFormat="1" applyFont="1" applyFill="1" applyBorder="1" applyAlignment="1" applyProtection="1">
      <alignment horizontal="left" vertical="center"/>
      <protection hidden="1"/>
    </xf>
    <xf numFmtId="0" fontId="4" fillId="0" borderId="25" xfId="0" applyFont="1" applyBorder="1" applyAlignment="1">
      <alignment horizontal="left"/>
    </xf>
    <xf numFmtId="0" fontId="4" fillId="0" borderId="17" xfId="0" applyFont="1" applyBorder="1" applyAlignment="1">
      <alignment horizontal="left"/>
    </xf>
    <xf numFmtId="0" fontId="5" fillId="3" borderId="23" xfId="0" applyFont="1" applyFill="1" applyBorder="1" applyAlignment="1">
      <alignment horizontal="left"/>
    </xf>
    <xf numFmtId="37" fontId="5" fillId="3" borderId="13" xfId="0" applyNumberFormat="1" applyFont="1" applyFill="1" applyBorder="1" applyAlignment="1" applyProtection="1">
      <alignment horizontal="left"/>
      <protection hidden="1"/>
    </xf>
    <xf numFmtId="178" fontId="4" fillId="0" borderId="25" xfId="34" applyFont="1" applyFill="1" applyBorder="1" applyAlignment="1" applyProtection="1">
      <alignment horizontal="left"/>
      <protection locked="0"/>
    </xf>
    <xf numFmtId="178" fontId="4" fillId="0" borderId="17" xfId="34" applyFont="1" applyFill="1" applyBorder="1" applyAlignment="1" applyProtection="1">
      <alignment horizontal="left"/>
      <protection locked="0"/>
    </xf>
    <xf numFmtId="178" fontId="5" fillId="3" borderId="23" xfId="35" applyNumberFormat="1" applyFont="1" applyFill="1" applyBorder="1" applyAlignment="1" applyProtection="1">
      <alignment horizontal="left"/>
      <protection/>
    </xf>
    <xf numFmtId="0" fontId="5" fillId="3" borderId="21" xfId="0" applyFont="1" applyFill="1" applyBorder="1" applyAlignment="1">
      <alignment horizontal="center" wrapText="1" shrinkToFit="1"/>
    </xf>
    <xf numFmtId="0" fontId="5" fillId="3" borderId="2" xfId="0" applyFont="1" applyFill="1" applyBorder="1" applyAlignment="1">
      <alignment horizontal="center" wrapText="1" shrinkToFit="1"/>
    </xf>
    <xf numFmtId="0" fontId="5" fillId="3" borderId="14" xfId="0" applyFont="1" applyFill="1" applyBorder="1" applyAlignment="1">
      <alignment horizontal="center" wrapText="1" shrinkToFit="1"/>
    </xf>
    <xf numFmtId="0" fontId="5" fillId="3" borderId="21" xfId="0" applyFont="1" applyFill="1" applyBorder="1" applyAlignment="1">
      <alignment horizontal="center" wrapText="1"/>
    </xf>
    <xf numFmtId="0" fontId="5" fillId="3" borderId="2" xfId="0" applyFont="1" applyFill="1" applyBorder="1" applyAlignment="1">
      <alignment horizontal="center" wrapText="1"/>
    </xf>
    <xf numFmtId="0" fontId="5" fillId="3" borderId="14" xfId="0" applyFont="1" applyFill="1" applyBorder="1" applyAlignment="1">
      <alignment horizontal="center" wrapText="1"/>
    </xf>
    <xf numFmtId="171" fontId="5" fillId="3" borderId="25" xfId="0" applyNumberFormat="1" applyFont="1" applyFill="1" applyBorder="1" applyAlignment="1" applyProtection="1">
      <alignment horizontal="center"/>
      <protection/>
    </xf>
    <xf numFmtId="171" fontId="5" fillId="3" borderId="17" xfId="0" applyNumberFormat="1" applyFont="1" applyFill="1" applyBorder="1" applyAlignment="1" applyProtection="1">
      <alignment horizontal="center"/>
      <protection/>
    </xf>
    <xf numFmtId="177" fontId="5" fillId="3" borderId="25" xfId="34" applyNumberFormat="1" applyFont="1" applyFill="1" applyBorder="1" applyAlignment="1" applyProtection="1">
      <alignment horizontal="center"/>
      <protection/>
    </xf>
    <xf numFmtId="177" fontId="5" fillId="3" borderId="17" xfId="34" applyNumberFormat="1" applyFont="1" applyFill="1" applyBorder="1" applyAlignment="1" applyProtection="1">
      <alignment horizontal="center"/>
      <protection/>
    </xf>
    <xf numFmtId="177" fontId="4" fillId="0" borderId="76" xfId="34" applyNumberFormat="1" applyFont="1" applyFill="1" applyBorder="1" applyAlignment="1" applyProtection="1">
      <alignment horizontal="center"/>
      <protection locked="0"/>
    </xf>
    <xf numFmtId="177" fontId="4" fillId="0" borderId="39" xfId="34" applyNumberFormat="1" applyFont="1" applyFill="1" applyBorder="1" applyAlignment="1" applyProtection="1">
      <alignment horizontal="center"/>
      <protection locked="0"/>
    </xf>
    <xf numFmtId="177" fontId="4" fillId="0" borderId="25" xfId="34" applyNumberFormat="1" applyFont="1" applyFill="1" applyBorder="1" applyAlignment="1" applyProtection="1">
      <alignment horizontal="center"/>
      <protection locked="0"/>
    </xf>
    <xf numFmtId="177" fontId="4" fillId="0" borderId="17" xfId="34" applyNumberFormat="1" applyFont="1" applyFill="1" applyBorder="1" applyAlignment="1" applyProtection="1">
      <alignment horizontal="center"/>
      <protection locked="0"/>
    </xf>
    <xf numFmtId="189" fontId="5" fillId="3" borderId="51" xfId="0" applyNumberFormat="1" applyFont="1" applyFill="1" applyBorder="1" applyAlignment="1" applyProtection="1">
      <alignment horizontal="center" vertical="center"/>
      <protection hidden="1"/>
    </xf>
    <xf numFmtId="189" fontId="5" fillId="3" borderId="22" xfId="0" applyNumberFormat="1" applyFont="1" applyFill="1" applyBorder="1" applyAlignment="1" applyProtection="1">
      <alignment horizontal="center" vertical="center"/>
      <protection hidden="1"/>
    </xf>
    <xf numFmtId="0" fontId="5" fillId="3" borderId="50" xfId="0" applyFont="1" applyFill="1" applyBorder="1" applyAlignment="1" applyProtection="1">
      <alignment horizontal="center" vertical="center"/>
      <protection hidden="1"/>
    </xf>
    <xf numFmtId="0" fontId="5" fillId="3" borderId="37" xfId="0" applyFont="1" applyFill="1" applyBorder="1" applyAlignment="1" applyProtection="1">
      <alignment horizontal="center" vertical="center"/>
      <protection hidden="1"/>
    </xf>
    <xf numFmtId="49" fontId="5" fillId="0" borderId="48" xfId="0" applyNumberFormat="1" applyFont="1" applyFill="1" applyBorder="1" applyAlignment="1" applyProtection="1">
      <alignment wrapText="1"/>
      <protection locked="0"/>
    </xf>
    <xf numFmtId="0" fontId="5" fillId="0" borderId="48" xfId="0" applyFont="1" applyBorder="1" applyAlignment="1" applyProtection="1">
      <alignment wrapText="1"/>
      <protection locked="0"/>
    </xf>
    <xf numFmtId="171" fontId="4" fillId="0" borderId="76" xfId="0" applyNumberFormat="1" applyFont="1" applyFill="1" applyBorder="1" applyAlignment="1" applyProtection="1">
      <alignment horizontal="right"/>
      <protection locked="0"/>
    </xf>
    <xf numFmtId="171" fontId="4" fillId="0" borderId="39" xfId="0" applyNumberFormat="1" applyFont="1" applyFill="1" applyBorder="1" applyAlignment="1" applyProtection="1">
      <alignment horizontal="right"/>
      <protection locked="0"/>
    </xf>
    <xf numFmtId="0" fontId="5" fillId="3" borderId="16" xfId="0" applyFont="1" applyFill="1" applyBorder="1" applyAlignment="1" applyProtection="1">
      <alignment horizontal="left" vertical="center"/>
      <protection hidden="1"/>
    </xf>
    <xf numFmtId="0" fontId="5" fillId="3" borderId="7" xfId="0" applyFont="1" applyFill="1" applyBorder="1" applyAlignment="1" applyProtection="1">
      <alignment horizontal="left" vertical="center"/>
      <protection hidden="1"/>
    </xf>
    <xf numFmtId="0" fontId="5" fillId="3" borderId="16" xfId="0" applyFont="1" applyFill="1" applyBorder="1" applyAlignment="1" applyProtection="1">
      <alignment vertical="center" wrapText="1"/>
      <protection/>
    </xf>
    <xf numFmtId="0" fontId="4" fillId="0" borderId="7" xfId="0" applyFont="1" applyBorder="1" applyAlignment="1" applyProtection="1">
      <alignment/>
      <protection/>
    </xf>
    <xf numFmtId="0" fontId="5" fillId="3" borderId="16"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49" fontId="5" fillId="0" borderId="32" xfId="0" applyNumberFormat="1" applyFont="1" applyFill="1" applyBorder="1" applyAlignment="1" applyProtection="1">
      <alignment wrapText="1"/>
      <protection locked="0"/>
    </xf>
    <xf numFmtId="0" fontId="5" fillId="0" borderId="18" xfId="0" applyFont="1" applyBorder="1" applyAlignment="1" applyProtection="1">
      <alignment wrapText="1"/>
      <protection locked="0"/>
    </xf>
    <xf numFmtId="171" fontId="4" fillId="0" borderId="40" xfId="0" applyNumberFormat="1" applyFont="1" applyFill="1" applyBorder="1" applyAlignment="1" applyProtection="1">
      <alignment horizontal="right"/>
      <protection locked="0"/>
    </xf>
    <xf numFmtId="171" fontId="4" fillId="0" borderId="19" xfId="0" applyNumberFormat="1" applyFont="1" applyFill="1" applyBorder="1" applyAlignment="1" applyProtection="1">
      <alignment horizontal="right"/>
      <protection locked="0"/>
    </xf>
    <xf numFmtId="49" fontId="5" fillId="0" borderId="13" xfId="0" applyNumberFormat="1" applyFont="1" applyFill="1" applyBorder="1" applyAlignment="1" applyProtection="1">
      <alignment horizontal="left" wrapText="1"/>
      <protection locked="0"/>
    </xf>
    <xf numFmtId="49" fontId="5" fillId="0" borderId="17" xfId="0" applyNumberFormat="1" applyFont="1" applyFill="1" applyBorder="1" applyAlignment="1" applyProtection="1">
      <alignment horizontal="left" wrapText="1"/>
      <protection locked="0"/>
    </xf>
    <xf numFmtId="0" fontId="5" fillId="3" borderId="16" xfId="0" applyFont="1" applyFill="1" applyBorder="1" applyAlignment="1" applyProtection="1">
      <alignment horizontal="left" vertical="center" wrapText="1"/>
      <protection hidden="1"/>
    </xf>
    <xf numFmtId="0" fontId="5" fillId="3" borderId="5"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49" fontId="5" fillId="0" borderId="25" xfId="0" applyNumberFormat="1" applyFont="1" applyFill="1" applyBorder="1" applyAlignment="1" applyProtection="1">
      <alignment horizontal="left" wrapText="1"/>
      <protection locked="0"/>
    </xf>
    <xf numFmtId="0" fontId="5" fillId="3" borderId="16" xfId="0" applyFont="1" applyFill="1" applyBorder="1" applyAlignment="1" applyProtection="1">
      <alignment vertical="center" wrapText="1"/>
      <protection hidden="1"/>
    </xf>
    <xf numFmtId="0" fontId="4" fillId="0" borderId="7" xfId="0" applyFont="1" applyBorder="1" applyAlignment="1" applyProtection="1">
      <alignment/>
      <protection hidden="1"/>
    </xf>
    <xf numFmtId="37" fontId="5" fillId="3" borderId="16" xfId="0" applyNumberFormat="1" applyFont="1" applyFill="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37" fontId="5" fillId="3" borderId="16" xfId="0" applyNumberFormat="1" applyFont="1" applyFill="1" applyBorder="1" applyAlignment="1" applyProtection="1">
      <alignment horizontal="center" vertical="center"/>
      <protection hidden="1"/>
    </xf>
    <xf numFmtId="37" fontId="5" fillId="3" borderId="7" xfId="0" applyNumberFormat="1" applyFont="1" applyFill="1" applyBorder="1" applyAlignment="1" applyProtection="1">
      <alignment horizontal="center" vertical="center"/>
      <protection hidden="1"/>
    </xf>
    <xf numFmtId="0" fontId="4" fillId="0" borderId="13" xfId="0" applyFont="1" applyBorder="1" applyAlignment="1">
      <alignment horizontal="left"/>
    </xf>
    <xf numFmtId="0" fontId="4" fillId="0" borderId="23" xfId="0" applyFont="1" applyFill="1" applyBorder="1" applyAlignment="1">
      <alignment horizontal="left"/>
    </xf>
    <xf numFmtId="0" fontId="4" fillId="0" borderId="24" xfId="0" applyFont="1" applyFill="1" applyBorder="1" applyAlignment="1">
      <alignment horizontal="left"/>
    </xf>
    <xf numFmtId="3" fontId="4" fillId="7" borderId="0" xfId="0" applyNumberFormat="1" applyFont="1" applyFill="1" applyBorder="1" applyAlignment="1">
      <alignment horizontal="center"/>
    </xf>
    <xf numFmtId="0" fontId="5" fillId="3" borderId="25" xfId="0" applyFont="1" applyFill="1" applyBorder="1" applyAlignment="1">
      <alignment horizontal="left"/>
    </xf>
    <xf numFmtId="0" fontId="5" fillId="3" borderId="13" xfId="0" applyFont="1" applyFill="1" applyBorder="1" applyAlignment="1">
      <alignment horizontal="left"/>
    </xf>
    <xf numFmtId="0" fontId="5" fillId="3" borderId="17" xfId="0" applyFont="1" applyFill="1" applyBorder="1" applyAlignment="1">
      <alignment horizontal="left"/>
    </xf>
    <xf numFmtId="37" fontId="5" fillId="8" borderId="52" xfId="0" applyNumberFormat="1" applyFont="1" applyFill="1" applyBorder="1" applyAlignment="1">
      <alignment horizontal="center"/>
    </xf>
    <xf numFmtId="37" fontId="5" fillId="8" borderId="0" xfId="0" applyNumberFormat="1" applyFont="1" applyFill="1" applyBorder="1" applyAlignment="1">
      <alignment horizontal="center"/>
    </xf>
    <xf numFmtId="37" fontId="5" fillId="8" borderId="31" xfId="0" applyNumberFormat="1" applyFont="1" applyFill="1" applyBorder="1" applyAlignment="1">
      <alignment horizontal="center"/>
    </xf>
    <xf numFmtId="37" fontId="5" fillId="8" borderId="78" xfId="0" applyNumberFormat="1" applyFont="1" applyFill="1" applyBorder="1" applyAlignment="1">
      <alignment horizontal="center"/>
    </xf>
    <xf numFmtId="37" fontId="5" fillId="8" borderId="26" xfId="0" applyNumberFormat="1" applyFont="1" applyFill="1" applyBorder="1" applyAlignment="1">
      <alignment horizontal="center"/>
    </xf>
    <xf numFmtId="37" fontId="5" fillId="8" borderId="47" xfId="0" applyNumberFormat="1" applyFont="1" applyFill="1" applyBorder="1" applyAlignment="1">
      <alignment horizontal="center"/>
    </xf>
    <xf numFmtId="37" fontId="5" fillId="3" borderId="50" xfId="0" applyNumberFormat="1" applyFont="1" applyFill="1" applyBorder="1" applyAlignment="1" applyProtection="1">
      <alignment horizontal="center" vertical="center" wrapText="1"/>
      <protection hidden="1"/>
    </xf>
    <xf numFmtId="0" fontId="4" fillId="3" borderId="37" xfId="0" applyFont="1" applyFill="1" applyBorder="1" applyAlignment="1" applyProtection="1">
      <alignment horizontal="center" vertical="center" wrapText="1"/>
      <protection hidden="1"/>
    </xf>
    <xf numFmtId="37" fontId="5" fillId="3" borderId="33" xfId="0" applyNumberFormat="1" applyFont="1" applyFill="1" applyBorder="1" applyAlignment="1" applyProtection="1">
      <alignment horizontal="center" vertical="center" wrapText="1"/>
      <protection hidden="1"/>
    </xf>
    <xf numFmtId="37" fontId="5" fillId="3" borderId="50" xfId="0" applyNumberFormat="1" applyFont="1" applyFill="1" applyBorder="1" applyAlignment="1" applyProtection="1">
      <alignment horizontal="center" vertical="center"/>
      <protection hidden="1"/>
    </xf>
    <xf numFmtId="37" fontId="5" fillId="3" borderId="33" xfId="0" applyNumberFormat="1" applyFont="1" applyFill="1" applyBorder="1" applyAlignment="1" applyProtection="1">
      <alignment horizontal="center" vertical="center"/>
      <protection hidden="1"/>
    </xf>
    <xf numFmtId="37" fontId="5" fillId="3" borderId="37" xfId="0" applyNumberFormat="1" applyFont="1" applyFill="1" applyBorder="1" applyAlignment="1" applyProtection="1">
      <alignment horizontal="center" vertical="center"/>
      <protection hidden="1"/>
    </xf>
    <xf numFmtId="37" fontId="5" fillId="3" borderId="51" xfId="0" applyNumberFormat="1" applyFont="1" applyFill="1" applyBorder="1" applyAlignment="1" applyProtection="1">
      <alignment horizontal="center" vertical="center"/>
      <protection hidden="1"/>
    </xf>
    <xf numFmtId="37" fontId="5" fillId="3" borderId="6" xfId="0" applyNumberFormat="1" applyFont="1" applyFill="1" applyBorder="1" applyAlignment="1" applyProtection="1">
      <alignment horizontal="center" vertical="center"/>
      <protection hidden="1"/>
    </xf>
    <xf numFmtId="37" fontId="5" fillId="3" borderId="22" xfId="0" applyNumberFormat="1" applyFont="1" applyFill="1" applyBorder="1" applyAlignment="1" applyProtection="1">
      <alignment horizontal="center" vertical="center"/>
      <protection hidden="1"/>
    </xf>
    <xf numFmtId="0" fontId="4" fillId="0" borderId="25" xfId="0" applyNumberFormat="1" applyFont="1" applyFill="1" applyBorder="1" applyAlignment="1" applyProtection="1">
      <alignment horizontal="left"/>
      <protection hidden="1"/>
    </xf>
    <xf numFmtId="0" fontId="4" fillId="0" borderId="13" xfId="0" applyNumberFormat="1" applyFont="1" applyFill="1" applyBorder="1" applyAlignment="1" applyProtection="1">
      <alignment horizontal="left"/>
      <protection hidden="1"/>
    </xf>
    <xf numFmtId="0" fontId="4" fillId="0" borderId="12" xfId="0" applyNumberFormat="1" applyFont="1" applyFill="1" applyBorder="1" applyAlignment="1" applyProtection="1">
      <alignment horizontal="left"/>
      <protection hidden="1"/>
    </xf>
    <xf numFmtId="178" fontId="2" fillId="0" borderId="13" xfId="34" applyFont="1" applyFill="1" applyBorder="1" applyAlignment="1" applyProtection="1">
      <alignment horizontal="right"/>
      <protection/>
    </xf>
    <xf numFmtId="3" fontId="3" fillId="3" borderId="16" xfId="0" applyNumberFormat="1" applyFont="1" applyFill="1" applyBorder="1" applyAlignment="1" applyProtection="1">
      <alignment horizontal="center" vertical="center" wrapText="1"/>
      <protection hidden="1"/>
    </xf>
    <xf numFmtId="3" fontId="3" fillId="3" borderId="5" xfId="0" applyNumberFormat="1" applyFont="1" applyFill="1" applyBorder="1" applyAlignment="1" applyProtection="1">
      <alignment horizontal="center" vertical="center" wrapText="1"/>
      <protection hidden="1"/>
    </xf>
    <xf numFmtId="3" fontId="3" fillId="3" borderId="7" xfId="0" applyNumberFormat="1"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protection hidden="1"/>
    </xf>
    <xf numFmtId="178" fontId="2" fillId="0" borderId="32" xfId="34" applyFont="1" applyFill="1" applyBorder="1" applyAlignment="1" applyProtection="1">
      <alignment horizontal="right"/>
      <protection/>
    </xf>
    <xf numFmtId="178" fontId="2" fillId="0" borderId="13" xfId="34" applyFont="1" applyFill="1" applyBorder="1" applyAlignment="1" applyProtection="1">
      <alignment/>
      <protection/>
    </xf>
    <xf numFmtId="178" fontId="2" fillId="0" borderId="32" xfId="34" applyFont="1" applyFill="1" applyBorder="1" applyAlignment="1" applyProtection="1">
      <alignment/>
      <protection/>
    </xf>
    <xf numFmtId="0" fontId="0" fillId="0" borderId="83" xfId="33" applyBorder="1" applyAlignment="1">
      <alignment horizontal="center"/>
      <protection/>
    </xf>
    <xf numFmtId="0" fontId="4" fillId="0" borderId="21" xfId="33" applyFont="1" applyFill="1" applyBorder="1" applyAlignment="1" applyProtection="1">
      <alignment horizontal="center" vertical="center" wrapText="1"/>
      <protection locked="0"/>
    </xf>
    <xf numFmtId="0" fontId="4" fillId="0" borderId="2" xfId="33" applyFont="1" applyFill="1" applyBorder="1" applyAlignment="1" applyProtection="1">
      <alignment horizontal="center" vertical="center" wrapText="1"/>
      <protection locked="0"/>
    </xf>
    <xf numFmtId="0" fontId="4" fillId="0" borderId="14" xfId="33" applyFont="1" applyFill="1" applyBorder="1" applyAlignment="1" applyProtection="1">
      <alignment horizontal="center" vertical="center" wrapText="1"/>
      <protection locked="0"/>
    </xf>
    <xf numFmtId="0" fontId="5" fillId="3" borderId="24" xfId="33" applyFont="1" applyFill="1" applyBorder="1" applyAlignment="1" applyProtection="1">
      <alignment horizontal="center" vertical="center"/>
      <protection hidden="1"/>
    </xf>
    <xf numFmtId="0" fontId="5" fillId="3" borderId="73" xfId="33" applyFont="1" applyFill="1" applyBorder="1" applyAlignment="1" applyProtection="1">
      <alignment horizontal="center" vertical="center"/>
      <protection hidden="1"/>
    </xf>
    <xf numFmtId="0" fontId="5" fillId="3" borderId="38" xfId="33" applyFont="1" applyFill="1" applyBorder="1" applyAlignment="1" applyProtection="1">
      <alignment horizontal="center" vertical="center"/>
      <protection hidden="1"/>
    </xf>
    <xf numFmtId="0" fontId="0" fillId="0" borderId="23" xfId="33" applyFont="1" applyBorder="1" applyAlignment="1">
      <alignment vertical="center" wrapText="1"/>
      <protection/>
    </xf>
    <xf numFmtId="0" fontId="0" fillId="0" borderId="23" xfId="33" applyBorder="1" applyAlignment="1">
      <alignment vertical="center" wrapText="1"/>
      <protection/>
    </xf>
    <xf numFmtId="0" fontId="4" fillId="0" borderId="16" xfId="33" applyFont="1" applyFill="1" applyBorder="1" applyAlignment="1" applyProtection="1">
      <alignment horizontal="center" vertical="center" wrapText="1"/>
      <protection locked="0"/>
    </xf>
    <xf numFmtId="0" fontId="5" fillId="3" borderId="24" xfId="32" applyFont="1" applyFill="1" applyBorder="1" applyAlignment="1" applyProtection="1">
      <alignment horizontal="center" vertical="center"/>
      <protection hidden="1"/>
    </xf>
    <xf numFmtId="0" fontId="5" fillId="3" borderId="73" xfId="32" applyFont="1" applyFill="1" applyBorder="1" applyAlignment="1" applyProtection="1">
      <alignment horizontal="center" vertical="center"/>
      <protection hidden="1"/>
    </xf>
    <xf numFmtId="0" fontId="5" fillId="3" borderId="38" xfId="32" applyFont="1" applyFill="1" applyBorder="1" applyAlignment="1" applyProtection="1">
      <alignment horizontal="center" vertical="center"/>
      <protection hidden="1"/>
    </xf>
    <xf numFmtId="0" fontId="4" fillId="0" borderId="50" xfId="33" applyFont="1" applyFill="1" applyBorder="1" applyAlignment="1" applyProtection="1">
      <alignment horizontal="center" vertical="center" wrapText="1"/>
      <protection locked="0"/>
    </xf>
    <xf numFmtId="0" fontId="4" fillId="0" borderId="64" xfId="33" applyFont="1" applyFill="1" applyBorder="1" applyAlignment="1" applyProtection="1">
      <alignment horizontal="center" vertical="center" wrapText="1"/>
      <protection locked="0"/>
    </xf>
    <xf numFmtId="0" fontId="4" fillId="0" borderId="51" xfId="33" applyFont="1" applyFill="1" applyBorder="1" applyAlignment="1" applyProtection="1">
      <alignment horizontal="center" vertical="center" wrapText="1"/>
      <protection locked="0"/>
    </xf>
    <xf numFmtId="0" fontId="0" fillId="3" borderId="16" xfId="33" applyFill="1" applyBorder="1" applyAlignment="1">
      <alignment horizontal="center"/>
      <protection/>
    </xf>
    <xf numFmtId="0" fontId="0" fillId="3" borderId="5" xfId="33" applyFill="1" applyBorder="1" applyAlignment="1">
      <alignment horizontal="center"/>
      <protection/>
    </xf>
    <xf numFmtId="0" fontId="0" fillId="3" borderId="7" xfId="33" applyFill="1" applyBorder="1" applyAlignment="1">
      <alignment horizontal="center"/>
      <protection/>
    </xf>
    <xf numFmtId="0" fontId="0" fillId="0" borderId="0" xfId="33" applyAlignment="1">
      <alignment horizontal="center"/>
      <protection/>
    </xf>
    <xf numFmtId="0" fontId="0" fillId="0" borderId="24" xfId="33" applyFont="1" applyBorder="1" applyAlignment="1">
      <alignment horizontal="left" vertical="center" wrapText="1"/>
      <protection/>
    </xf>
    <xf numFmtId="0" fontId="0" fillId="0" borderId="73" xfId="33" applyFont="1" applyBorder="1" applyAlignment="1">
      <alignment horizontal="left" vertical="center" wrapText="1"/>
      <protection/>
    </xf>
    <xf numFmtId="0" fontId="0" fillId="0" borderId="38" xfId="33" applyFont="1" applyBorder="1" applyAlignment="1">
      <alignment horizontal="left" vertical="center" wrapText="1"/>
      <protection/>
    </xf>
    <xf numFmtId="0" fontId="0" fillId="0" borderId="52" xfId="33" applyFont="1" applyBorder="1" applyAlignment="1">
      <alignment vertical="center" wrapText="1"/>
      <protection/>
    </xf>
    <xf numFmtId="0" fontId="0" fillId="0" borderId="0" xfId="0" applyAlignment="1">
      <alignment vertical="center" wrapText="1"/>
    </xf>
    <xf numFmtId="0" fontId="0" fillId="0" borderId="52" xfId="33" applyBorder="1" applyAlignment="1">
      <alignment vertical="center" wrapText="1"/>
      <protection/>
    </xf>
  </cellXfs>
  <cellStyles count="31">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APZ Nacalculatie1998" xfId="32"/>
    <cellStyle name="Standaard_Nacalculatieformulier 2002" xfId="33"/>
    <cellStyle name="Tabelstandaard" xfId="34"/>
    <cellStyle name="Tabelstandaard financieel" xfId="35"/>
    <cellStyle name="Tabelstandaard negatief" xfId="36"/>
    <cellStyle name="Tabelstandaard Totaal" xfId="37"/>
    <cellStyle name="Tabelstandaard Totaal Negatief" xfId="38"/>
    <cellStyle name="Table  - Opmaakprofiel6" xfId="39"/>
    <cellStyle name="Title  - Opmaakprofiel1" xfId="40"/>
    <cellStyle name="TotCol - Opmaakprofiel5" xfId="41"/>
    <cellStyle name="TotRow - Opmaakprofiel4" xfId="42"/>
    <cellStyle name="Currency" xfId="43"/>
    <cellStyle name="Currency [0]" xfId="44"/>
  </cellStyles>
  <dxfs count="5">
    <dxf>
      <fill>
        <patternFill>
          <bgColor rgb="FFFFCC99"/>
        </patternFill>
      </fill>
      <border/>
    </dxf>
    <dxf>
      <fill>
        <patternFill>
          <bgColor rgb="FFFFFFCC"/>
        </patternFill>
      </fill>
      <border/>
    </dxf>
    <dxf>
      <font>
        <b val="0"/>
        <i val="0"/>
        <color auto="1"/>
      </font>
      <fill>
        <patternFill>
          <bgColor rgb="FFFFFFFF"/>
        </patternFill>
      </fill>
      <border/>
    </dxf>
    <dxf>
      <font>
        <color auto="1"/>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image" Target="../media/image2.wmf" /></Relationships>
</file>

<file path=xl/drawings/_rels/drawing11.xml.rels><?xml version="1.0" encoding="utf-8" standalone="yes"?><Relationships xmlns="http://schemas.openxmlformats.org/package/2006/relationships"><Relationship Id="rId1" Type="http://schemas.openxmlformats.org/officeDocument/2006/relationships/image" Target="../media/image2.wmf" /></Relationships>
</file>

<file path=xl/drawings/_rels/drawing12.xml.rels><?xml version="1.0" encoding="utf-8" standalone="yes"?><Relationships xmlns="http://schemas.openxmlformats.org/package/2006/relationships"><Relationship Id="rId1" Type="http://schemas.openxmlformats.org/officeDocument/2006/relationships/image" Target="../media/image2.wmf" /></Relationships>
</file>

<file path=xl/drawings/_rels/drawing13.xml.rels><?xml version="1.0" encoding="utf-8" standalone="yes"?><Relationships xmlns="http://schemas.openxmlformats.org/package/2006/relationships"><Relationship Id="rId1" Type="http://schemas.openxmlformats.org/officeDocument/2006/relationships/image" Target="../media/image2.wmf" /></Relationships>
</file>

<file path=xl/drawings/_rels/drawing14.xml.rels><?xml version="1.0" encoding="utf-8" standalone="yes"?><Relationships xmlns="http://schemas.openxmlformats.org/package/2006/relationships"><Relationship Id="rId1" Type="http://schemas.openxmlformats.org/officeDocument/2006/relationships/image" Target="../media/image2.wmf" /></Relationships>
</file>

<file path=xl/drawings/_rels/drawing15.xml.rels><?xml version="1.0" encoding="utf-8" standalone="yes"?><Relationships xmlns="http://schemas.openxmlformats.org/package/2006/relationships"><Relationship Id="rId1" Type="http://schemas.openxmlformats.org/officeDocument/2006/relationships/image" Target="../media/image2.wmf" /></Relationships>
</file>

<file path=xl/drawings/_rels/drawing16.xml.rels><?xml version="1.0" encoding="utf-8" standalone="yes"?><Relationships xmlns="http://schemas.openxmlformats.org/package/2006/relationships"><Relationship Id="rId1"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image" Target="file://X:\Algemeen\Clipart\Ctg\LogoKop.ep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s>
</file>

<file path=xl/drawings/_rels/drawing6.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s>
</file>

<file path=xl/drawings/_rels/drawing9.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38</xdr:row>
      <xdr:rowOff>0</xdr:rowOff>
    </xdr:from>
    <xdr:to>
      <xdr:col>6</xdr:col>
      <xdr:colOff>0</xdr:colOff>
      <xdr:row>38</xdr:row>
      <xdr:rowOff>0</xdr:rowOff>
    </xdr:to>
    <xdr:grpSp>
      <xdr:nvGrpSpPr>
        <xdr:cNvPr id="1" name="Group 1"/>
        <xdr:cNvGrpSpPr>
          <a:grpSpLocks/>
        </xdr:cNvGrpSpPr>
      </xdr:nvGrpSpPr>
      <xdr:grpSpPr>
        <a:xfrm>
          <a:off x="4905375" y="6229350"/>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0</xdr:rowOff>
    </xdr:from>
    <xdr:to>
      <xdr:col>6</xdr:col>
      <xdr:colOff>0</xdr:colOff>
      <xdr:row>38</xdr:row>
      <xdr:rowOff>0</xdr:rowOff>
    </xdr:to>
    <xdr:grpSp>
      <xdr:nvGrpSpPr>
        <xdr:cNvPr id="5" name="Group 5"/>
        <xdr:cNvGrpSpPr>
          <a:grpSpLocks/>
        </xdr:cNvGrpSpPr>
      </xdr:nvGrpSpPr>
      <xdr:grpSpPr>
        <a:xfrm>
          <a:off x="4905375" y="6229350"/>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11</xdr:col>
      <xdr:colOff>180975</xdr:colOff>
      <xdr:row>0</xdr:row>
      <xdr:rowOff>9525</xdr:rowOff>
    </xdr:from>
    <xdr:to>
      <xdr:col>13</xdr:col>
      <xdr:colOff>0</xdr:colOff>
      <xdr:row>2</xdr:row>
      <xdr:rowOff>0</xdr:rowOff>
    </xdr:to>
    <xdr:grpSp>
      <xdr:nvGrpSpPr>
        <xdr:cNvPr id="9" name="Group 9"/>
        <xdr:cNvGrpSpPr>
          <a:grpSpLocks/>
        </xdr:cNvGrpSpPr>
      </xdr:nvGrpSpPr>
      <xdr:grpSpPr>
        <a:xfrm>
          <a:off x="8086725" y="9525"/>
          <a:ext cx="180975" cy="390525"/>
          <a:chOff x="769" y="35"/>
          <a:chExt cx="110" cy="41"/>
        </a:xfrm>
        <a:solidFill>
          <a:srgbClr val="FFFFFF"/>
        </a:solidFill>
      </xdr:grpSpPr>
      <xdr:sp>
        <xdr:nvSpPr>
          <xdr:cNvPr id="10" name="Rectangle 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 name="Picture 12"/>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13" name="Rectangle 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4" name="Group 14"/>
        <xdr:cNvGrpSpPr>
          <a:grpSpLocks/>
        </xdr:cNvGrpSpPr>
      </xdr:nvGrpSpPr>
      <xdr:grpSpPr>
        <a:xfrm>
          <a:off x="7543800" y="6553200"/>
          <a:ext cx="0" cy="0"/>
          <a:chOff x="790" y="4"/>
          <a:chExt cx="90" cy="54"/>
        </a:xfrm>
        <a:solidFill>
          <a:srgbClr val="FFFFFF"/>
        </a:solidFill>
      </xdr:grpSpPr>
      <xdr:sp>
        <xdr:nvSpPr>
          <xdr:cNvPr id="15" name="Rectangle 1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6" name="Picture 1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7" name="TextBox 1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8" name="Group 18"/>
        <xdr:cNvGrpSpPr>
          <a:grpSpLocks/>
        </xdr:cNvGrpSpPr>
      </xdr:nvGrpSpPr>
      <xdr:grpSpPr>
        <a:xfrm>
          <a:off x="7543800" y="6553200"/>
          <a:ext cx="0" cy="0"/>
          <a:chOff x="790" y="4"/>
          <a:chExt cx="90" cy="54"/>
        </a:xfrm>
        <a:solidFill>
          <a:srgbClr val="FFFFFF"/>
        </a:solidFill>
      </xdr:grpSpPr>
      <xdr:sp>
        <xdr:nvSpPr>
          <xdr:cNvPr id="19" name="Rectangle 19"/>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0" name="Picture 20"/>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1" name="TextBox 21"/>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2" name="Group 22"/>
        <xdr:cNvGrpSpPr>
          <a:grpSpLocks/>
        </xdr:cNvGrpSpPr>
      </xdr:nvGrpSpPr>
      <xdr:grpSpPr>
        <a:xfrm>
          <a:off x="4905375" y="6238875"/>
          <a:ext cx="0" cy="152400"/>
          <a:chOff x="769" y="35"/>
          <a:chExt cx="110" cy="41"/>
        </a:xfrm>
        <a:solidFill>
          <a:srgbClr val="FFFFFF"/>
        </a:solidFill>
      </xdr:grpSpPr>
      <xdr:sp>
        <xdr:nvSpPr>
          <xdr:cNvPr id="23" name="Rectangle 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25"/>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6" name="Rectangle 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7" name="Group 27"/>
        <xdr:cNvGrpSpPr>
          <a:grpSpLocks/>
        </xdr:cNvGrpSpPr>
      </xdr:nvGrpSpPr>
      <xdr:grpSpPr>
        <a:xfrm>
          <a:off x="4905375" y="6238875"/>
          <a:ext cx="0" cy="152400"/>
          <a:chOff x="769" y="35"/>
          <a:chExt cx="110" cy="41"/>
        </a:xfrm>
        <a:solidFill>
          <a:srgbClr val="FFFFFF"/>
        </a:solidFill>
      </xdr:grpSpPr>
      <xdr:sp>
        <xdr:nvSpPr>
          <xdr:cNvPr id="28" name="Rectangle 2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9" name="Rectangle 2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 name="Picture 30"/>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31" name="Rectangle 3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2" name="Group 32"/>
        <xdr:cNvGrpSpPr>
          <a:grpSpLocks/>
        </xdr:cNvGrpSpPr>
      </xdr:nvGrpSpPr>
      <xdr:grpSpPr>
        <a:xfrm>
          <a:off x="3114675" y="43148250"/>
          <a:ext cx="9525" cy="0"/>
          <a:chOff x="790" y="4"/>
          <a:chExt cx="90" cy="54"/>
        </a:xfrm>
        <a:solidFill>
          <a:srgbClr val="FFFFFF"/>
        </a:solidFill>
      </xdr:grpSpPr>
      <xdr:sp>
        <xdr:nvSpPr>
          <xdr:cNvPr id="33" name="Rectangle 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4" name="Picture 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5" name="TextBox 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6" name="Group 36"/>
        <xdr:cNvGrpSpPr>
          <a:grpSpLocks/>
        </xdr:cNvGrpSpPr>
      </xdr:nvGrpSpPr>
      <xdr:grpSpPr>
        <a:xfrm>
          <a:off x="3114675" y="43148250"/>
          <a:ext cx="9525" cy="0"/>
          <a:chOff x="790" y="4"/>
          <a:chExt cx="90" cy="54"/>
        </a:xfrm>
        <a:solidFill>
          <a:srgbClr val="FFFFFF"/>
        </a:solidFill>
      </xdr:grpSpPr>
      <xdr:sp>
        <xdr:nvSpPr>
          <xdr:cNvPr id="37" name="Rectangle 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8" name="Picture 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9" name="TextBox 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16</xdr:col>
      <xdr:colOff>657225</xdr:colOff>
      <xdr:row>350</xdr:row>
      <xdr:rowOff>0</xdr:rowOff>
    </xdr:from>
    <xdr:to>
      <xdr:col>18</xdr:col>
      <xdr:colOff>9525</xdr:colOff>
      <xdr:row>350</xdr:row>
      <xdr:rowOff>0</xdr:rowOff>
    </xdr:to>
    <xdr:grpSp>
      <xdr:nvGrpSpPr>
        <xdr:cNvPr id="40" name="Group 40"/>
        <xdr:cNvGrpSpPr>
          <a:grpSpLocks/>
        </xdr:cNvGrpSpPr>
      </xdr:nvGrpSpPr>
      <xdr:grpSpPr>
        <a:xfrm>
          <a:off x="10982325" y="56749950"/>
          <a:ext cx="590550" cy="0"/>
          <a:chOff x="769" y="35"/>
          <a:chExt cx="110" cy="41"/>
        </a:xfrm>
        <a:solidFill>
          <a:srgbClr val="FFFFFF"/>
        </a:solidFill>
      </xdr:grpSpPr>
      <xdr:sp>
        <xdr:nvSpPr>
          <xdr:cNvPr id="41" name="Rectangle 4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 name="Picture 43"/>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44" name="Rectangle 4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0</xdr:rowOff>
    </xdr:from>
    <xdr:to>
      <xdr:col>9</xdr:col>
      <xdr:colOff>200025</xdr:colOff>
      <xdr:row>0</xdr:row>
      <xdr:rowOff>0</xdr:rowOff>
    </xdr:to>
    <xdr:grpSp>
      <xdr:nvGrpSpPr>
        <xdr:cNvPr id="1" name="Group 1"/>
        <xdr:cNvGrpSpPr>
          <a:grpSpLocks/>
        </xdr:cNvGrpSpPr>
      </xdr:nvGrpSpPr>
      <xdr:grpSpPr>
        <a:xfrm>
          <a:off x="8791575" y="0"/>
          <a:ext cx="409575" cy="0"/>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400050</xdr:colOff>
      <xdr:row>0</xdr:row>
      <xdr:rowOff>0</xdr:rowOff>
    </xdr:from>
    <xdr:to>
      <xdr:col>9</xdr:col>
      <xdr:colOff>200025</xdr:colOff>
      <xdr:row>0</xdr:row>
      <xdr:rowOff>0</xdr:rowOff>
    </xdr:to>
    <xdr:grpSp>
      <xdr:nvGrpSpPr>
        <xdr:cNvPr id="6" name="Group 6"/>
        <xdr:cNvGrpSpPr>
          <a:grpSpLocks/>
        </xdr:cNvGrpSpPr>
      </xdr:nvGrpSpPr>
      <xdr:grpSpPr>
        <a:xfrm>
          <a:off x="8791575" y="0"/>
          <a:ext cx="409575" cy="0"/>
          <a:chOff x="769" y="35"/>
          <a:chExt cx="110" cy="41"/>
        </a:xfrm>
        <a:solidFill>
          <a:srgbClr val="FFFFFF"/>
        </a:solidFill>
      </xdr:grpSpPr>
      <xdr:sp>
        <xdr:nvSpPr>
          <xdr:cNvPr id="7"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33</xdr:row>
      <xdr:rowOff>0</xdr:rowOff>
    </xdr:from>
    <xdr:to>
      <xdr:col>0</xdr:col>
      <xdr:colOff>0</xdr:colOff>
      <xdr:row>33</xdr:row>
      <xdr:rowOff>0</xdr:rowOff>
    </xdr:to>
    <xdr:grpSp>
      <xdr:nvGrpSpPr>
        <xdr:cNvPr id="11" name="Group 28"/>
        <xdr:cNvGrpSpPr>
          <a:grpSpLocks/>
        </xdr:cNvGrpSpPr>
      </xdr:nvGrpSpPr>
      <xdr:grpSpPr>
        <a:xfrm>
          <a:off x="0" y="5343525"/>
          <a:ext cx="0" cy="0"/>
          <a:chOff x="769" y="35"/>
          <a:chExt cx="110" cy="41"/>
        </a:xfrm>
        <a:solidFill>
          <a:srgbClr val="FFFFFF"/>
        </a:solidFill>
      </xdr:grpSpPr>
      <xdr:sp>
        <xdr:nvSpPr>
          <xdr:cNvPr id="12" name="Rectangle 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33</xdr:row>
      <xdr:rowOff>0</xdr:rowOff>
    </xdr:from>
    <xdr:to>
      <xdr:col>0</xdr:col>
      <xdr:colOff>0</xdr:colOff>
      <xdr:row>33</xdr:row>
      <xdr:rowOff>0</xdr:rowOff>
    </xdr:to>
    <xdr:grpSp>
      <xdr:nvGrpSpPr>
        <xdr:cNvPr id="16" name="Group 33"/>
        <xdr:cNvGrpSpPr>
          <a:grpSpLocks/>
        </xdr:cNvGrpSpPr>
      </xdr:nvGrpSpPr>
      <xdr:grpSpPr>
        <a:xfrm>
          <a:off x="0" y="5343525"/>
          <a:ext cx="0" cy="0"/>
          <a:chOff x="769" y="35"/>
          <a:chExt cx="110" cy="41"/>
        </a:xfrm>
        <a:solidFill>
          <a:srgbClr val="FFFFFF"/>
        </a:solidFill>
      </xdr:grpSpPr>
      <xdr:sp>
        <xdr:nvSpPr>
          <xdr:cNvPr id="17" name="Rectangle 3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3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3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3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219075</xdr:colOff>
      <xdr:row>0</xdr:row>
      <xdr:rowOff>95250</xdr:rowOff>
    </xdr:from>
    <xdr:to>
      <xdr:col>8</xdr:col>
      <xdr:colOff>600075</xdr:colOff>
      <xdr:row>3</xdr:row>
      <xdr:rowOff>0</xdr:rowOff>
    </xdr:to>
    <xdr:grpSp>
      <xdr:nvGrpSpPr>
        <xdr:cNvPr id="21" name="Group 38"/>
        <xdr:cNvGrpSpPr>
          <a:grpSpLocks/>
        </xdr:cNvGrpSpPr>
      </xdr:nvGrpSpPr>
      <xdr:grpSpPr>
        <a:xfrm>
          <a:off x="8001000" y="95250"/>
          <a:ext cx="990600" cy="390525"/>
          <a:chOff x="758" y="1"/>
          <a:chExt cx="110" cy="41"/>
        </a:xfrm>
        <a:solidFill>
          <a:srgbClr val="FFFFFF"/>
        </a:solidFill>
      </xdr:grpSpPr>
      <xdr:sp>
        <xdr:nvSpPr>
          <xdr:cNvPr id="22" name="Rectangle 39"/>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 name="Rectangle 40"/>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41"/>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25" name="Rectangle 42"/>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0</xdr:row>
      <xdr:rowOff>0</xdr:rowOff>
    </xdr:from>
    <xdr:to>
      <xdr:col>4</xdr:col>
      <xdr:colOff>1038225</xdr:colOff>
      <xdr:row>1</xdr:row>
      <xdr:rowOff>190500</xdr:rowOff>
    </xdr:to>
    <xdr:grpSp>
      <xdr:nvGrpSpPr>
        <xdr:cNvPr id="1" name="Group 12"/>
        <xdr:cNvGrpSpPr>
          <a:grpSpLocks/>
        </xdr:cNvGrpSpPr>
      </xdr:nvGrpSpPr>
      <xdr:grpSpPr>
        <a:xfrm>
          <a:off x="7524750" y="0"/>
          <a:ext cx="990600" cy="390525"/>
          <a:chOff x="758" y="1"/>
          <a:chExt cx="110" cy="41"/>
        </a:xfrm>
        <a:solidFill>
          <a:srgbClr val="FFFFFF"/>
        </a:solidFill>
      </xdr:grpSpPr>
      <xdr:sp>
        <xdr:nvSpPr>
          <xdr:cNvPr id="2" name="Rectangle 13"/>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14"/>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15"/>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16"/>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0</xdr:row>
      <xdr:rowOff>0</xdr:rowOff>
    </xdr:from>
    <xdr:to>
      <xdr:col>7</xdr:col>
      <xdr:colOff>19050</xdr:colOff>
      <xdr:row>1</xdr:row>
      <xdr:rowOff>190500</xdr:rowOff>
    </xdr:to>
    <xdr:grpSp>
      <xdr:nvGrpSpPr>
        <xdr:cNvPr id="1" name="Group 69"/>
        <xdr:cNvGrpSpPr>
          <a:grpSpLocks/>
        </xdr:cNvGrpSpPr>
      </xdr:nvGrpSpPr>
      <xdr:grpSpPr>
        <a:xfrm>
          <a:off x="7572375" y="0"/>
          <a:ext cx="981075" cy="390525"/>
          <a:chOff x="758" y="1"/>
          <a:chExt cx="110" cy="41"/>
        </a:xfrm>
        <a:solidFill>
          <a:srgbClr val="FFFFFF"/>
        </a:solidFill>
      </xdr:grpSpPr>
      <xdr:sp>
        <xdr:nvSpPr>
          <xdr:cNvPr id="2" name="Rectangle 70"/>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71"/>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2"/>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73"/>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26</xdr:row>
      <xdr:rowOff>0</xdr:rowOff>
    </xdr:from>
    <xdr:to>
      <xdr:col>7</xdr:col>
      <xdr:colOff>0</xdr:colOff>
      <xdr:row>26</xdr:row>
      <xdr:rowOff>0</xdr:rowOff>
    </xdr:to>
    <xdr:grpSp>
      <xdr:nvGrpSpPr>
        <xdr:cNvPr id="1" name="Group 41"/>
        <xdr:cNvGrpSpPr>
          <a:grpSpLocks/>
        </xdr:cNvGrpSpPr>
      </xdr:nvGrpSpPr>
      <xdr:grpSpPr>
        <a:xfrm>
          <a:off x="7448550" y="4238625"/>
          <a:ext cx="1047750" cy="0"/>
          <a:chOff x="769" y="35"/>
          <a:chExt cx="110" cy="41"/>
        </a:xfrm>
        <a:solidFill>
          <a:srgbClr val="FFFFFF"/>
        </a:solidFill>
      </xdr:grpSpPr>
      <xdr:sp>
        <xdr:nvSpPr>
          <xdr:cNvPr id="2" name="Rectangle 4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4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4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46</xdr:row>
      <xdr:rowOff>57150</xdr:rowOff>
    </xdr:from>
    <xdr:to>
      <xdr:col>7</xdr:col>
      <xdr:colOff>0</xdr:colOff>
      <xdr:row>48</xdr:row>
      <xdr:rowOff>0</xdr:rowOff>
    </xdr:to>
    <xdr:grpSp>
      <xdr:nvGrpSpPr>
        <xdr:cNvPr id="6" name="Group 54"/>
        <xdr:cNvGrpSpPr>
          <a:grpSpLocks/>
        </xdr:cNvGrpSpPr>
      </xdr:nvGrpSpPr>
      <xdr:grpSpPr>
        <a:xfrm>
          <a:off x="7448550" y="7372350"/>
          <a:ext cx="1047750" cy="247650"/>
          <a:chOff x="769" y="35"/>
          <a:chExt cx="110" cy="41"/>
        </a:xfrm>
        <a:solidFill>
          <a:srgbClr val="FFFFFF"/>
        </a:solidFill>
      </xdr:grpSpPr>
      <xdr:sp>
        <xdr:nvSpPr>
          <xdr:cNvPr id="7" name="Rectangle 5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5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5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5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26</xdr:row>
      <xdr:rowOff>0</xdr:rowOff>
    </xdr:from>
    <xdr:to>
      <xdr:col>7</xdr:col>
      <xdr:colOff>0</xdr:colOff>
      <xdr:row>26</xdr:row>
      <xdr:rowOff>0</xdr:rowOff>
    </xdr:to>
    <xdr:grpSp>
      <xdr:nvGrpSpPr>
        <xdr:cNvPr id="11" name="Group 69"/>
        <xdr:cNvGrpSpPr>
          <a:grpSpLocks/>
        </xdr:cNvGrpSpPr>
      </xdr:nvGrpSpPr>
      <xdr:grpSpPr>
        <a:xfrm>
          <a:off x="7448550" y="4238625"/>
          <a:ext cx="1047750" cy="0"/>
          <a:chOff x="769" y="35"/>
          <a:chExt cx="110" cy="41"/>
        </a:xfrm>
        <a:solidFill>
          <a:srgbClr val="FFFFFF"/>
        </a:solidFill>
      </xdr:grpSpPr>
      <xdr:sp>
        <xdr:nvSpPr>
          <xdr:cNvPr id="12" name="Rectangle 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26</xdr:row>
      <xdr:rowOff>0</xdr:rowOff>
    </xdr:from>
    <xdr:to>
      <xdr:col>7</xdr:col>
      <xdr:colOff>0</xdr:colOff>
      <xdr:row>26</xdr:row>
      <xdr:rowOff>0</xdr:rowOff>
    </xdr:to>
    <xdr:grpSp>
      <xdr:nvGrpSpPr>
        <xdr:cNvPr id="16" name="Group 74"/>
        <xdr:cNvGrpSpPr>
          <a:grpSpLocks/>
        </xdr:cNvGrpSpPr>
      </xdr:nvGrpSpPr>
      <xdr:grpSpPr>
        <a:xfrm>
          <a:off x="7448550" y="4238625"/>
          <a:ext cx="1047750" cy="0"/>
          <a:chOff x="769" y="35"/>
          <a:chExt cx="110" cy="41"/>
        </a:xfrm>
        <a:solidFill>
          <a:srgbClr val="FFFFFF"/>
        </a:solidFill>
      </xdr:grpSpPr>
      <xdr:sp>
        <xdr:nvSpPr>
          <xdr:cNvPr id="17" name="Rectangle 7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7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7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7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98</xdr:row>
      <xdr:rowOff>19050</xdr:rowOff>
    </xdr:from>
    <xdr:to>
      <xdr:col>7</xdr:col>
      <xdr:colOff>0</xdr:colOff>
      <xdr:row>100</xdr:row>
      <xdr:rowOff>9525</xdr:rowOff>
    </xdr:to>
    <xdr:grpSp>
      <xdr:nvGrpSpPr>
        <xdr:cNvPr id="21" name="Group 84"/>
        <xdr:cNvGrpSpPr>
          <a:grpSpLocks/>
        </xdr:cNvGrpSpPr>
      </xdr:nvGrpSpPr>
      <xdr:grpSpPr>
        <a:xfrm>
          <a:off x="7448550" y="15297150"/>
          <a:ext cx="1047750" cy="295275"/>
          <a:chOff x="769" y="35"/>
          <a:chExt cx="110" cy="41"/>
        </a:xfrm>
        <a:solidFill>
          <a:srgbClr val="FFFFFF"/>
        </a:solidFill>
      </xdr:grpSpPr>
      <xdr:sp>
        <xdr:nvSpPr>
          <xdr:cNvPr id="22" name="Rectangle 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 name="Rectangle 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5" name="Rectangle 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171450</xdr:colOff>
      <xdr:row>0</xdr:row>
      <xdr:rowOff>152400</xdr:rowOff>
    </xdr:from>
    <xdr:to>
      <xdr:col>6</xdr:col>
      <xdr:colOff>1162050</xdr:colOff>
      <xdr:row>1</xdr:row>
      <xdr:rowOff>180975</xdr:rowOff>
    </xdr:to>
    <xdr:grpSp>
      <xdr:nvGrpSpPr>
        <xdr:cNvPr id="26" name="Group 89"/>
        <xdr:cNvGrpSpPr>
          <a:grpSpLocks/>
        </xdr:cNvGrpSpPr>
      </xdr:nvGrpSpPr>
      <xdr:grpSpPr>
        <a:xfrm>
          <a:off x="7486650" y="152400"/>
          <a:ext cx="990600" cy="371475"/>
          <a:chOff x="758" y="1"/>
          <a:chExt cx="110" cy="41"/>
        </a:xfrm>
        <a:solidFill>
          <a:srgbClr val="FFFFFF"/>
        </a:solidFill>
      </xdr:grpSpPr>
      <xdr:sp>
        <xdr:nvSpPr>
          <xdr:cNvPr id="27" name="Rectangle 90"/>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91"/>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9" name="Picture 92"/>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30" name="Rectangle 93"/>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48</xdr:row>
      <xdr:rowOff>57150</xdr:rowOff>
    </xdr:from>
    <xdr:to>
      <xdr:col>19</xdr:col>
      <xdr:colOff>9525</xdr:colOff>
      <xdr:row>50</xdr:row>
      <xdr:rowOff>0</xdr:rowOff>
    </xdr:to>
    <xdr:grpSp>
      <xdr:nvGrpSpPr>
        <xdr:cNvPr id="1" name="Group 41"/>
        <xdr:cNvGrpSpPr>
          <a:grpSpLocks/>
        </xdr:cNvGrpSpPr>
      </xdr:nvGrpSpPr>
      <xdr:grpSpPr>
        <a:xfrm>
          <a:off x="8029575" y="7943850"/>
          <a:ext cx="1266825" cy="342900"/>
          <a:chOff x="769" y="35"/>
          <a:chExt cx="110" cy="41"/>
        </a:xfrm>
        <a:solidFill>
          <a:srgbClr val="FFFFFF"/>
        </a:solidFill>
      </xdr:grpSpPr>
      <xdr:sp>
        <xdr:nvSpPr>
          <xdr:cNvPr id="2" name="Rectangle 4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4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4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295275</xdr:colOff>
      <xdr:row>0</xdr:row>
      <xdr:rowOff>0</xdr:rowOff>
    </xdr:from>
    <xdr:to>
      <xdr:col>19</xdr:col>
      <xdr:colOff>657225</xdr:colOff>
      <xdr:row>1</xdr:row>
      <xdr:rowOff>190500</xdr:rowOff>
    </xdr:to>
    <xdr:grpSp>
      <xdr:nvGrpSpPr>
        <xdr:cNvPr id="6" name="Group 46"/>
        <xdr:cNvGrpSpPr>
          <a:grpSpLocks/>
        </xdr:cNvGrpSpPr>
      </xdr:nvGrpSpPr>
      <xdr:grpSpPr>
        <a:xfrm>
          <a:off x="8753475" y="0"/>
          <a:ext cx="1190625" cy="390525"/>
          <a:chOff x="769" y="35"/>
          <a:chExt cx="110" cy="41"/>
        </a:xfrm>
        <a:solidFill>
          <a:srgbClr val="FFFFFF"/>
        </a:solidFill>
      </xdr:grpSpPr>
      <xdr:sp>
        <xdr:nvSpPr>
          <xdr:cNvPr id="7" name="Rectangle 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0</xdr:rowOff>
    </xdr:from>
    <xdr:to>
      <xdr:col>5</xdr:col>
      <xdr:colOff>0</xdr:colOff>
      <xdr:row>1</xdr:row>
      <xdr:rowOff>190500</xdr:rowOff>
    </xdr:to>
    <xdr:grpSp>
      <xdr:nvGrpSpPr>
        <xdr:cNvPr id="1" name="Group 23"/>
        <xdr:cNvGrpSpPr>
          <a:grpSpLocks/>
        </xdr:cNvGrpSpPr>
      </xdr:nvGrpSpPr>
      <xdr:grpSpPr>
        <a:xfrm>
          <a:off x="7286625" y="0"/>
          <a:ext cx="1047750" cy="390525"/>
          <a:chOff x="769" y="35"/>
          <a:chExt cx="110" cy="41"/>
        </a:xfrm>
        <a:solidFill>
          <a:srgbClr val="FFFFFF"/>
        </a:solidFill>
      </xdr:grpSpPr>
      <xdr:sp>
        <xdr:nvSpPr>
          <xdr:cNvPr id="2" name="Rectangle 2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2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2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19050</xdr:rowOff>
    </xdr:from>
    <xdr:to>
      <xdr:col>5</xdr:col>
      <xdr:colOff>390525</xdr:colOff>
      <xdr:row>2</xdr:row>
      <xdr:rowOff>19050</xdr:rowOff>
    </xdr:to>
    <xdr:grpSp>
      <xdr:nvGrpSpPr>
        <xdr:cNvPr id="1" name="Group 1"/>
        <xdr:cNvGrpSpPr>
          <a:grpSpLocks/>
        </xdr:cNvGrpSpPr>
      </xdr:nvGrpSpPr>
      <xdr:grpSpPr>
        <a:xfrm>
          <a:off x="8086725" y="19050"/>
          <a:ext cx="1381125" cy="352425"/>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114300</xdr:colOff>
      <xdr:row>0</xdr:row>
      <xdr:rowOff>19050</xdr:rowOff>
    </xdr:from>
    <xdr:to>
      <xdr:col>5</xdr:col>
      <xdr:colOff>390525</xdr:colOff>
      <xdr:row>2</xdr:row>
      <xdr:rowOff>19050</xdr:rowOff>
    </xdr:to>
    <xdr:grpSp>
      <xdr:nvGrpSpPr>
        <xdr:cNvPr id="6" name="Group 115"/>
        <xdr:cNvGrpSpPr>
          <a:grpSpLocks/>
        </xdr:cNvGrpSpPr>
      </xdr:nvGrpSpPr>
      <xdr:grpSpPr>
        <a:xfrm>
          <a:off x="8086725" y="19050"/>
          <a:ext cx="1381125" cy="352425"/>
          <a:chOff x="769" y="35"/>
          <a:chExt cx="110" cy="41"/>
        </a:xfrm>
        <a:solidFill>
          <a:srgbClr val="FFFFFF"/>
        </a:solidFill>
      </xdr:grpSpPr>
      <xdr:sp>
        <xdr:nvSpPr>
          <xdr:cNvPr id="7" name="Rectangle 11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11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1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1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123825</xdr:colOff>
      <xdr:row>41</xdr:row>
      <xdr:rowOff>19050</xdr:rowOff>
    </xdr:from>
    <xdr:to>
      <xdr:col>5</xdr:col>
      <xdr:colOff>409575</xdr:colOff>
      <xdr:row>43</xdr:row>
      <xdr:rowOff>19050</xdr:rowOff>
    </xdr:to>
    <xdr:grpSp>
      <xdr:nvGrpSpPr>
        <xdr:cNvPr id="11" name="Group 120"/>
        <xdr:cNvGrpSpPr>
          <a:grpSpLocks/>
        </xdr:cNvGrpSpPr>
      </xdr:nvGrpSpPr>
      <xdr:grpSpPr>
        <a:xfrm>
          <a:off x="8096250" y="6372225"/>
          <a:ext cx="1390650" cy="304800"/>
          <a:chOff x="769" y="35"/>
          <a:chExt cx="110" cy="41"/>
        </a:xfrm>
        <a:solidFill>
          <a:srgbClr val="FFFFFF"/>
        </a:solidFill>
      </xdr:grpSpPr>
      <xdr:sp>
        <xdr:nvSpPr>
          <xdr:cNvPr id="12" name="Rectangle 12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12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12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12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19</xdr:row>
      <xdr:rowOff>0</xdr:rowOff>
    </xdr:from>
    <xdr:to>
      <xdr:col>2</xdr:col>
      <xdr:colOff>180975</xdr:colOff>
      <xdr:row>19</xdr:row>
      <xdr:rowOff>0</xdr:rowOff>
    </xdr:to>
    <xdr:sp>
      <xdr:nvSpPr>
        <xdr:cNvPr id="1" name="Rectangle 1"/>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2" name="Rectangle 2"/>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3" name="Rectangle 3"/>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4" name="Rectangle 4"/>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5" name="Rectangle 5"/>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6" name="Rectangle 6"/>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7" name="Rectangle 7"/>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24</xdr:row>
      <xdr:rowOff>47625</xdr:rowOff>
    </xdr:from>
    <xdr:to>
      <xdr:col>2</xdr:col>
      <xdr:colOff>180975</xdr:colOff>
      <xdr:row>24</xdr:row>
      <xdr:rowOff>123825</xdr:rowOff>
    </xdr:to>
    <xdr:sp>
      <xdr:nvSpPr>
        <xdr:cNvPr id="8" name="Rectangle 8"/>
        <xdr:cNvSpPr>
          <a:spLocks/>
        </xdr:cNvSpPr>
      </xdr:nvSpPr>
      <xdr:spPr>
        <a:xfrm>
          <a:off x="962025" y="42005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0</xdr:row>
      <xdr:rowOff>9525</xdr:rowOff>
    </xdr:from>
    <xdr:to>
      <xdr:col>14</xdr:col>
      <xdr:colOff>0</xdr:colOff>
      <xdr:row>3</xdr:row>
      <xdr:rowOff>0</xdr:rowOff>
    </xdr:to>
    <xdr:grpSp>
      <xdr:nvGrpSpPr>
        <xdr:cNvPr id="9" name="Group 12"/>
        <xdr:cNvGrpSpPr>
          <a:grpSpLocks/>
        </xdr:cNvGrpSpPr>
      </xdr:nvGrpSpPr>
      <xdr:grpSpPr>
        <a:xfrm>
          <a:off x="6819900" y="9525"/>
          <a:ext cx="1619250" cy="666750"/>
          <a:chOff x="706" y="1"/>
          <a:chExt cx="170" cy="70"/>
        </a:xfrm>
        <a:solidFill>
          <a:srgbClr val="FFFFFF"/>
        </a:solidFill>
      </xdr:grpSpPr>
      <xdr:sp>
        <xdr:nvSpPr>
          <xdr:cNvPr id="10" name="Rectangle 13"/>
          <xdr:cNvSpPr>
            <a:spLocks/>
          </xdr:cNvSpPr>
        </xdr:nvSpPr>
        <xdr:spPr>
          <a:xfrm>
            <a:off x="706" y="29"/>
            <a:ext cx="170" cy="19"/>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4"/>
          <xdr:cNvSpPr>
            <a:spLocks/>
          </xdr:cNvSpPr>
        </xdr:nvSpPr>
        <xdr:spPr>
          <a:xfrm>
            <a:off x="776" y="26"/>
            <a:ext cx="78"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Line 15"/>
          <xdr:cNvSpPr>
            <a:spLocks/>
          </xdr:cNvSpPr>
        </xdr:nvSpPr>
        <xdr:spPr>
          <a:xfrm flipH="1">
            <a:off x="832" y="71"/>
            <a:ext cx="4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H="1">
            <a:off x="841" y="71"/>
            <a:ext cx="2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7"/>
          <xdr:cNvSpPr>
            <a:spLocks/>
          </xdr:cNvSpPr>
        </xdr:nvSpPr>
        <xdr:spPr>
          <a:xfrm>
            <a:off x="825" y="62"/>
            <a:ext cx="51" cy="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18"/>
          <xdr:cNvPicPr preferRelativeResize="1">
            <a:picLocks noChangeAspect="0"/>
          </xdr:cNvPicPr>
        </xdr:nvPicPr>
        <xdr:blipFill>
          <a:blip r:link="rId1"/>
          <a:stretch>
            <a:fillRect/>
          </a:stretch>
        </xdr:blipFill>
        <xdr:spPr>
          <a:xfrm>
            <a:off x="707" y="1"/>
            <a:ext cx="169" cy="67"/>
          </a:xfrm>
          <a:prstGeom prst="rect">
            <a:avLst/>
          </a:prstGeom>
          <a:noFill/>
          <a:ln w="9525" cmpd="sng">
            <a:noFill/>
          </a:ln>
        </xdr:spPr>
      </xdr:pic>
    </xdr:grpSp>
    <xdr:clientData/>
  </xdr:twoCellAnchor>
  <xdr:twoCellAnchor>
    <xdr:from>
      <xdr:col>2</xdr:col>
      <xdr:colOff>66675</xdr:colOff>
      <xdr:row>21</xdr:row>
      <xdr:rowOff>47625</xdr:rowOff>
    </xdr:from>
    <xdr:to>
      <xdr:col>2</xdr:col>
      <xdr:colOff>180975</xdr:colOff>
      <xdr:row>21</xdr:row>
      <xdr:rowOff>123825</xdr:rowOff>
    </xdr:to>
    <xdr:sp>
      <xdr:nvSpPr>
        <xdr:cNvPr id="16" name="Rectangle 19"/>
        <xdr:cNvSpPr>
          <a:spLocks/>
        </xdr:cNvSpPr>
      </xdr:nvSpPr>
      <xdr:spPr>
        <a:xfrm>
          <a:off x="962025" y="371475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47625</xdr:rowOff>
    </xdr:from>
    <xdr:to>
      <xdr:col>2</xdr:col>
      <xdr:colOff>180975</xdr:colOff>
      <xdr:row>19</xdr:row>
      <xdr:rowOff>123825</xdr:rowOff>
    </xdr:to>
    <xdr:sp>
      <xdr:nvSpPr>
        <xdr:cNvPr id="17" name="Rectangle 20"/>
        <xdr:cNvSpPr>
          <a:spLocks/>
        </xdr:cNvSpPr>
      </xdr:nvSpPr>
      <xdr:spPr>
        <a:xfrm>
          <a:off x="962025" y="33909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18" name="Rectangle 23"/>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19" name="Rectangle 24"/>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20" name="Rectangle 25"/>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21" name="Rectangle 26"/>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22" name="Rectangle 27"/>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23" name="Rectangle 28"/>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24" name="Rectangle 29"/>
        <xdr:cNvSpPr>
          <a:spLocks/>
        </xdr:cNvSpPr>
      </xdr:nvSpPr>
      <xdr:spPr>
        <a:xfrm>
          <a:off x="962025"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24</xdr:row>
      <xdr:rowOff>47625</xdr:rowOff>
    </xdr:from>
    <xdr:to>
      <xdr:col>2</xdr:col>
      <xdr:colOff>180975</xdr:colOff>
      <xdr:row>24</xdr:row>
      <xdr:rowOff>123825</xdr:rowOff>
    </xdr:to>
    <xdr:sp>
      <xdr:nvSpPr>
        <xdr:cNvPr id="25" name="Rectangle 30"/>
        <xdr:cNvSpPr>
          <a:spLocks/>
        </xdr:cNvSpPr>
      </xdr:nvSpPr>
      <xdr:spPr>
        <a:xfrm>
          <a:off x="962025" y="42005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0</xdr:row>
      <xdr:rowOff>9525</xdr:rowOff>
    </xdr:from>
    <xdr:to>
      <xdr:col>14</xdr:col>
      <xdr:colOff>0</xdr:colOff>
      <xdr:row>3</xdr:row>
      <xdr:rowOff>0</xdr:rowOff>
    </xdr:to>
    <xdr:grpSp>
      <xdr:nvGrpSpPr>
        <xdr:cNvPr id="26" name="Group 32"/>
        <xdr:cNvGrpSpPr>
          <a:grpSpLocks/>
        </xdr:cNvGrpSpPr>
      </xdr:nvGrpSpPr>
      <xdr:grpSpPr>
        <a:xfrm>
          <a:off x="6819900" y="9525"/>
          <a:ext cx="1619250" cy="666750"/>
          <a:chOff x="706" y="1"/>
          <a:chExt cx="170" cy="70"/>
        </a:xfrm>
        <a:solidFill>
          <a:srgbClr val="FFFFFF"/>
        </a:solidFill>
      </xdr:grpSpPr>
      <xdr:sp>
        <xdr:nvSpPr>
          <xdr:cNvPr id="27" name="Rectangle 33"/>
          <xdr:cNvSpPr>
            <a:spLocks/>
          </xdr:cNvSpPr>
        </xdr:nvSpPr>
        <xdr:spPr>
          <a:xfrm>
            <a:off x="706" y="29"/>
            <a:ext cx="170" cy="19"/>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34"/>
          <xdr:cNvSpPr>
            <a:spLocks/>
          </xdr:cNvSpPr>
        </xdr:nvSpPr>
        <xdr:spPr>
          <a:xfrm>
            <a:off x="776" y="26"/>
            <a:ext cx="78"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9" name="Line 35"/>
          <xdr:cNvSpPr>
            <a:spLocks/>
          </xdr:cNvSpPr>
        </xdr:nvSpPr>
        <xdr:spPr>
          <a:xfrm flipH="1">
            <a:off x="832" y="71"/>
            <a:ext cx="4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 name="Line 36"/>
          <xdr:cNvSpPr>
            <a:spLocks/>
          </xdr:cNvSpPr>
        </xdr:nvSpPr>
        <xdr:spPr>
          <a:xfrm flipH="1">
            <a:off x="841" y="71"/>
            <a:ext cx="2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1" name="Rectangle 37"/>
          <xdr:cNvSpPr>
            <a:spLocks/>
          </xdr:cNvSpPr>
        </xdr:nvSpPr>
        <xdr:spPr>
          <a:xfrm>
            <a:off x="825" y="62"/>
            <a:ext cx="51" cy="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2" name="Picture 38"/>
          <xdr:cNvPicPr preferRelativeResize="1">
            <a:picLocks noChangeAspect="0"/>
          </xdr:cNvPicPr>
        </xdr:nvPicPr>
        <xdr:blipFill>
          <a:blip r:link="rId1"/>
          <a:stretch>
            <a:fillRect/>
          </a:stretch>
        </xdr:blipFill>
        <xdr:spPr>
          <a:xfrm>
            <a:off x="707" y="1"/>
            <a:ext cx="169" cy="67"/>
          </a:xfrm>
          <a:prstGeom prst="rect">
            <a:avLst/>
          </a:prstGeom>
          <a:noFill/>
          <a:ln w="9525" cmpd="sng">
            <a:noFill/>
          </a:ln>
        </xdr:spPr>
      </xdr:pic>
    </xdr:grpSp>
    <xdr:clientData/>
  </xdr:twoCellAnchor>
  <xdr:twoCellAnchor>
    <xdr:from>
      <xdr:col>2</xdr:col>
      <xdr:colOff>66675</xdr:colOff>
      <xdr:row>21</xdr:row>
      <xdr:rowOff>47625</xdr:rowOff>
    </xdr:from>
    <xdr:to>
      <xdr:col>2</xdr:col>
      <xdr:colOff>180975</xdr:colOff>
      <xdr:row>21</xdr:row>
      <xdr:rowOff>123825</xdr:rowOff>
    </xdr:to>
    <xdr:sp>
      <xdr:nvSpPr>
        <xdr:cNvPr id="33" name="Rectangle 39"/>
        <xdr:cNvSpPr>
          <a:spLocks/>
        </xdr:cNvSpPr>
      </xdr:nvSpPr>
      <xdr:spPr>
        <a:xfrm>
          <a:off x="962025" y="371475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47625</xdr:rowOff>
    </xdr:from>
    <xdr:to>
      <xdr:col>2</xdr:col>
      <xdr:colOff>180975</xdr:colOff>
      <xdr:row>19</xdr:row>
      <xdr:rowOff>123825</xdr:rowOff>
    </xdr:to>
    <xdr:sp>
      <xdr:nvSpPr>
        <xdr:cNvPr id="34" name="Rectangle 40"/>
        <xdr:cNvSpPr>
          <a:spLocks/>
        </xdr:cNvSpPr>
      </xdr:nvSpPr>
      <xdr:spPr>
        <a:xfrm>
          <a:off x="962025" y="33909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2314575</xdr:colOff>
      <xdr:row>0</xdr:row>
      <xdr:rowOff>9525</xdr:rowOff>
    </xdr:from>
    <xdr:to>
      <xdr:col>8</xdr:col>
      <xdr:colOff>285750</xdr:colOff>
      <xdr:row>2</xdr:row>
      <xdr:rowOff>0</xdr:rowOff>
    </xdr:to>
    <xdr:grpSp>
      <xdr:nvGrpSpPr>
        <xdr:cNvPr id="1" name="Group 17"/>
        <xdr:cNvGrpSpPr>
          <a:grpSpLocks/>
        </xdr:cNvGrpSpPr>
      </xdr:nvGrpSpPr>
      <xdr:grpSpPr>
        <a:xfrm>
          <a:off x="7134225" y="9525"/>
          <a:ext cx="990600" cy="390525"/>
          <a:chOff x="758" y="1"/>
          <a:chExt cx="110" cy="41"/>
        </a:xfrm>
        <a:solidFill>
          <a:srgbClr val="FFFFFF"/>
        </a:solidFill>
      </xdr:grpSpPr>
      <xdr:sp>
        <xdr:nvSpPr>
          <xdr:cNvPr id="2" name="Rectangle 18"/>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19"/>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20"/>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21"/>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20</xdr:row>
      <xdr:rowOff>9525</xdr:rowOff>
    </xdr:from>
    <xdr:to>
      <xdr:col>4</xdr:col>
      <xdr:colOff>0</xdr:colOff>
      <xdr:row>22</xdr:row>
      <xdr:rowOff>0</xdr:rowOff>
    </xdr:to>
    <xdr:grpSp>
      <xdr:nvGrpSpPr>
        <xdr:cNvPr id="1" name="Group 21"/>
        <xdr:cNvGrpSpPr>
          <a:grpSpLocks/>
        </xdr:cNvGrpSpPr>
      </xdr:nvGrpSpPr>
      <xdr:grpSpPr>
        <a:xfrm>
          <a:off x="9001125" y="7524750"/>
          <a:ext cx="0" cy="381000"/>
          <a:chOff x="769" y="35"/>
          <a:chExt cx="110" cy="41"/>
        </a:xfrm>
        <a:solidFill>
          <a:srgbClr val="FFFFFF"/>
        </a:solidFill>
      </xdr:grpSpPr>
      <xdr:sp>
        <xdr:nvSpPr>
          <xdr:cNvPr id="2" name="Rectangle 2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2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2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1276350</xdr:colOff>
      <xdr:row>20</xdr:row>
      <xdr:rowOff>9525</xdr:rowOff>
    </xdr:from>
    <xdr:to>
      <xdr:col>5</xdr:col>
      <xdr:colOff>0</xdr:colOff>
      <xdr:row>22</xdr:row>
      <xdr:rowOff>0</xdr:rowOff>
    </xdr:to>
    <xdr:grpSp>
      <xdr:nvGrpSpPr>
        <xdr:cNvPr id="6" name="Group 51"/>
        <xdr:cNvGrpSpPr>
          <a:grpSpLocks/>
        </xdr:cNvGrpSpPr>
      </xdr:nvGrpSpPr>
      <xdr:grpSpPr>
        <a:xfrm>
          <a:off x="8334375" y="7524750"/>
          <a:ext cx="1047750" cy="381000"/>
          <a:chOff x="769" y="1"/>
          <a:chExt cx="110" cy="41"/>
        </a:xfrm>
        <a:solidFill>
          <a:srgbClr val="FFFFFF"/>
        </a:solidFill>
      </xdr:grpSpPr>
      <xdr:grpSp>
        <xdr:nvGrpSpPr>
          <xdr:cNvPr id="7" name="Group 52"/>
          <xdr:cNvGrpSpPr>
            <a:grpSpLocks/>
          </xdr:cNvGrpSpPr>
        </xdr:nvGrpSpPr>
        <xdr:grpSpPr>
          <a:xfrm>
            <a:off x="846" y="1"/>
            <a:ext cx="0" cy="41"/>
            <a:chOff x="769" y="35"/>
            <a:chExt cx="110" cy="41"/>
          </a:xfrm>
          <a:solidFill>
            <a:srgbClr val="FFFFFF"/>
          </a:solidFill>
        </xdr:grpSpPr>
        <xdr:sp>
          <xdr:nvSpPr>
            <xdr:cNvPr id="8" name="Rectangle 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 name="Rectangle 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 name="Picture 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1" name="Rectangle 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2" name="Rectangle 5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5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5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15" name="Rectangle 6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47</xdr:row>
      <xdr:rowOff>0</xdr:rowOff>
    </xdr:from>
    <xdr:to>
      <xdr:col>4</xdr:col>
      <xdr:colOff>0</xdr:colOff>
      <xdr:row>47</xdr:row>
      <xdr:rowOff>0</xdr:rowOff>
    </xdr:to>
    <xdr:grpSp>
      <xdr:nvGrpSpPr>
        <xdr:cNvPr id="16" name="Group 61"/>
        <xdr:cNvGrpSpPr>
          <a:grpSpLocks/>
        </xdr:cNvGrpSpPr>
      </xdr:nvGrpSpPr>
      <xdr:grpSpPr>
        <a:xfrm>
          <a:off x="9001125" y="13315950"/>
          <a:ext cx="0" cy="0"/>
          <a:chOff x="769" y="35"/>
          <a:chExt cx="110" cy="41"/>
        </a:xfrm>
        <a:solidFill>
          <a:srgbClr val="FFFFFF"/>
        </a:solidFill>
      </xdr:grpSpPr>
      <xdr:sp>
        <xdr:nvSpPr>
          <xdr:cNvPr id="17"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1304925</xdr:colOff>
      <xdr:row>35</xdr:row>
      <xdr:rowOff>0</xdr:rowOff>
    </xdr:from>
    <xdr:to>
      <xdr:col>5</xdr:col>
      <xdr:colOff>19050</xdr:colOff>
      <xdr:row>47</xdr:row>
      <xdr:rowOff>0</xdr:rowOff>
    </xdr:to>
    <xdr:grpSp>
      <xdr:nvGrpSpPr>
        <xdr:cNvPr id="21" name="Group 76"/>
        <xdr:cNvGrpSpPr>
          <a:grpSpLocks/>
        </xdr:cNvGrpSpPr>
      </xdr:nvGrpSpPr>
      <xdr:grpSpPr>
        <a:xfrm>
          <a:off x="8362950" y="13315950"/>
          <a:ext cx="1038225" cy="0"/>
          <a:chOff x="769" y="1"/>
          <a:chExt cx="110" cy="41"/>
        </a:xfrm>
        <a:solidFill>
          <a:srgbClr val="FFFFFF"/>
        </a:solidFill>
      </xdr:grpSpPr>
      <xdr:grpSp>
        <xdr:nvGrpSpPr>
          <xdr:cNvPr id="22" name="Group 77"/>
          <xdr:cNvGrpSpPr>
            <a:grpSpLocks/>
          </xdr:cNvGrpSpPr>
        </xdr:nvGrpSpPr>
        <xdr:grpSpPr>
          <a:xfrm>
            <a:off x="846" y="1"/>
            <a:ext cx="0" cy="41"/>
            <a:chOff x="769" y="35"/>
            <a:chExt cx="110" cy="41"/>
          </a:xfrm>
          <a:solidFill>
            <a:srgbClr val="FFFFFF"/>
          </a:solidFill>
        </xdr:grpSpPr>
        <xdr:sp>
          <xdr:nvSpPr>
            <xdr:cNvPr id="23" name="Rectangle 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 name="Rectangle 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7" name="Rectangle 82"/>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83"/>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9" name="Picture 84"/>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30" name="Rectangle 85"/>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1295400</xdr:colOff>
      <xdr:row>0</xdr:row>
      <xdr:rowOff>0</xdr:rowOff>
    </xdr:from>
    <xdr:to>
      <xdr:col>4</xdr:col>
      <xdr:colOff>342900</xdr:colOff>
      <xdr:row>1</xdr:row>
      <xdr:rowOff>190500</xdr:rowOff>
    </xdr:to>
    <xdr:grpSp>
      <xdr:nvGrpSpPr>
        <xdr:cNvPr id="31" name="Group 117"/>
        <xdr:cNvGrpSpPr>
          <a:grpSpLocks/>
        </xdr:cNvGrpSpPr>
      </xdr:nvGrpSpPr>
      <xdr:grpSpPr>
        <a:xfrm>
          <a:off x="8353425" y="0"/>
          <a:ext cx="990600" cy="390525"/>
          <a:chOff x="758" y="1"/>
          <a:chExt cx="110" cy="41"/>
        </a:xfrm>
        <a:solidFill>
          <a:srgbClr val="FFFFFF"/>
        </a:solidFill>
      </xdr:grpSpPr>
      <xdr:sp>
        <xdr:nvSpPr>
          <xdr:cNvPr id="32" name="Rectangle 118"/>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3" name="Rectangle 119"/>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4" name="Picture 120"/>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35" name="Rectangle 121"/>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1238250</xdr:colOff>
      <xdr:row>54</xdr:row>
      <xdr:rowOff>66675</xdr:rowOff>
    </xdr:from>
    <xdr:to>
      <xdr:col>4</xdr:col>
      <xdr:colOff>342900</xdr:colOff>
      <xdr:row>55</xdr:row>
      <xdr:rowOff>209550</xdr:rowOff>
    </xdr:to>
    <xdr:grpSp>
      <xdr:nvGrpSpPr>
        <xdr:cNvPr id="36" name="Group 132"/>
        <xdr:cNvGrpSpPr>
          <a:grpSpLocks/>
        </xdr:cNvGrpSpPr>
      </xdr:nvGrpSpPr>
      <xdr:grpSpPr>
        <a:xfrm>
          <a:off x="8296275" y="16544925"/>
          <a:ext cx="1047750" cy="381000"/>
          <a:chOff x="769" y="1"/>
          <a:chExt cx="110" cy="41"/>
        </a:xfrm>
        <a:solidFill>
          <a:srgbClr val="FFFFFF"/>
        </a:solidFill>
      </xdr:grpSpPr>
      <xdr:grpSp>
        <xdr:nvGrpSpPr>
          <xdr:cNvPr id="37" name="Group 133"/>
          <xdr:cNvGrpSpPr>
            <a:grpSpLocks/>
          </xdr:cNvGrpSpPr>
        </xdr:nvGrpSpPr>
        <xdr:grpSpPr>
          <a:xfrm>
            <a:off x="846" y="1"/>
            <a:ext cx="0" cy="41"/>
            <a:chOff x="769" y="35"/>
            <a:chExt cx="110" cy="41"/>
          </a:xfrm>
          <a:solidFill>
            <a:srgbClr val="FFFFFF"/>
          </a:solidFill>
        </xdr:grpSpPr>
        <xdr:sp>
          <xdr:nvSpPr>
            <xdr:cNvPr id="38" name="Rectangle 13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9" name="Rectangle 13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0" name="Picture 13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 name="Rectangle 13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2" name="Rectangle 138"/>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3" name="Rectangle 139"/>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4" name="Picture 140"/>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45" name="Rectangle 141"/>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0</xdr:row>
      <xdr:rowOff>0</xdr:rowOff>
    </xdr:from>
    <xdr:to>
      <xdr:col>10</xdr:col>
      <xdr:colOff>28575</xdr:colOff>
      <xdr:row>1</xdr:row>
      <xdr:rowOff>190500</xdr:rowOff>
    </xdr:to>
    <xdr:grpSp>
      <xdr:nvGrpSpPr>
        <xdr:cNvPr id="1" name="Group 27"/>
        <xdr:cNvGrpSpPr>
          <a:grpSpLocks/>
        </xdr:cNvGrpSpPr>
      </xdr:nvGrpSpPr>
      <xdr:grpSpPr>
        <a:xfrm>
          <a:off x="11249025" y="0"/>
          <a:ext cx="981075" cy="390525"/>
          <a:chOff x="758" y="1"/>
          <a:chExt cx="110" cy="41"/>
        </a:xfrm>
        <a:solidFill>
          <a:srgbClr val="FFFFFF"/>
        </a:solidFill>
      </xdr:grpSpPr>
      <xdr:sp>
        <xdr:nvSpPr>
          <xdr:cNvPr id="2" name="Rectangle 28"/>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9"/>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30"/>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31"/>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36</xdr:row>
      <xdr:rowOff>0</xdr:rowOff>
    </xdr:from>
    <xdr:to>
      <xdr:col>11</xdr:col>
      <xdr:colOff>0</xdr:colOff>
      <xdr:row>36</xdr:row>
      <xdr:rowOff>0</xdr:rowOff>
    </xdr:to>
    <xdr:grpSp>
      <xdr:nvGrpSpPr>
        <xdr:cNvPr id="1" name="Group 71"/>
        <xdr:cNvGrpSpPr>
          <a:grpSpLocks/>
        </xdr:cNvGrpSpPr>
      </xdr:nvGrpSpPr>
      <xdr:grpSpPr>
        <a:xfrm>
          <a:off x="10010775" y="5895975"/>
          <a:ext cx="0" cy="0"/>
          <a:chOff x="790" y="4"/>
          <a:chExt cx="90" cy="54"/>
        </a:xfrm>
        <a:solidFill>
          <a:srgbClr val="FFFFFF"/>
        </a:solidFill>
      </xdr:grpSpPr>
      <xdr:sp>
        <xdr:nvSpPr>
          <xdr:cNvPr id="2" name="Rectangle 7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7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7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11</xdr:col>
      <xdr:colOff>0</xdr:colOff>
      <xdr:row>36</xdr:row>
      <xdr:rowOff>0</xdr:rowOff>
    </xdr:from>
    <xdr:to>
      <xdr:col>11</xdr:col>
      <xdr:colOff>0</xdr:colOff>
      <xdr:row>36</xdr:row>
      <xdr:rowOff>0</xdr:rowOff>
    </xdr:to>
    <xdr:grpSp>
      <xdr:nvGrpSpPr>
        <xdr:cNvPr id="5" name="Group 75"/>
        <xdr:cNvGrpSpPr>
          <a:grpSpLocks/>
        </xdr:cNvGrpSpPr>
      </xdr:nvGrpSpPr>
      <xdr:grpSpPr>
        <a:xfrm>
          <a:off x="10010775" y="5895975"/>
          <a:ext cx="0" cy="0"/>
          <a:chOff x="790" y="4"/>
          <a:chExt cx="90" cy="54"/>
        </a:xfrm>
        <a:solidFill>
          <a:srgbClr val="FFFFFF"/>
        </a:solidFill>
      </xdr:grpSpPr>
      <xdr:sp>
        <xdr:nvSpPr>
          <xdr:cNvPr id="6" name="Rectangle 7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7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13</xdr:col>
      <xdr:colOff>0</xdr:colOff>
      <xdr:row>36</xdr:row>
      <xdr:rowOff>0</xdr:rowOff>
    </xdr:from>
    <xdr:to>
      <xdr:col>13</xdr:col>
      <xdr:colOff>0</xdr:colOff>
      <xdr:row>36</xdr:row>
      <xdr:rowOff>0</xdr:rowOff>
    </xdr:to>
    <xdr:grpSp>
      <xdr:nvGrpSpPr>
        <xdr:cNvPr id="9" name="Group 132"/>
        <xdr:cNvGrpSpPr>
          <a:grpSpLocks/>
        </xdr:cNvGrpSpPr>
      </xdr:nvGrpSpPr>
      <xdr:grpSpPr>
        <a:xfrm>
          <a:off x="11439525" y="5895975"/>
          <a:ext cx="0" cy="0"/>
          <a:chOff x="790" y="4"/>
          <a:chExt cx="90" cy="54"/>
        </a:xfrm>
        <a:solidFill>
          <a:srgbClr val="FFFFFF"/>
        </a:solidFill>
      </xdr:grpSpPr>
      <xdr:sp>
        <xdr:nvSpPr>
          <xdr:cNvPr id="10" name="Rectangle 1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1" name="Picture 1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2" name="TextBox 1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13</xdr:col>
      <xdr:colOff>0</xdr:colOff>
      <xdr:row>36</xdr:row>
      <xdr:rowOff>0</xdr:rowOff>
    </xdr:from>
    <xdr:to>
      <xdr:col>13</xdr:col>
      <xdr:colOff>0</xdr:colOff>
      <xdr:row>36</xdr:row>
      <xdr:rowOff>0</xdr:rowOff>
    </xdr:to>
    <xdr:grpSp>
      <xdr:nvGrpSpPr>
        <xdr:cNvPr id="13" name="Group 136"/>
        <xdr:cNvGrpSpPr>
          <a:grpSpLocks/>
        </xdr:cNvGrpSpPr>
      </xdr:nvGrpSpPr>
      <xdr:grpSpPr>
        <a:xfrm>
          <a:off x="11439525" y="5895975"/>
          <a:ext cx="0" cy="0"/>
          <a:chOff x="790" y="4"/>
          <a:chExt cx="90" cy="54"/>
        </a:xfrm>
        <a:solidFill>
          <a:srgbClr val="FFFFFF"/>
        </a:solidFill>
      </xdr:grpSpPr>
      <xdr:sp>
        <xdr:nvSpPr>
          <xdr:cNvPr id="14" name="Rectangle 1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Picture 1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6" name="TextBox 1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11</xdr:col>
      <xdr:colOff>381000</xdr:colOff>
      <xdr:row>36</xdr:row>
      <xdr:rowOff>0</xdr:rowOff>
    </xdr:from>
    <xdr:to>
      <xdr:col>13</xdr:col>
      <xdr:colOff>0</xdr:colOff>
      <xdr:row>36</xdr:row>
      <xdr:rowOff>0</xdr:rowOff>
    </xdr:to>
    <xdr:grpSp>
      <xdr:nvGrpSpPr>
        <xdr:cNvPr id="17" name="Group 140"/>
        <xdr:cNvGrpSpPr>
          <a:grpSpLocks/>
        </xdr:cNvGrpSpPr>
      </xdr:nvGrpSpPr>
      <xdr:grpSpPr>
        <a:xfrm>
          <a:off x="10391775" y="5895975"/>
          <a:ext cx="1047750" cy="0"/>
          <a:chOff x="769" y="35"/>
          <a:chExt cx="110" cy="41"/>
        </a:xfrm>
        <a:solidFill>
          <a:srgbClr val="FFFFFF"/>
        </a:solidFill>
      </xdr:grpSpPr>
      <xdr:sp>
        <xdr:nvSpPr>
          <xdr:cNvPr id="18" name="Rectangle 14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9" name="Rectangle 14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0" name="Picture 143"/>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1" name="Rectangle 14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36</xdr:row>
      <xdr:rowOff>0</xdr:rowOff>
    </xdr:from>
    <xdr:to>
      <xdr:col>13</xdr:col>
      <xdr:colOff>0</xdr:colOff>
      <xdr:row>36</xdr:row>
      <xdr:rowOff>0</xdr:rowOff>
    </xdr:to>
    <xdr:grpSp>
      <xdr:nvGrpSpPr>
        <xdr:cNvPr id="22" name="Group 145"/>
        <xdr:cNvGrpSpPr>
          <a:grpSpLocks/>
        </xdr:cNvGrpSpPr>
      </xdr:nvGrpSpPr>
      <xdr:grpSpPr>
        <a:xfrm>
          <a:off x="10391775" y="5895975"/>
          <a:ext cx="1047750" cy="0"/>
          <a:chOff x="769" y="35"/>
          <a:chExt cx="110" cy="41"/>
        </a:xfrm>
        <a:solidFill>
          <a:srgbClr val="FFFFFF"/>
        </a:solidFill>
      </xdr:grpSpPr>
      <xdr:sp>
        <xdr:nvSpPr>
          <xdr:cNvPr id="23" name="Rectangle 14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14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148"/>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6" name="Rectangle 14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1571625</xdr:colOff>
      <xdr:row>0</xdr:row>
      <xdr:rowOff>19050</xdr:rowOff>
    </xdr:from>
    <xdr:to>
      <xdr:col>9</xdr:col>
      <xdr:colOff>742950</xdr:colOff>
      <xdr:row>2</xdr:row>
      <xdr:rowOff>9525</xdr:rowOff>
    </xdr:to>
    <xdr:grpSp>
      <xdr:nvGrpSpPr>
        <xdr:cNvPr id="27" name="Group 151"/>
        <xdr:cNvGrpSpPr>
          <a:grpSpLocks/>
        </xdr:cNvGrpSpPr>
      </xdr:nvGrpSpPr>
      <xdr:grpSpPr>
        <a:xfrm>
          <a:off x="8286750" y="19050"/>
          <a:ext cx="990600" cy="390525"/>
          <a:chOff x="758" y="1"/>
          <a:chExt cx="110" cy="41"/>
        </a:xfrm>
        <a:solidFill>
          <a:srgbClr val="FFFFFF"/>
        </a:solidFill>
      </xdr:grpSpPr>
      <xdr:sp>
        <xdr:nvSpPr>
          <xdr:cNvPr id="28" name="Rectangle 152"/>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9" name="Rectangle 153"/>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 name="Picture 154"/>
          <xdr:cNvPicPr preferRelativeResize="1">
            <a:picLocks noChangeAspect="1"/>
          </xdr:cNvPicPr>
        </xdr:nvPicPr>
        <xdr:blipFill>
          <a:blip r:embed="rId2"/>
          <a:stretch>
            <a:fillRect/>
          </a:stretch>
        </xdr:blipFill>
        <xdr:spPr>
          <a:xfrm>
            <a:off x="761" y="1"/>
            <a:ext cx="83" cy="39"/>
          </a:xfrm>
          <a:prstGeom prst="rect">
            <a:avLst/>
          </a:prstGeom>
          <a:noFill/>
          <a:ln w="9525" cmpd="sng">
            <a:noFill/>
          </a:ln>
        </xdr:spPr>
      </xdr:pic>
      <xdr:sp>
        <xdr:nvSpPr>
          <xdr:cNvPr id="31" name="Rectangle 155"/>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800100</xdr:colOff>
      <xdr:row>0</xdr:row>
      <xdr:rowOff>19050</xdr:rowOff>
    </xdr:from>
    <xdr:to>
      <xdr:col>8</xdr:col>
      <xdr:colOff>876300</xdr:colOff>
      <xdr:row>2</xdr:row>
      <xdr:rowOff>19050</xdr:rowOff>
    </xdr:to>
    <xdr:grpSp>
      <xdr:nvGrpSpPr>
        <xdr:cNvPr id="1" name="Group 48"/>
        <xdr:cNvGrpSpPr>
          <a:grpSpLocks/>
        </xdr:cNvGrpSpPr>
      </xdr:nvGrpSpPr>
      <xdr:grpSpPr>
        <a:xfrm>
          <a:off x="8096250" y="19050"/>
          <a:ext cx="990600" cy="400050"/>
          <a:chOff x="758" y="1"/>
          <a:chExt cx="110" cy="41"/>
        </a:xfrm>
        <a:solidFill>
          <a:srgbClr val="FFFFFF"/>
        </a:solidFill>
      </xdr:grpSpPr>
      <xdr:sp>
        <xdr:nvSpPr>
          <xdr:cNvPr id="2" name="Rectangle 49"/>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50"/>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51"/>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52"/>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9525</xdr:rowOff>
    </xdr:from>
    <xdr:to>
      <xdr:col>6</xdr:col>
      <xdr:colOff>0</xdr:colOff>
      <xdr:row>2</xdr:row>
      <xdr:rowOff>0</xdr:rowOff>
    </xdr:to>
    <xdr:grpSp>
      <xdr:nvGrpSpPr>
        <xdr:cNvPr id="1" name="Group 11"/>
        <xdr:cNvGrpSpPr>
          <a:grpSpLocks/>
        </xdr:cNvGrpSpPr>
      </xdr:nvGrpSpPr>
      <xdr:grpSpPr>
        <a:xfrm>
          <a:off x="4229100" y="9525"/>
          <a:ext cx="0" cy="390525"/>
          <a:chOff x="769" y="35"/>
          <a:chExt cx="110" cy="41"/>
        </a:xfrm>
        <a:solidFill>
          <a:srgbClr val="FFFFFF"/>
        </a:solidFill>
      </xdr:grpSpPr>
      <xdr:sp>
        <xdr:nvSpPr>
          <xdr:cNvPr id="2" name="Rectangle 1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1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1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31</xdr:row>
      <xdr:rowOff>0</xdr:rowOff>
    </xdr:from>
    <xdr:to>
      <xdr:col>6</xdr:col>
      <xdr:colOff>0</xdr:colOff>
      <xdr:row>31</xdr:row>
      <xdr:rowOff>0</xdr:rowOff>
    </xdr:to>
    <xdr:grpSp>
      <xdr:nvGrpSpPr>
        <xdr:cNvPr id="6" name="Group 25"/>
        <xdr:cNvGrpSpPr>
          <a:grpSpLocks/>
        </xdr:cNvGrpSpPr>
      </xdr:nvGrpSpPr>
      <xdr:grpSpPr>
        <a:xfrm>
          <a:off x="4229100" y="5124450"/>
          <a:ext cx="0" cy="0"/>
          <a:chOff x="769" y="35"/>
          <a:chExt cx="110" cy="41"/>
        </a:xfrm>
        <a:solidFill>
          <a:srgbClr val="FFFFFF"/>
        </a:solidFill>
      </xdr:grpSpPr>
      <xdr:sp>
        <xdr:nvSpPr>
          <xdr:cNvPr id="7" name="Rectangle 2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2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2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2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35</xdr:row>
      <xdr:rowOff>0</xdr:rowOff>
    </xdr:from>
    <xdr:to>
      <xdr:col>6</xdr:col>
      <xdr:colOff>0</xdr:colOff>
      <xdr:row>35</xdr:row>
      <xdr:rowOff>0</xdr:rowOff>
    </xdr:to>
    <xdr:grpSp>
      <xdr:nvGrpSpPr>
        <xdr:cNvPr id="11" name="Group 35"/>
        <xdr:cNvGrpSpPr>
          <a:grpSpLocks/>
        </xdr:cNvGrpSpPr>
      </xdr:nvGrpSpPr>
      <xdr:grpSpPr>
        <a:xfrm>
          <a:off x="4229100" y="5762625"/>
          <a:ext cx="0" cy="0"/>
          <a:chOff x="769" y="35"/>
          <a:chExt cx="110" cy="41"/>
        </a:xfrm>
        <a:solidFill>
          <a:srgbClr val="FFFFFF"/>
        </a:solidFill>
      </xdr:grpSpPr>
      <xdr:sp>
        <xdr:nvSpPr>
          <xdr:cNvPr id="12" name="Rectangle 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69</xdr:row>
      <xdr:rowOff>0</xdr:rowOff>
    </xdr:from>
    <xdr:to>
      <xdr:col>6</xdr:col>
      <xdr:colOff>0</xdr:colOff>
      <xdr:row>69</xdr:row>
      <xdr:rowOff>0</xdr:rowOff>
    </xdr:to>
    <xdr:grpSp>
      <xdr:nvGrpSpPr>
        <xdr:cNvPr id="16" name="Group 65"/>
        <xdr:cNvGrpSpPr>
          <a:grpSpLocks/>
        </xdr:cNvGrpSpPr>
      </xdr:nvGrpSpPr>
      <xdr:grpSpPr>
        <a:xfrm>
          <a:off x="4229100" y="11058525"/>
          <a:ext cx="0" cy="0"/>
          <a:chOff x="769" y="35"/>
          <a:chExt cx="110" cy="41"/>
        </a:xfrm>
        <a:solidFill>
          <a:srgbClr val="FFFFFF"/>
        </a:solidFill>
      </xdr:grpSpPr>
      <xdr:sp>
        <xdr:nvSpPr>
          <xdr:cNvPr id="17" name="Rectangle 6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6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6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6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352425</xdr:colOff>
      <xdr:row>37</xdr:row>
      <xdr:rowOff>142875</xdr:rowOff>
    </xdr:from>
    <xdr:to>
      <xdr:col>12</xdr:col>
      <xdr:colOff>704850</xdr:colOff>
      <xdr:row>39</xdr:row>
      <xdr:rowOff>133350</xdr:rowOff>
    </xdr:to>
    <xdr:grpSp>
      <xdr:nvGrpSpPr>
        <xdr:cNvPr id="21" name="Group 75"/>
        <xdr:cNvGrpSpPr>
          <a:grpSpLocks/>
        </xdr:cNvGrpSpPr>
      </xdr:nvGrpSpPr>
      <xdr:grpSpPr>
        <a:xfrm>
          <a:off x="7524750" y="6229350"/>
          <a:ext cx="1066800" cy="304800"/>
          <a:chOff x="769" y="35"/>
          <a:chExt cx="110" cy="41"/>
        </a:xfrm>
        <a:solidFill>
          <a:srgbClr val="FFFFFF"/>
        </a:solidFill>
      </xdr:grpSpPr>
      <xdr:sp>
        <xdr:nvSpPr>
          <xdr:cNvPr id="22" name="Rectangle 7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 name="Rectangle 7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7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5" name="Rectangle 7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495300</xdr:colOff>
      <xdr:row>0</xdr:row>
      <xdr:rowOff>19050</xdr:rowOff>
    </xdr:from>
    <xdr:to>
      <xdr:col>13</xdr:col>
      <xdr:colOff>19050</xdr:colOff>
      <xdr:row>2</xdr:row>
      <xdr:rowOff>9525</xdr:rowOff>
    </xdr:to>
    <xdr:grpSp>
      <xdr:nvGrpSpPr>
        <xdr:cNvPr id="26" name="Group 80"/>
        <xdr:cNvGrpSpPr>
          <a:grpSpLocks/>
        </xdr:cNvGrpSpPr>
      </xdr:nvGrpSpPr>
      <xdr:grpSpPr>
        <a:xfrm>
          <a:off x="7667625" y="19050"/>
          <a:ext cx="990600" cy="390525"/>
          <a:chOff x="758" y="1"/>
          <a:chExt cx="110" cy="41"/>
        </a:xfrm>
        <a:solidFill>
          <a:srgbClr val="FFFFFF"/>
        </a:solidFill>
      </xdr:grpSpPr>
      <xdr:sp>
        <xdr:nvSpPr>
          <xdr:cNvPr id="27" name="Rectangle 81"/>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82"/>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9" name="Picture 83"/>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30" name="Rectangle 84"/>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838200</xdr:colOff>
      <xdr:row>0</xdr:row>
      <xdr:rowOff>0</xdr:rowOff>
    </xdr:from>
    <xdr:to>
      <xdr:col>10</xdr:col>
      <xdr:colOff>0</xdr:colOff>
      <xdr:row>1</xdr:row>
      <xdr:rowOff>190500</xdr:rowOff>
    </xdr:to>
    <xdr:grpSp>
      <xdr:nvGrpSpPr>
        <xdr:cNvPr id="1" name="Group 33"/>
        <xdr:cNvGrpSpPr>
          <a:grpSpLocks/>
        </xdr:cNvGrpSpPr>
      </xdr:nvGrpSpPr>
      <xdr:grpSpPr>
        <a:xfrm>
          <a:off x="8172450" y="0"/>
          <a:ext cx="990600" cy="390525"/>
          <a:chOff x="758" y="1"/>
          <a:chExt cx="110" cy="41"/>
        </a:xfrm>
        <a:solidFill>
          <a:srgbClr val="FFFFFF"/>
        </a:solidFill>
      </xdr:grpSpPr>
      <xdr:sp>
        <xdr:nvSpPr>
          <xdr:cNvPr id="2" name="Rectangle 34"/>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5"/>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36"/>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37"/>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6.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
  <dimension ref="A2:U410"/>
  <sheetViews>
    <sheetView zoomScale="95" zoomScaleNormal="95" workbookViewId="0" topLeftCell="A1">
      <selection activeCell="F19" sqref="F19"/>
    </sheetView>
  </sheetViews>
  <sheetFormatPr defaultColWidth="9.140625" defaultRowHeight="12.75"/>
  <cols>
    <col min="1" max="1" width="5.7109375" style="1" customWidth="1"/>
    <col min="2" max="2" width="9.7109375" style="2" customWidth="1"/>
    <col min="3" max="3" width="20.57421875" style="2" customWidth="1"/>
    <col min="4" max="4" width="10.7109375" style="3" customWidth="1"/>
    <col min="5" max="5" width="10.421875" style="2" customWidth="1"/>
    <col min="6" max="6" width="16.421875" style="2" customWidth="1"/>
    <col min="7" max="7" width="18.140625" style="4" customWidth="1"/>
    <col min="8" max="8" width="10.7109375" style="1" customWidth="1"/>
    <col min="9" max="9" width="10.7109375" style="2" customWidth="1"/>
    <col min="10" max="10" width="2.7109375" style="5" customWidth="1"/>
    <col min="11" max="13" width="2.7109375" style="2" customWidth="1"/>
    <col min="14" max="14" width="9.8515625" style="2" customWidth="1"/>
    <col min="15" max="15" width="10.28125" style="93" bestFit="1" customWidth="1"/>
    <col min="16" max="16" width="10.7109375" style="96" bestFit="1" customWidth="1"/>
    <col min="17" max="17" width="9.8515625" style="93" bestFit="1" customWidth="1"/>
    <col min="18" max="21" width="8.7109375" style="93" customWidth="1"/>
    <col min="22" max="16384" width="8.7109375" style="2" customWidth="1"/>
  </cols>
  <sheetData>
    <row r="1" ht="15.75" customHeight="1"/>
    <row r="2" spans="1:21" s="11" customFormat="1" ht="15.75" customHeight="1">
      <c r="A2" s="6" t="e">
        <f>CONCATENATE("Nacalculatie ",#REF!," Psychiatrische Ziekenhuizen en Ribw´s")</f>
        <v>#REF!</v>
      </c>
      <c r="B2" s="7"/>
      <c r="C2" s="8" t="e">
        <f>#REF!</f>
        <v>#REF!</v>
      </c>
      <c r="D2" s="8" t="e">
        <f>#REF!</f>
        <v>#REF!</v>
      </c>
      <c r="E2" s="8" t="e">
        <f>#REF!</f>
        <v>#REF!</v>
      </c>
      <c r="F2" s="8" t="e">
        <f>#REF!</f>
        <v>#REF!</v>
      </c>
      <c r="G2" s="8" t="e">
        <f>#REF!</f>
        <v>#REF!</v>
      </c>
      <c r="H2" s="8" t="e">
        <f>#REF!</f>
        <v>#REF!</v>
      </c>
      <c r="I2" s="8" t="e">
        <f>#REF!</f>
        <v>#REF!</v>
      </c>
      <c r="J2" s="8" t="e">
        <f>#REF!</f>
        <v>#REF!</v>
      </c>
      <c r="K2" s="7"/>
      <c r="L2" s="9"/>
      <c r="M2" s="10">
        <f>instructie!E22+1</f>
        <v>5</v>
      </c>
      <c r="O2" s="12"/>
      <c r="P2" s="13"/>
      <c r="Q2" s="12"/>
      <c r="R2" s="12"/>
      <c r="S2" s="12"/>
      <c r="T2" s="12"/>
      <c r="U2" s="12"/>
    </row>
    <row r="3" ht="12.75">
      <c r="M3" s="5"/>
    </row>
    <row r="4" spans="1:21" ht="12.75" customHeight="1">
      <c r="A4" s="14" t="str">
        <f>CONCATENATE("RUBRIEK 1: WERKELIJKE OPBRENGSTEN")</f>
        <v>RUBRIEK 1: WERKELIJKE OPBRENGSTEN</v>
      </c>
      <c r="B4" s="15"/>
      <c r="C4" s="15"/>
      <c r="D4" s="16"/>
      <c r="E4" s="230" t="str">
        <f>CONCATENATE("(Ribw´s alleen ",A8,", ",A34,", ",E37," en ",A42,")")</f>
        <v>(Ribw´s alleen 1.1 , 1.4, 1.6  en 1.7)</v>
      </c>
      <c r="F4" s="17"/>
      <c r="G4" s="18"/>
      <c r="H4" s="2"/>
      <c r="I4" s="17"/>
      <c r="J4" s="19"/>
      <c r="K4" s="17"/>
      <c r="L4" s="15"/>
      <c r="M4" s="96"/>
      <c r="N4" s="93"/>
      <c r="P4" s="93"/>
      <c r="S4" s="2"/>
      <c r="T4" s="2"/>
      <c r="U4" s="2"/>
    </row>
    <row r="5" spans="2:21" ht="12.75" customHeight="1">
      <c r="B5" s="20"/>
      <c r="C5" s="20"/>
      <c r="D5" s="20"/>
      <c r="E5" s="20"/>
      <c r="F5" s="20"/>
      <c r="G5" s="20"/>
      <c r="H5" s="20"/>
      <c r="I5" s="20"/>
      <c r="J5" s="20"/>
      <c r="K5" s="20"/>
      <c r="L5" s="20"/>
      <c r="M5" s="93"/>
      <c r="N5" s="93"/>
      <c r="P5" s="93"/>
      <c r="S5" s="2"/>
      <c r="T5" s="2"/>
      <c r="U5" s="2"/>
    </row>
    <row r="6" spans="1:6" s="11" customFormat="1" ht="12.75" customHeight="1">
      <c r="A6" s="21"/>
      <c r="B6" s="22" t="s">
        <v>425</v>
      </c>
      <c r="C6" s="23" t="s">
        <v>421</v>
      </c>
      <c r="D6" s="24"/>
      <c r="E6" s="197"/>
      <c r="F6" s="22" t="s">
        <v>425</v>
      </c>
    </row>
    <row r="7" spans="1:21" ht="12.75" customHeight="1">
      <c r="A7" s="20"/>
      <c r="B7" s="3"/>
      <c r="C7" s="20"/>
      <c r="D7" s="20"/>
      <c r="E7" s="20"/>
      <c r="F7" s="20"/>
      <c r="G7" s="93"/>
      <c r="H7" s="93"/>
      <c r="I7" s="93"/>
      <c r="J7" s="93"/>
      <c r="K7" s="93"/>
      <c r="O7" s="2"/>
      <c r="P7" s="2"/>
      <c r="Q7" s="2"/>
      <c r="R7" s="2"/>
      <c r="S7" s="2"/>
      <c r="T7" s="2"/>
      <c r="U7" s="2"/>
    </row>
    <row r="8" spans="1:6" s="90" customFormat="1" ht="12.75" customHeight="1">
      <c r="A8" s="26" t="s">
        <v>416</v>
      </c>
      <c r="B8" s="28"/>
      <c r="C8" s="29"/>
      <c r="D8" s="27"/>
      <c r="E8" s="26" t="s">
        <v>415</v>
      </c>
      <c r="F8" s="29"/>
    </row>
    <row r="9" spans="1:6" s="90" customFormat="1" ht="12.75" customHeight="1">
      <c r="A9" s="31">
        <f>Opbrengsten!A9</f>
        <v>701</v>
      </c>
      <c r="B9" s="267">
        <f>Opbrengsten!D9</f>
        <v>0</v>
      </c>
      <c r="C9" s="268" t="e">
        <f>Opbrengsten!#REF!</f>
        <v>#REF!</v>
      </c>
      <c r="D9" s="27"/>
      <c r="E9" s="31">
        <f>A38+1</f>
        <v>725</v>
      </c>
      <c r="F9" s="267">
        <f>Opbrengsten!D22</f>
        <v>0</v>
      </c>
    </row>
    <row r="10" spans="1:6" s="42" customFormat="1" ht="12.75" customHeight="1">
      <c r="A10" s="32">
        <f aca="true" t="shared" si="0" ref="A10:A17">A9+1</f>
        <v>702</v>
      </c>
      <c r="B10" s="267">
        <f>Opbrengsten!D10</f>
        <v>0</v>
      </c>
      <c r="C10" s="268" t="e">
        <f>Opbrengsten!#REF!</f>
        <v>#REF!</v>
      </c>
      <c r="D10" s="33"/>
      <c r="E10" s="34">
        <f aca="true" t="shared" si="1" ref="E10:E28">E9+1</f>
        <v>726</v>
      </c>
      <c r="F10" s="267">
        <f>Opbrengsten!I9</f>
        <v>0</v>
      </c>
    </row>
    <row r="11" spans="1:6" s="42" customFormat="1" ht="12.75" customHeight="1">
      <c r="A11" s="34">
        <f t="shared" si="0"/>
        <v>703</v>
      </c>
      <c r="B11" s="267">
        <f>Opbrengsten!D11</f>
        <v>0</v>
      </c>
      <c r="C11" s="268" t="e">
        <f>Opbrengsten!#REF!</f>
        <v>#REF!</v>
      </c>
      <c r="D11" s="33"/>
      <c r="E11" s="34">
        <f t="shared" si="1"/>
        <v>727</v>
      </c>
      <c r="F11" s="267">
        <f>Opbrengsten!I10</f>
        <v>0</v>
      </c>
    </row>
    <row r="12" spans="1:6" s="42" customFormat="1" ht="12.75" customHeight="1">
      <c r="A12" s="34">
        <f t="shared" si="0"/>
        <v>704</v>
      </c>
      <c r="B12" s="267">
        <f>Opbrengsten!D12</f>
        <v>0</v>
      </c>
      <c r="C12" s="268" t="e">
        <f>Opbrengsten!#REF!</f>
        <v>#REF!</v>
      </c>
      <c r="D12" s="33"/>
      <c r="E12" s="34">
        <f t="shared" si="1"/>
        <v>728</v>
      </c>
      <c r="F12" s="267">
        <f>Opbrengsten!I11</f>
        <v>0</v>
      </c>
    </row>
    <row r="13" spans="1:6" s="42" customFormat="1" ht="12.75" customHeight="1">
      <c r="A13" s="34">
        <f t="shared" si="0"/>
        <v>705</v>
      </c>
      <c r="B13" s="267">
        <f>Opbrengsten!D13</f>
        <v>0</v>
      </c>
      <c r="C13" s="268" t="e">
        <f>Opbrengsten!#REF!</f>
        <v>#REF!</v>
      </c>
      <c r="D13" s="33"/>
      <c r="E13" s="34">
        <f t="shared" si="1"/>
        <v>729</v>
      </c>
      <c r="F13" s="267">
        <f>Opbrengsten!I12</f>
        <v>0</v>
      </c>
    </row>
    <row r="14" spans="1:8" s="42" customFormat="1" ht="12.75" customHeight="1">
      <c r="A14" s="34">
        <f t="shared" si="0"/>
        <v>706</v>
      </c>
      <c r="B14" s="267">
        <f>Opbrengsten!D14</f>
        <v>0</v>
      </c>
      <c r="C14" s="268" t="e">
        <f>Opbrengsten!#REF!</f>
        <v>#REF!</v>
      </c>
      <c r="D14" s="33"/>
      <c r="E14" s="34">
        <f t="shared" si="1"/>
        <v>730</v>
      </c>
      <c r="F14" s="267" t="e">
        <f>Opbrengsten!#REF!</f>
        <v>#REF!</v>
      </c>
      <c r="H14" s="90"/>
    </row>
    <row r="15" spans="1:8" s="42" customFormat="1" ht="12.75" customHeight="1">
      <c r="A15" s="35">
        <f t="shared" si="0"/>
        <v>707</v>
      </c>
      <c r="B15" s="267" t="e">
        <f>Opbrengsten!#REF!</f>
        <v>#REF!</v>
      </c>
      <c r="C15" s="269"/>
      <c r="D15" s="33"/>
      <c r="E15" s="34">
        <f t="shared" si="1"/>
        <v>731</v>
      </c>
      <c r="F15" s="267">
        <f>Opbrengsten!I13</f>
        <v>0</v>
      </c>
      <c r="H15" s="90"/>
    </row>
    <row r="16" spans="1:8" s="42" customFormat="1" ht="12.75" customHeight="1">
      <c r="A16" s="54">
        <f t="shared" si="0"/>
        <v>708</v>
      </c>
      <c r="B16" s="270" t="e">
        <f>Opbrengsten!#REF!</f>
        <v>#REF!</v>
      </c>
      <c r="C16" s="268" t="e">
        <f>Opbrengsten!#REF!</f>
        <v>#REF!</v>
      </c>
      <c r="D16" s="33"/>
      <c r="E16" s="34">
        <f t="shared" si="1"/>
        <v>732</v>
      </c>
      <c r="F16" s="267" t="e">
        <f>Opbrengsten!#REF!</f>
        <v>#REF!</v>
      </c>
      <c r="H16" s="90"/>
    </row>
    <row r="17" spans="1:8" s="42" customFormat="1" ht="12.75" customHeight="1">
      <c r="A17" s="37">
        <f t="shared" si="0"/>
        <v>709</v>
      </c>
      <c r="B17" s="39"/>
      <c r="C17" s="40"/>
      <c r="D17" s="33"/>
      <c r="E17" s="34">
        <f t="shared" si="1"/>
        <v>733</v>
      </c>
      <c r="F17" s="267">
        <f>Opbrengsten!I16</f>
        <v>0</v>
      </c>
      <c r="H17" s="90"/>
    </row>
    <row r="18" spans="1:8" s="42" customFormat="1" ht="12.75" customHeight="1">
      <c r="A18" s="41"/>
      <c r="B18" s="238"/>
      <c r="D18" s="33"/>
      <c r="E18" s="34">
        <f t="shared" si="1"/>
        <v>734</v>
      </c>
      <c r="F18" s="267">
        <f>Opbrengsten!I18</f>
        <v>0</v>
      </c>
      <c r="H18" s="90"/>
    </row>
    <row r="19" spans="1:8" s="42" customFormat="1" ht="12.75" customHeight="1">
      <c r="A19" s="26" t="s">
        <v>417</v>
      </c>
      <c r="B19" s="28"/>
      <c r="C19" s="29"/>
      <c r="D19" s="33"/>
      <c r="E19" s="34">
        <f t="shared" si="1"/>
        <v>735</v>
      </c>
      <c r="F19" s="267" t="str">
        <f>Opbrengsten!H17</f>
        <v>Opbrengst buitenlandse patienten</v>
      </c>
      <c r="H19" s="90"/>
    </row>
    <row r="20" spans="1:8" s="42" customFormat="1" ht="12.75" customHeight="1">
      <c r="A20" s="31">
        <f>A17+1</f>
        <v>710</v>
      </c>
      <c r="B20" s="267" t="e">
        <f>Opbrengsten!#REF!</f>
        <v>#REF!</v>
      </c>
      <c r="C20" s="269"/>
      <c r="D20" s="44"/>
      <c r="E20" s="34">
        <f t="shared" si="1"/>
        <v>736</v>
      </c>
      <c r="F20" s="267" t="e">
        <f>Opbrengsten!#REF!</f>
        <v>#REF!</v>
      </c>
      <c r="H20" s="90"/>
    </row>
    <row r="21" spans="1:8" s="42" customFormat="1" ht="12.75" customHeight="1">
      <c r="A21" s="32">
        <f>A20+1</f>
        <v>711</v>
      </c>
      <c r="B21" s="267" t="e">
        <f>Opbrengsten!#REF!</f>
        <v>#REF!</v>
      </c>
      <c r="C21" s="269"/>
      <c r="D21" s="45"/>
      <c r="E21" s="34">
        <f t="shared" si="1"/>
        <v>737</v>
      </c>
      <c r="F21" s="267">
        <f>Opbrengsten!I20</f>
        <v>0</v>
      </c>
      <c r="H21" s="90"/>
    </row>
    <row r="22" spans="1:6" s="90" customFormat="1" ht="12.75" customHeight="1">
      <c r="A22" s="32">
        <f>A21+1</f>
        <v>712</v>
      </c>
      <c r="B22" s="267" t="e">
        <f>Opbrengsten!#REF!</f>
        <v>#REF!</v>
      </c>
      <c r="C22" s="269"/>
      <c r="D22" s="27"/>
      <c r="E22" s="34">
        <f t="shared" si="1"/>
        <v>738</v>
      </c>
      <c r="F22" s="267">
        <f>Opbrengsten!I21</f>
        <v>0</v>
      </c>
    </row>
    <row r="23" spans="1:6" s="90" customFormat="1" ht="12.75" customHeight="1">
      <c r="A23" s="32">
        <f>A22+1</f>
        <v>713</v>
      </c>
      <c r="B23" s="267" t="e">
        <f>Opbrengsten!#REF!</f>
        <v>#REF!</v>
      </c>
      <c r="C23" s="269"/>
      <c r="D23" s="27"/>
      <c r="E23" s="34">
        <f t="shared" si="1"/>
        <v>739</v>
      </c>
      <c r="F23" s="267" t="str">
        <f>Opbrengsten!H22</f>
        <v>Totaal overige vergoedingen (718 t/m 723)</v>
      </c>
    </row>
    <row r="24" spans="1:6" s="42" customFormat="1" ht="12.75" customHeight="1">
      <c r="A24" s="35">
        <f>A23+1</f>
        <v>714</v>
      </c>
      <c r="B24" s="267" t="e">
        <f>Opbrengsten!#REF!</f>
        <v>#REF!</v>
      </c>
      <c r="C24" s="269"/>
      <c r="D24" s="33"/>
      <c r="E24" s="34">
        <f t="shared" si="1"/>
        <v>740</v>
      </c>
      <c r="F24" s="267" t="e">
        <f>Opbrengsten!#REF!</f>
        <v>#REF!</v>
      </c>
    </row>
    <row r="25" spans="1:6" s="42" customFormat="1" ht="12.75" customHeight="1">
      <c r="A25" s="37">
        <f>A24+1</f>
        <v>715</v>
      </c>
      <c r="B25" s="39"/>
      <c r="C25" s="40"/>
      <c r="D25" s="33"/>
      <c r="E25" s="34">
        <f t="shared" si="1"/>
        <v>741</v>
      </c>
      <c r="F25" s="267" t="e">
        <f>Opbrengsten!#REF!</f>
        <v>#REF!</v>
      </c>
    </row>
    <row r="26" spans="1:6" s="42" customFormat="1" ht="12.75" customHeight="1">
      <c r="A26" s="261"/>
      <c r="B26" s="43"/>
      <c r="D26" s="33"/>
      <c r="E26" s="34">
        <f t="shared" si="1"/>
        <v>742</v>
      </c>
      <c r="F26" s="267" t="e">
        <f>Opbrengsten!#REF!</f>
        <v>#REF!</v>
      </c>
    </row>
    <row r="27" spans="1:8" s="42" customFormat="1" ht="12.75" customHeight="1">
      <c r="A27" s="26" t="s">
        <v>418</v>
      </c>
      <c r="B27" s="28"/>
      <c r="C27" s="29"/>
      <c r="D27" s="44"/>
      <c r="E27" s="34">
        <f t="shared" si="1"/>
        <v>743</v>
      </c>
      <c r="F27" s="267" t="e">
        <f>Opbrengsten!#REF!</f>
        <v>#REF!</v>
      </c>
      <c r="H27" s="90"/>
    </row>
    <row r="28" spans="1:8" s="42" customFormat="1" ht="12.75" customHeight="1">
      <c r="A28" s="31">
        <f>A25+1</f>
        <v>716</v>
      </c>
      <c r="B28" s="267">
        <f>Opbrengsten!D19</f>
        <v>0</v>
      </c>
      <c r="C28" s="268">
        <f>Opbrengsten!E19</f>
        <v>0</v>
      </c>
      <c r="D28" s="45"/>
      <c r="E28" s="34">
        <f t="shared" si="1"/>
        <v>744</v>
      </c>
      <c r="F28" s="267" t="e">
        <f>Opbrengsten!#REF!</f>
        <v>#REF!</v>
      </c>
      <c r="H28" s="90"/>
    </row>
    <row r="29" spans="1:6" s="90" customFormat="1" ht="12.75" customHeight="1">
      <c r="A29" s="32">
        <f>A28+1</f>
        <v>717</v>
      </c>
      <c r="B29" s="267" t="e">
        <f>Opbrengsten!#REF!</f>
        <v>#REF!</v>
      </c>
      <c r="C29" s="268" t="e">
        <f>Opbrengsten!#REF!</f>
        <v>#REF!</v>
      </c>
      <c r="D29" s="27"/>
      <c r="E29" s="34">
        <f>E25+1</f>
        <v>742</v>
      </c>
      <c r="F29" s="267">
        <f>Opbrengsten!I28</f>
        <v>0</v>
      </c>
    </row>
    <row r="30" spans="1:6" s="90" customFormat="1" ht="12.75" customHeight="1">
      <c r="A30" s="34">
        <f>A29+1</f>
        <v>718</v>
      </c>
      <c r="B30" s="267" t="e">
        <f>Opbrengsten!#REF!</f>
        <v>#REF!</v>
      </c>
      <c r="C30" s="268" t="e">
        <f>Opbrengsten!#REF!</f>
        <v>#REF!</v>
      </c>
      <c r="D30" s="27"/>
      <c r="E30" s="34">
        <f>E29+1</f>
        <v>743</v>
      </c>
      <c r="F30" s="267">
        <f>Opbrengsten!I29</f>
        <v>0</v>
      </c>
    </row>
    <row r="31" spans="1:6" s="42" customFormat="1" ht="12.75" customHeight="1">
      <c r="A31" s="35">
        <f>A30+1</f>
        <v>719</v>
      </c>
      <c r="B31" s="267" t="e">
        <f>Opbrengsten!#REF!</f>
        <v>#REF!</v>
      </c>
      <c r="C31" s="268" t="e">
        <f>Opbrengsten!#REF!</f>
        <v>#REF!</v>
      </c>
      <c r="D31" s="33"/>
      <c r="E31" s="34">
        <f>E30+1</f>
        <v>744</v>
      </c>
      <c r="F31" s="267">
        <f>Opbrengsten!I30</f>
        <v>0</v>
      </c>
    </row>
    <row r="32" spans="1:6" s="42" customFormat="1" ht="12.75" customHeight="1">
      <c r="A32" s="37">
        <f>A31+1</f>
        <v>720</v>
      </c>
      <c r="B32" s="39"/>
      <c r="C32" s="46"/>
      <c r="D32" s="33"/>
      <c r="E32" s="34">
        <f>E30+1</f>
        <v>744</v>
      </c>
      <c r="F32" s="267">
        <f>Opbrengsten!I31</f>
        <v>0</v>
      </c>
    </row>
    <row r="33" spans="1:6" s="42" customFormat="1" ht="12.75" customHeight="1">
      <c r="A33" s="41"/>
      <c r="B33" s="43"/>
      <c r="D33" s="33"/>
      <c r="E33" s="34">
        <f>E31+1</f>
        <v>745</v>
      </c>
      <c r="F33" s="267">
        <f>Opbrengsten!I32</f>
        <v>0</v>
      </c>
    </row>
    <row r="34" spans="1:6" s="42" customFormat="1" ht="12.75" customHeight="1">
      <c r="A34" s="26" t="s">
        <v>54</v>
      </c>
      <c r="B34" s="45"/>
      <c r="D34" s="48"/>
      <c r="E34" s="34">
        <f>E33+1</f>
        <v>746</v>
      </c>
      <c r="F34" s="267">
        <f>Opbrengsten!I33</f>
        <v>0</v>
      </c>
    </row>
    <row r="35" spans="1:8" s="42" customFormat="1" ht="12.75" customHeight="1">
      <c r="A35" s="31">
        <f>A32+1</f>
        <v>721</v>
      </c>
      <c r="B35" s="49"/>
      <c r="C35" s="50"/>
      <c r="E35" s="51">
        <f>E34+1</f>
        <v>747</v>
      </c>
      <c r="F35" s="52"/>
      <c r="H35" s="90"/>
    </row>
    <row r="36" spans="1:21" ht="12.75">
      <c r="A36" s="35">
        <f>A35+1</f>
        <v>722</v>
      </c>
      <c r="B36" s="49"/>
      <c r="C36" s="50"/>
      <c r="D36" s="4"/>
      <c r="E36" s="53"/>
      <c r="F36" s="5"/>
      <c r="G36" s="93"/>
      <c r="H36" s="96"/>
      <c r="I36" s="93"/>
      <c r="J36" s="93"/>
      <c r="K36" s="93"/>
      <c r="L36" s="93"/>
      <c r="M36" s="93"/>
      <c r="O36" s="2"/>
      <c r="P36" s="2"/>
      <c r="Q36" s="2"/>
      <c r="R36" s="2"/>
      <c r="S36" s="2"/>
      <c r="T36" s="2"/>
      <c r="U36" s="2"/>
    </row>
    <row r="37" spans="1:21" ht="12.75">
      <c r="A37" s="54">
        <f>A36+1</f>
        <v>723</v>
      </c>
      <c r="B37" s="55"/>
      <c r="C37" s="56"/>
      <c r="D37" s="4"/>
      <c r="E37" s="26" t="s">
        <v>419</v>
      </c>
      <c r="F37" s="57"/>
      <c r="G37" s="93"/>
      <c r="H37" s="96"/>
      <c r="I37" s="93"/>
      <c r="J37" s="93"/>
      <c r="K37" s="93"/>
      <c r="L37" s="93"/>
      <c r="M37" s="93"/>
      <c r="O37" s="2"/>
      <c r="P37" s="2"/>
      <c r="Q37" s="2"/>
      <c r="R37" s="2"/>
      <c r="S37" s="2"/>
      <c r="T37" s="2"/>
      <c r="U37" s="2"/>
    </row>
    <row r="38" spans="1:21" ht="12.75" customHeight="1">
      <c r="A38" s="51">
        <f>A37+1</f>
        <v>724</v>
      </c>
      <c r="B38" s="38"/>
      <c r="C38" s="52"/>
      <c r="D38" s="4"/>
      <c r="E38" s="37">
        <f>A38+1</f>
        <v>725</v>
      </c>
      <c r="F38" s="60"/>
      <c r="G38" s="93"/>
      <c r="H38" s="96"/>
      <c r="I38" s="93"/>
      <c r="J38" s="93"/>
      <c r="K38" s="93"/>
      <c r="L38" s="93"/>
      <c r="M38" s="93"/>
      <c r="O38" s="2"/>
      <c r="P38" s="2"/>
      <c r="Q38" s="2"/>
      <c r="R38" s="2"/>
      <c r="S38" s="2"/>
      <c r="T38" s="2"/>
      <c r="U38" s="2"/>
    </row>
    <row r="39" spans="1:6" s="11" customFormat="1" ht="12.75" customHeight="1">
      <c r="A39" s="1"/>
      <c r="B39" s="3"/>
      <c r="C39" s="2"/>
      <c r="D39" s="2"/>
      <c r="E39" s="4"/>
      <c r="F39" s="1"/>
    </row>
    <row r="40" spans="1:21" ht="12.75">
      <c r="A40" s="21"/>
      <c r="B40" s="184"/>
      <c r="C40" s="184"/>
      <c r="D40" s="25" t="s">
        <v>424</v>
      </c>
      <c r="E40" s="24"/>
      <c r="F40" s="21"/>
      <c r="G40" s="62"/>
      <c r="H40" s="62"/>
      <c r="I40" s="63"/>
      <c r="J40" s="2"/>
      <c r="K40" s="93"/>
      <c r="L40" s="96"/>
      <c r="M40" s="93"/>
      <c r="N40" s="93"/>
      <c r="P40" s="93"/>
      <c r="R40" s="2"/>
      <c r="S40" s="2"/>
      <c r="T40" s="2"/>
      <c r="U40" s="2"/>
    </row>
    <row r="41" spans="1:21" ht="12.75">
      <c r="A41" s="64"/>
      <c r="B41" s="66"/>
      <c r="C41" s="66"/>
      <c r="D41" s="67"/>
      <c r="E41" s="65"/>
      <c r="F41" s="64"/>
      <c r="G41" s="68"/>
      <c r="H41" s="68"/>
      <c r="I41" s="69"/>
      <c r="J41" s="69"/>
      <c r="K41" s="70"/>
      <c r="M41" s="93"/>
      <c r="N41" s="96"/>
      <c r="P41" s="93"/>
      <c r="T41" s="2"/>
      <c r="U41" s="2"/>
    </row>
    <row r="42" spans="1:21" ht="12.75">
      <c r="A42" s="26" t="s">
        <v>40</v>
      </c>
      <c r="B42" s="48"/>
      <c r="C42" s="48"/>
      <c r="D42" s="236" t="s">
        <v>85</v>
      </c>
      <c r="E42" s="4"/>
      <c r="F42" s="71"/>
      <c r="G42" s="72"/>
      <c r="H42" s="72"/>
      <c r="I42" s="72"/>
      <c r="J42" s="72"/>
      <c r="K42" s="73"/>
      <c r="M42" s="93"/>
      <c r="N42" s="96"/>
      <c r="P42" s="93"/>
      <c r="T42" s="2"/>
      <c r="U42" s="2"/>
    </row>
    <row r="43" spans="1:21" ht="12.75">
      <c r="A43" s="31" t="e">
        <f>Opbrengsten!#REF!</f>
        <v>#REF!</v>
      </c>
      <c r="B43" s="134"/>
      <c r="C43" s="74"/>
      <c r="D43" s="267" t="e">
        <f>Opbrengsten!#REF!</f>
        <v>#REF!</v>
      </c>
      <c r="E43" s="4"/>
      <c r="F43" s="75"/>
      <c r="G43" s="76"/>
      <c r="H43" s="76"/>
      <c r="I43" s="76"/>
      <c r="J43" s="76"/>
      <c r="K43" s="76"/>
      <c r="M43" s="93"/>
      <c r="N43" s="96"/>
      <c r="P43" s="93"/>
      <c r="T43" s="2"/>
      <c r="U43" s="2"/>
    </row>
    <row r="44" spans="1:21" ht="12.75">
      <c r="A44" s="32" t="e">
        <f>A43+1</f>
        <v>#REF!</v>
      </c>
      <c r="B44" s="134"/>
      <c r="C44" s="77"/>
      <c r="D44" s="291"/>
      <c r="E44" s="4"/>
      <c r="F44" s="1"/>
      <c r="G44" s="2"/>
      <c r="H44" s="5"/>
      <c r="J44" s="2"/>
      <c r="M44" s="93"/>
      <c r="N44" s="96"/>
      <c r="P44" s="93"/>
      <c r="T44" s="2"/>
      <c r="U44" s="2"/>
    </row>
    <row r="45" spans="1:21" ht="12.75">
      <c r="A45" s="35" t="e">
        <f>A44+1</f>
        <v>#REF!</v>
      </c>
      <c r="B45" s="78"/>
      <c r="C45" s="79"/>
      <c r="D45" s="267" t="e">
        <f>Opbrengsten!#REF!</f>
        <v>#REF!</v>
      </c>
      <c r="E45" s="4"/>
      <c r="F45" s="1"/>
      <c r="G45" s="2"/>
      <c r="H45" s="5"/>
      <c r="J45" s="2"/>
      <c r="M45" s="93"/>
      <c r="N45" s="96"/>
      <c r="P45" s="93"/>
      <c r="T45" s="2"/>
      <c r="U45" s="2"/>
    </row>
    <row r="46" spans="1:19" s="87" customFormat="1" ht="12.75">
      <c r="A46" s="37" t="e">
        <f>A45+1</f>
        <v>#REF!</v>
      </c>
      <c r="B46" s="52"/>
      <c r="C46" s="80"/>
      <c r="D46" s="292"/>
      <c r="E46" s="4"/>
      <c r="F46" s="1"/>
      <c r="G46" s="2"/>
      <c r="H46" s="5"/>
      <c r="I46" s="2"/>
      <c r="J46" s="2"/>
      <c r="K46" s="2"/>
      <c r="M46" s="293"/>
      <c r="N46" s="294"/>
      <c r="O46" s="293"/>
      <c r="P46" s="293"/>
      <c r="Q46" s="293"/>
      <c r="R46" s="293"/>
      <c r="S46" s="293"/>
    </row>
    <row r="47" spans="1:21" ht="12.75">
      <c r="A47" s="81" t="e">
        <f>A46+1</f>
        <v>#REF!</v>
      </c>
      <c r="B47" s="271"/>
      <c r="C47" s="82"/>
      <c r="D47" s="267" t="e">
        <f>Opbrengsten!#REF!</f>
        <v>#REF!</v>
      </c>
      <c r="E47" s="4"/>
      <c r="F47" s="1"/>
      <c r="G47" s="2"/>
      <c r="H47" s="5"/>
      <c r="J47" s="2"/>
      <c r="M47" s="93"/>
      <c r="N47" s="96"/>
      <c r="P47" s="93"/>
      <c r="T47" s="2"/>
      <c r="U47" s="2"/>
    </row>
    <row r="48" spans="1:21" ht="12.75">
      <c r="A48" s="37" t="e">
        <f>A47+1</f>
        <v>#REF!</v>
      </c>
      <c r="B48" s="52"/>
      <c r="C48" s="80"/>
      <c r="D48" s="292"/>
      <c r="E48" s="4"/>
      <c r="F48" s="1"/>
      <c r="G48" s="2"/>
      <c r="H48" s="5"/>
      <c r="J48" s="2"/>
      <c r="M48" s="93"/>
      <c r="N48" s="96"/>
      <c r="P48" s="93"/>
      <c r="T48" s="2"/>
      <c r="U48" s="2"/>
    </row>
    <row r="49" spans="1:21" ht="12.75">
      <c r="A49" s="83"/>
      <c r="B49" s="84"/>
      <c r="C49" s="84"/>
      <c r="D49" s="84"/>
      <c r="E49" s="85"/>
      <c r="F49" s="86"/>
      <c r="G49" s="87"/>
      <c r="H49" s="76"/>
      <c r="I49" s="87"/>
      <c r="J49" s="87"/>
      <c r="K49" s="87"/>
      <c r="M49" s="93"/>
      <c r="N49" s="96"/>
      <c r="P49" s="93"/>
      <c r="T49" s="2"/>
      <c r="U49" s="2"/>
    </row>
    <row r="50" spans="1:21" ht="12.75">
      <c r="A50" s="83" t="s">
        <v>82</v>
      </c>
      <c r="B50" s="84"/>
      <c r="C50" s="84"/>
      <c r="D50" s="236" t="s">
        <v>85</v>
      </c>
      <c r="E50" s="85"/>
      <c r="F50" s="86"/>
      <c r="G50" s="87"/>
      <c r="H50" s="76"/>
      <c r="I50" s="87"/>
      <c r="J50" s="87"/>
      <c r="K50" s="87"/>
      <c r="M50" s="93"/>
      <c r="N50" s="96"/>
      <c r="P50" s="93"/>
      <c r="T50" s="2"/>
      <c r="U50" s="2"/>
    </row>
    <row r="51" spans="1:21" ht="12.75">
      <c r="A51" s="31" t="e">
        <f>A48+1</f>
        <v>#REF!</v>
      </c>
      <c r="B51" s="134"/>
      <c r="C51" s="88"/>
      <c r="D51" s="291"/>
      <c r="E51" s="4"/>
      <c r="F51" s="1"/>
      <c r="G51" s="2"/>
      <c r="H51" s="5"/>
      <c r="J51" s="2"/>
      <c r="M51" s="93"/>
      <c r="N51" s="96"/>
      <c r="P51" s="93"/>
      <c r="T51" s="2"/>
      <c r="U51" s="2"/>
    </row>
    <row r="52" spans="1:21" ht="12.75" customHeight="1">
      <c r="A52" s="35" t="e">
        <f>A51+1</f>
        <v>#REF!</v>
      </c>
      <c r="B52" s="237"/>
      <c r="C52" s="36"/>
      <c r="D52" s="295" t="e">
        <f>Opbrengsten!#REF!</f>
        <v>#REF!</v>
      </c>
      <c r="E52" s="4"/>
      <c r="F52" s="1"/>
      <c r="G52" s="2"/>
      <c r="H52" s="5"/>
      <c r="J52" s="2"/>
      <c r="M52" s="93"/>
      <c r="N52" s="96"/>
      <c r="P52" s="93"/>
      <c r="T52" s="2"/>
      <c r="U52" s="2"/>
    </row>
    <row r="53" spans="1:21" ht="12.75">
      <c r="A53" s="81"/>
      <c r="B53" s="296"/>
      <c r="C53" s="297"/>
      <c r="D53" s="298" t="e">
        <f>Opbrengsten!#REF!</f>
        <v>#REF!</v>
      </c>
      <c r="E53" s="4"/>
      <c r="F53" s="1"/>
      <c r="G53" s="2"/>
      <c r="H53" s="5"/>
      <c r="J53" s="2"/>
      <c r="M53" s="93"/>
      <c r="N53" s="96"/>
      <c r="P53" s="93"/>
      <c r="T53" s="2"/>
      <c r="U53" s="2"/>
    </row>
    <row r="54" spans="1:21" ht="12.75">
      <c r="A54" s="37" t="e">
        <f>A52+1</f>
        <v>#REF!</v>
      </c>
      <c r="B54" s="52"/>
      <c r="C54" s="89"/>
      <c r="D54" s="292"/>
      <c r="E54" s="4"/>
      <c r="F54" s="1"/>
      <c r="G54" s="2"/>
      <c r="H54" s="5"/>
      <c r="J54" s="2"/>
      <c r="M54" s="93"/>
      <c r="N54" s="96"/>
      <c r="P54" s="93"/>
      <c r="T54" s="2"/>
      <c r="U54" s="2"/>
    </row>
    <row r="55" spans="1:21" ht="12.75">
      <c r="A55" s="81" t="e">
        <f>A54+1</f>
        <v>#REF!</v>
      </c>
      <c r="B55" s="271"/>
      <c r="C55" s="82"/>
      <c r="D55" s="267" t="e">
        <f>Opbrengsten!#REF!</f>
        <v>#REF!</v>
      </c>
      <c r="E55" s="4"/>
      <c r="F55" s="1"/>
      <c r="G55" s="2"/>
      <c r="H55" s="5"/>
      <c r="J55" s="2"/>
      <c r="M55" s="93"/>
      <c r="N55" s="96"/>
      <c r="P55" s="93"/>
      <c r="T55" s="2"/>
      <c r="U55" s="2"/>
    </row>
    <row r="56" spans="1:21" ht="12.75">
      <c r="A56" s="37" t="e">
        <f>A55+1</f>
        <v>#REF!</v>
      </c>
      <c r="B56" s="52"/>
      <c r="C56" s="80"/>
      <c r="D56" s="292"/>
      <c r="E56" s="4"/>
      <c r="F56" s="1"/>
      <c r="G56" s="2"/>
      <c r="H56" s="5"/>
      <c r="J56" s="2"/>
      <c r="M56" s="93"/>
      <c r="N56" s="96"/>
      <c r="P56" s="93"/>
      <c r="T56" s="2"/>
      <c r="U56" s="2"/>
    </row>
    <row r="58" spans="1:11" ht="12.75">
      <c r="A58" s="14" t="s">
        <v>413</v>
      </c>
      <c r="B58" s="17"/>
      <c r="C58" s="97"/>
      <c r="D58" s="17"/>
      <c r="E58" s="17"/>
      <c r="F58" s="18"/>
      <c r="G58" s="98"/>
      <c r="H58" s="17"/>
      <c r="I58" s="19"/>
      <c r="J58" s="17"/>
      <c r="K58" s="93"/>
    </row>
    <row r="59" spans="1:11" ht="12.75">
      <c r="A59" s="174"/>
      <c r="B59" s="99"/>
      <c r="C59" s="100"/>
      <c r="D59" s="101"/>
      <c r="E59" s="102"/>
      <c r="F59" s="103"/>
      <c r="G59" s="102"/>
      <c r="H59" s="103"/>
      <c r="I59" s="103"/>
      <c r="J59" s="103"/>
      <c r="K59" s="104"/>
    </row>
    <row r="60" spans="1:21" ht="12.75">
      <c r="A60" s="211"/>
      <c r="B60" s="105" t="s">
        <v>407</v>
      </c>
      <c r="C60" s="209" t="s">
        <v>37</v>
      </c>
      <c r="D60" s="299"/>
      <c r="E60" s="300" t="s">
        <v>38</v>
      </c>
      <c r="F60" s="301"/>
      <c r="G60" s="209" t="e">
        <f>CONCATENATE("Jaarrekening ",#REF!)</f>
        <v>#REF!</v>
      </c>
      <c r="H60" s="302"/>
      <c r="I60" s="303"/>
      <c r="J60" s="2"/>
      <c r="M60" s="93"/>
      <c r="N60" s="96"/>
      <c r="P60" s="93"/>
      <c r="T60" s="2"/>
      <c r="U60" s="2"/>
    </row>
    <row r="61" spans="1:21" ht="12.75">
      <c r="A61" s="211"/>
      <c r="B61" s="106" t="e">
        <f>#REF!-1</f>
        <v>#REF!</v>
      </c>
      <c r="C61" s="106" t="e">
        <f>CONCATENATE("Doorw. ",#REF!-1," ")</f>
        <v>#REF!</v>
      </c>
      <c r="D61" s="106" t="e">
        <f>#REF!</f>
        <v>#REF!</v>
      </c>
      <c r="E61" s="106" t="e">
        <f>CONCATENATE("Doorw. ",#REF!-1," ")</f>
        <v>#REF!</v>
      </c>
      <c r="F61" s="107" t="e">
        <f>CONCATENATE(#REF!,"* ")</f>
        <v>#REF!</v>
      </c>
      <c r="G61" s="108" t="s">
        <v>407</v>
      </c>
      <c r="H61" s="109" t="s">
        <v>39</v>
      </c>
      <c r="I61" s="107" t="s">
        <v>406</v>
      </c>
      <c r="J61" s="2"/>
      <c r="M61" s="93"/>
      <c r="N61" s="96"/>
      <c r="P61" s="93"/>
      <c r="T61" s="2"/>
      <c r="U61" s="2"/>
    </row>
    <row r="62" spans="1:11" ht="12.75">
      <c r="A62" s="20"/>
      <c r="B62" s="20"/>
      <c r="C62" s="20"/>
      <c r="D62" s="20"/>
      <c r="E62" s="20"/>
      <c r="F62" s="20"/>
      <c r="G62" s="20"/>
      <c r="H62" s="20"/>
      <c r="I62" s="20"/>
      <c r="J62" s="20"/>
      <c r="K62" s="42"/>
    </row>
    <row r="63" spans="1:11" ht="12.75">
      <c r="A63" s="41" t="s">
        <v>422</v>
      </c>
      <c r="B63" s="44" t="s">
        <v>423</v>
      </c>
      <c r="C63" s="110"/>
      <c r="D63" s="111"/>
      <c r="E63" s="112"/>
      <c r="F63" s="113"/>
      <c r="G63" s="112"/>
      <c r="H63" s="113"/>
      <c r="I63" s="113"/>
      <c r="J63" s="113"/>
      <c r="K63" s="47"/>
    </row>
    <row r="64" spans="1:21" ht="12.75">
      <c r="A64" s="31" t="e">
        <f>#REF!</f>
        <v>#REF!</v>
      </c>
      <c r="B64" s="267" t="e">
        <f>#REF!</f>
        <v>#REF!</v>
      </c>
      <c r="C64" s="304" t="e">
        <f>#REF!</f>
        <v>#REF!</v>
      </c>
      <c r="D64" s="304" t="e">
        <f>#REF!</f>
        <v>#REF!</v>
      </c>
      <c r="E64" s="267" t="e">
        <f>#REF!</f>
        <v>#REF!</v>
      </c>
      <c r="F64" s="267" t="e">
        <f>#REF!</f>
        <v>#REF!</v>
      </c>
      <c r="G64" s="305"/>
      <c r="H64" s="267" t="e">
        <f>#REF!</f>
        <v>#REF!</v>
      </c>
      <c r="I64" s="267" t="e">
        <f>#REF!</f>
        <v>#REF!</v>
      </c>
      <c r="J64" s="2"/>
      <c r="M64" s="93"/>
      <c r="N64" s="96"/>
      <c r="P64" s="93"/>
      <c r="T64" s="2"/>
      <c r="U64" s="2"/>
    </row>
    <row r="65" spans="1:21" ht="12.75">
      <c r="A65" s="34" t="e">
        <f aca="true" t="shared" si="2" ref="A65:A76">A64+1</f>
        <v>#REF!</v>
      </c>
      <c r="B65" s="267" t="e">
        <f>#REF!</f>
        <v>#REF!</v>
      </c>
      <c r="C65" s="304" t="e">
        <f>#REF!</f>
        <v>#REF!</v>
      </c>
      <c r="D65" s="304" t="e">
        <f>#REF!</f>
        <v>#REF!</v>
      </c>
      <c r="E65" s="267" t="e">
        <f>#REF!</f>
        <v>#REF!</v>
      </c>
      <c r="F65" s="267" t="e">
        <f>#REF!</f>
        <v>#REF!</v>
      </c>
      <c r="G65" s="305"/>
      <c r="H65" s="267" t="e">
        <f>#REF!</f>
        <v>#REF!</v>
      </c>
      <c r="I65" s="267" t="e">
        <f>#REF!</f>
        <v>#REF!</v>
      </c>
      <c r="J65" s="2"/>
      <c r="M65" s="93"/>
      <c r="N65" s="96"/>
      <c r="P65" s="93"/>
      <c r="T65" s="2"/>
      <c r="U65" s="2"/>
    </row>
    <row r="66" spans="1:21" ht="12.75">
      <c r="A66" s="34" t="e">
        <f t="shared" si="2"/>
        <v>#REF!</v>
      </c>
      <c r="B66" s="267" t="e">
        <f>#REF!</f>
        <v>#REF!</v>
      </c>
      <c r="C66" s="304" t="e">
        <f>#REF!</f>
        <v>#REF!</v>
      </c>
      <c r="D66" s="304" t="e">
        <f>#REF!</f>
        <v>#REF!</v>
      </c>
      <c r="E66" s="267" t="e">
        <f>#REF!</f>
        <v>#REF!</v>
      </c>
      <c r="F66" s="267" t="e">
        <f>#REF!</f>
        <v>#REF!</v>
      </c>
      <c r="G66" s="305"/>
      <c r="H66" s="267" t="e">
        <f>#REF!</f>
        <v>#REF!</v>
      </c>
      <c r="I66" s="267" t="e">
        <f>#REF!</f>
        <v>#REF!</v>
      </c>
      <c r="J66" s="2"/>
      <c r="M66" s="93"/>
      <c r="N66" s="96"/>
      <c r="P66" s="93"/>
      <c r="T66" s="2"/>
      <c r="U66" s="2"/>
    </row>
    <row r="67" spans="1:21" ht="12.75">
      <c r="A67" s="34" t="e">
        <f t="shared" si="2"/>
        <v>#REF!</v>
      </c>
      <c r="B67" s="267" t="e">
        <f>#REF!</f>
        <v>#REF!</v>
      </c>
      <c r="C67" s="304" t="e">
        <f>#REF!</f>
        <v>#REF!</v>
      </c>
      <c r="D67" s="304" t="e">
        <f>#REF!</f>
        <v>#REF!</v>
      </c>
      <c r="E67" s="267" t="e">
        <f>#REF!</f>
        <v>#REF!</v>
      </c>
      <c r="F67" s="267" t="e">
        <f>#REF!</f>
        <v>#REF!</v>
      </c>
      <c r="G67" s="305"/>
      <c r="H67" s="267" t="e">
        <f>#REF!</f>
        <v>#REF!</v>
      </c>
      <c r="I67" s="267" t="e">
        <f>#REF!</f>
        <v>#REF!</v>
      </c>
      <c r="J67" s="2"/>
      <c r="M67" s="93"/>
      <c r="N67" s="96"/>
      <c r="P67" s="93"/>
      <c r="T67" s="2"/>
      <c r="U67" s="2"/>
    </row>
    <row r="68" spans="1:21" ht="12.75">
      <c r="A68" s="34" t="e">
        <f t="shared" si="2"/>
        <v>#REF!</v>
      </c>
      <c r="B68" s="267" t="e">
        <f>#REF!</f>
        <v>#REF!</v>
      </c>
      <c r="C68" s="304" t="e">
        <f>#REF!</f>
        <v>#REF!</v>
      </c>
      <c r="D68" s="304" t="e">
        <f>#REF!</f>
        <v>#REF!</v>
      </c>
      <c r="E68" s="267" t="e">
        <f>#REF!</f>
        <v>#REF!</v>
      </c>
      <c r="F68" s="267" t="e">
        <f>#REF!</f>
        <v>#REF!</v>
      </c>
      <c r="G68" s="305"/>
      <c r="H68" s="267" t="e">
        <f>#REF!</f>
        <v>#REF!</v>
      </c>
      <c r="I68" s="267" t="e">
        <f>#REF!</f>
        <v>#REF!</v>
      </c>
      <c r="J68" s="2"/>
      <c r="M68" s="93"/>
      <c r="N68" s="96"/>
      <c r="P68" s="93"/>
      <c r="T68" s="2"/>
      <c r="U68" s="2"/>
    </row>
    <row r="69" spans="1:21" ht="12.75">
      <c r="A69" s="34" t="e">
        <f t="shared" si="2"/>
        <v>#REF!</v>
      </c>
      <c r="B69" s="267" t="e">
        <f>#REF!</f>
        <v>#REF!</v>
      </c>
      <c r="C69" s="304" t="e">
        <f>#REF!</f>
        <v>#REF!</v>
      </c>
      <c r="D69" s="304" t="e">
        <f>#REF!</f>
        <v>#REF!</v>
      </c>
      <c r="E69" s="267" t="e">
        <f>#REF!</f>
        <v>#REF!</v>
      </c>
      <c r="F69" s="267" t="e">
        <f>#REF!</f>
        <v>#REF!</v>
      </c>
      <c r="G69" s="305"/>
      <c r="H69" s="267" t="e">
        <f>#REF!</f>
        <v>#REF!</v>
      </c>
      <c r="I69" s="267" t="e">
        <f>#REF!</f>
        <v>#REF!</v>
      </c>
      <c r="J69" s="2"/>
      <c r="M69" s="93"/>
      <c r="N69" s="96"/>
      <c r="P69" s="93"/>
      <c r="T69" s="2"/>
      <c r="U69" s="2"/>
    </row>
    <row r="70" spans="1:21" ht="12.75">
      <c r="A70" s="34" t="e">
        <f t="shared" si="2"/>
        <v>#REF!</v>
      </c>
      <c r="B70" s="267" t="e">
        <f>#REF!</f>
        <v>#REF!</v>
      </c>
      <c r="C70" s="304" t="e">
        <f>#REF!</f>
        <v>#REF!</v>
      </c>
      <c r="D70" s="304" t="e">
        <f>#REF!</f>
        <v>#REF!</v>
      </c>
      <c r="E70" s="267" t="e">
        <f>#REF!</f>
        <v>#REF!</v>
      </c>
      <c r="F70" s="267" t="e">
        <f>#REF!</f>
        <v>#REF!</v>
      </c>
      <c r="G70" s="305"/>
      <c r="H70" s="267" t="e">
        <f>#REF!</f>
        <v>#REF!</v>
      </c>
      <c r="I70" s="267" t="e">
        <f>#REF!</f>
        <v>#REF!</v>
      </c>
      <c r="J70" s="2"/>
      <c r="M70" s="93"/>
      <c r="N70" s="96"/>
      <c r="P70" s="93"/>
      <c r="T70" s="2"/>
      <c r="U70" s="2"/>
    </row>
    <row r="71" spans="1:21" ht="12.75">
      <c r="A71" s="34" t="e">
        <f t="shared" si="2"/>
        <v>#REF!</v>
      </c>
      <c r="B71" s="267" t="e">
        <f>#REF!</f>
        <v>#REF!</v>
      </c>
      <c r="C71" s="304" t="e">
        <f>#REF!</f>
        <v>#REF!</v>
      </c>
      <c r="D71" s="304" t="e">
        <f>#REF!</f>
        <v>#REF!</v>
      </c>
      <c r="E71" s="267" t="e">
        <f>#REF!</f>
        <v>#REF!</v>
      </c>
      <c r="F71" s="267" t="e">
        <f>#REF!</f>
        <v>#REF!</v>
      </c>
      <c r="G71" s="305"/>
      <c r="H71" s="267" t="e">
        <f>#REF!</f>
        <v>#REF!</v>
      </c>
      <c r="I71" s="267" t="e">
        <f>#REF!</f>
        <v>#REF!</v>
      </c>
      <c r="J71" s="2"/>
      <c r="M71" s="93"/>
      <c r="N71" s="96"/>
      <c r="P71" s="93"/>
      <c r="T71" s="2"/>
      <c r="U71" s="2"/>
    </row>
    <row r="72" spans="1:21" ht="12.75">
      <c r="A72" s="34" t="e">
        <f t="shared" si="2"/>
        <v>#REF!</v>
      </c>
      <c r="B72" s="267" t="e">
        <f>#REF!</f>
        <v>#REF!</v>
      </c>
      <c r="C72" s="304" t="e">
        <f>#REF!</f>
        <v>#REF!</v>
      </c>
      <c r="D72" s="304" t="e">
        <f>#REF!</f>
        <v>#REF!</v>
      </c>
      <c r="E72" s="267" t="e">
        <f>#REF!</f>
        <v>#REF!</v>
      </c>
      <c r="F72" s="267" t="e">
        <f>#REF!</f>
        <v>#REF!</v>
      </c>
      <c r="G72" s="305"/>
      <c r="H72" s="267" t="e">
        <f>#REF!</f>
        <v>#REF!</v>
      </c>
      <c r="I72" s="267" t="e">
        <f>#REF!</f>
        <v>#REF!</v>
      </c>
      <c r="J72" s="2"/>
      <c r="M72" s="93"/>
      <c r="N72" s="96"/>
      <c r="P72" s="93"/>
      <c r="T72" s="2"/>
      <c r="U72" s="2"/>
    </row>
    <row r="73" spans="1:21" ht="12.75">
      <c r="A73" s="54" t="e">
        <f t="shared" si="2"/>
        <v>#REF!</v>
      </c>
      <c r="B73" s="267" t="e">
        <f>#REF!</f>
        <v>#REF!</v>
      </c>
      <c r="C73" s="306" t="e">
        <f>#REF!</f>
        <v>#REF!</v>
      </c>
      <c r="D73" s="306" t="e">
        <f>#REF!</f>
        <v>#REF!</v>
      </c>
      <c r="E73" s="267" t="e">
        <f>#REF!</f>
        <v>#REF!</v>
      </c>
      <c r="F73" s="267" t="e">
        <f>#REF!</f>
        <v>#REF!</v>
      </c>
      <c r="G73" s="305"/>
      <c r="H73" s="267" t="e">
        <f>#REF!</f>
        <v>#REF!</v>
      </c>
      <c r="I73" s="267" t="e">
        <f>#REF!</f>
        <v>#REF!</v>
      </c>
      <c r="J73" s="2"/>
      <c r="M73" s="93"/>
      <c r="N73" s="96"/>
      <c r="P73" s="93"/>
      <c r="T73" s="2"/>
      <c r="U73" s="2"/>
    </row>
    <row r="74" spans="1:21" ht="12.75">
      <c r="A74" s="37" t="e">
        <f t="shared" si="2"/>
        <v>#REF!</v>
      </c>
      <c r="B74" s="307"/>
      <c r="C74" s="308"/>
      <c r="D74" s="308"/>
      <c r="E74" s="307"/>
      <c r="F74" s="307"/>
      <c r="G74" s="292"/>
      <c r="H74" s="292"/>
      <c r="I74" s="292"/>
      <c r="J74" s="2"/>
      <c r="M74" s="93"/>
      <c r="N74" s="96"/>
      <c r="P74" s="93"/>
      <c r="T74" s="2"/>
      <c r="U74" s="2"/>
    </row>
    <row r="75" spans="1:21" ht="12.75">
      <c r="A75" s="81" t="e">
        <f t="shared" si="2"/>
        <v>#REF!</v>
      </c>
      <c r="B75" s="309"/>
      <c r="C75" s="309"/>
      <c r="D75" s="310"/>
      <c r="E75" s="309"/>
      <c r="F75" s="309"/>
      <c r="G75" s="267" t="e">
        <f>#REF!</f>
        <v>#REF!</v>
      </c>
      <c r="H75" s="267" t="e">
        <f>#REF!</f>
        <v>#REF!</v>
      </c>
      <c r="I75" s="267" t="e">
        <f>#REF!</f>
        <v>#REF!</v>
      </c>
      <c r="J75" s="2"/>
      <c r="M75" s="93"/>
      <c r="N75" s="96"/>
      <c r="P75" s="93"/>
      <c r="T75" s="2"/>
      <c r="U75" s="2"/>
    </row>
    <row r="76" spans="1:21" ht="12.75">
      <c r="A76" s="37" t="e">
        <f t="shared" si="2"/>
        <v>#REF!</v>
      </c>
      <c r="B76" s="311"/>
      <c r="C76" s="311"/>
      <c r="D76" s="311"/>
      <c r="E76" s="311"/>
      <c r="F76" s="311"/>
      <c r="G76" s="292" t="e">
        <f>G74-G75</f>
        <v>#REF!</v>
      </c>
      <c r="H76" s="292" t="e">
        <f>H74-H75</f>
        <v>#REF!</v>
      </c>
      <c r="I76" s="292" t="e">
        <f>I74-I75</f>
        <v>#REF!</v>
      </c>
      <c r="J76" s="2"/>
      <c r="M76" s="93"/>
      <c r="N76" s="96"/>
      <c r="P76" s="93"/>
      <c r="T76" s="2"/>
      <c r="U76" s="2"/>
    </row>
    <row r="77" spans="1:11" ht="12.75">
      <c r="A77" s="114" t="e">
        <f>CONCATENATE("* zie ",Uitvoer!#REF!," ",Uitvoer!#REF!," op volgende pagina.")</f>
        <v>#REF!</v>
      </c>
      <c r="B77" s="115"/>
      <c r="C77" s="100"/>
      <c r="D77" s="101"/>
      <c r="E77" s="101"/>
      <c r="F77" s="103"/>
      <c r="G77" s="103"/>
      <c r="H77" s="103"/>
      <c r="I77" s="116"/>
      <c r="J77" s="117"/>
      <c r="K77" s="118"/>
    </row>
    <row r="78" spans="1:11" ht="12.75">
      <c r="A78" s="312"/>
      <c r="B78" s="115"/>
      <c r="C78" s="100"/>
      <c r="D78" s="101"/>
      <c r="E78" s="101"/>
      <c r="F78" s="103"/>
      <c r="G78" s="103"/>
      <c r="H78" s="103"/>
      <c r="I78" s="116"/>
      <c r="J78" s="117"/>
      <c r="K78" s="118"/>
    </row>
    <row r="79" spans="1:11" ht="12.75">
      <c r="A79" s="41" t="s">
        <v>426</v>
      </c>
      <c r="B79" s="45" t="s">
        <v>427</v>
      </c>
      <c r="C79" s="110"/>
      <c r="D79" s="119"/>
      <c r="E79" s="112"/>
      <c r="F79" s="90"/>
      <c r="G79" s="113"/>
      <c r="H79" s="120"/>
      <c r="I79" s="90"/>
      <c r="J79" s="84"/>
      <c r="K79" s="90"/>
    </row>
    <row r="80" spans="1:21" ht="12.75">
      <c r="A80" s="262" t="e">
        <f>A76+1</f>
        <v>#REF!</v>
      </c>
      <c r="B80" s="267" t="e">
        <f>#REF!</f>
        <v>#REF!</v>
      </c>
      <c r="C80" s="304" t="e">
        <f>#REF!</f>
        <v>#REF!</v>
      </c>
      <c r="D80" s="304" t="e">
        <f>#REF!</f>
        <v>#REF!</v>
      </c>
      <c r="E80" s="267" t="e">
        <f>#REF!</f>
        <v>#REF!</v>
      </c>
      <c r="F80" s="267" t="e">
        <f>#REF!</f>
        <v>#REF!</v>
      </c>
      <c r="G80" s="305" t="e">
        <f aca="true" t="shared" si="3" ref="G80:G85">B80+F80</f>
        <v>#REF!</v>
      </c>
      <c r="H80" s="267" t="e">
        <f>#REF!</f>
        <v>#REF!</v>
      </c>
      <c r="I80" s="267" t="e">
        <f>#REF!</f>
        <v>#REF!</v>
      </c>
      <c r="J80" s="2"/>
      <c r="M80" s="93"/>
      <c r="N80" s="96"/>
      <c r="P80" s="93"/>
      <c r="T80" s="2"/>
      <c r="U80" s="2"/>
    </row>
    <row r="81" spans="1:21" ht="12.75">
      <c r="A81" s="34" t="e">
        <f aca="true" t="shared" si="4" ref="A81:A86">A80+1</f>
        <v>#REF!</v>
      </c>
      <c r="B81" s="267" t="e">
        <f>#REF!</f>
        <v>#REF!</v>
      </c>
      <c r="C81" s="304" t="e">
        <f>#REF!</f>
        <v>#REF!</v>
      </c>
      <c r="D81" s="304" t="e">
        <f>#REF!</f>
        <v>#REF!</v>
      </c>
      <c r="E81" s="267" t="e">
        <f>#REF!</f>
        <v>#REF!</v>
      </c>
      <c r="F81" s="267" t="e">
        <f>#REF!</f>
        <v>#REF!</v>
      </c>
      <c r="G81" s="305" t="e">
        <f t="shared" si="3"/>
        <v>#REF!</v>
      </c>
      <c r="H81" s="267" t="e">
        <f>#REF!</f>
        <v>#REF!</v>
      </c>
      <c r="I81" s="267" t="e">
        <f>#REF!</f>
        <v>#REF!</v>
      </c>
      <c r="J81" s="2"/>
      <c r="M81" s="93"/>
      <c r="N81" s="96"/>
      <c r="P81" s="93"/>
      <c r="T81" s="2"/>
      <c r="U81" s="2"/>
    </row>
    <row r="82" spans="1:21" ht="12.75">
      <c r="A82" s="34" t="e">
        <f t="shared" si="4"/>
        <v>#REF!</v>
      </c>
      <c r="B82" s="267" t="e">
        <f>#REF!</f>
        <v>#REF!</v>
      </c>
      <c r="C82" s="304" t="e">
        <f>#REF!</f>
        <v>#REF!</v>
      </c>
      <c r="D82" s="304" t="e">
        <f>#REF!</f>
        <v>#REF!</v>
      </c>
      <c r="E82" s="267" t="e">
        <f>#REF!</f>
        <v>#REF!</v>
      </c>
      <c r="F82" s="267" t="e">
        <f>#REF!</f>
        <v>#REF!</v>
      </c>
      <c r="G82" s="305" t="e">
        <f t="shared" si="3"/>
        <v>#REF!</v>
      </c>
      <c r="H82" s="267" t="e">
        <f>#REF!</f>
        <v>#REF!</v>
      </c>
      <c r="I82" s="267" t="e">
        <f>#REF!</f>
        <v>#REF!</v>
      </c>
      <c r="J82" s="2"/>
      <c r="M82" s="93"/>
      <c r="N82" s="96"/>
      <c r="P82" s="93"/>
      <c r="T82" s="2"/>
      <c r="U82" s="2"/>
    </row>
    <row r="83" spans="1:21" ht="12.75">
      <c r="A83" s="34" t="e">
        <f t="shared" si="4"/>
        <v>#REF!</v>
      </c>
      <c r="B83" s="267" t="e">
        <f>#REF!</f>
        <v>#REF!</v>
      </c>
      <c r="C83" s="304" t="e">
        <f>#REF!</f>
        <v>#REF!</v>
      </c>
      <c r="D83" s="304" t="e">
        <f>#REF!</f>
        <v>#REF!</v>
      </c>
      <c r="E83" s="267" t="e">
        <f>#REF!</f>
        <v>#REF!</v>
      </c>
      <c r="F83" s="267" t="e">
        <f>#REF!</f>
        <v>#REF!</v>
      </c>
      <c r="G83" s="305" t="e">
        <f t="shared" si="3"/>
        <v>#REF!</v>
      </c>
      <c r="H83" s="267" t="e">
        <f>#REF!</f>
        <v>#REF!</v>
      </c>
      <c r="I83" s="267" t="e">
        <f>#REF!</f>
        <v>#REF!</v>
      </c>
      <c r="J83" s="2"/>
      <c r="M83" s="93"/>
      <c r="N83" s="96"/>
      <c r="P83" s="93"/>
      <c r="T83" s="2"/>
      <c r="U83" s="2"/>
    </row>
    <row r="84" spans="1:21" ht="12.75">
      <c r="A84" s="34" t="e">
        <f t="shared" si="4"/>
        <v>#REF!</v>
      </c>
      <c r="B84" s="267" t="e">
        <f>#REF!</f>
        <v>#REF!</v>
      </c>
      <c r="C84" s="304" t="e">
        <f>#REF!</f>
        <v>#REF!</v>
      </c>
      <c r="D84" s="304" t="e">
        <f>#REF!</f>
        <v>#REF!</v>
      </c>
      <c r="E84" s="267" t="e">
        <f>#REF!</f>
        <v>#REF!</v>
      </c>
      <c r="F84" s="267" t="e">
        <f>#REF!</f>
        <v>#REF!</v>
      </c>
      <c r="G84" s="305" t="e">
        <f t="shared" si="3"/>
        <v>#REF!</v>
      </c>
      <c r="H84" s="267" t="e">
        <f>#REF!</f>
        <v>#REF!</v>
      </c>
      <c r="I84" s="267" t="e">
        <f>#REF!</f>
        <v>#REF!</v>
      </c>
      <c r="J84" s="2"/>
      <c r="M84" s="93"/>
      <c r="N84" s="96"/>
      <c r="P84" s="93"/>
      <c r="T84" s="2"/>
      <c r="U84" s="2"/>
    </row>
    <row r="85" spans="1:21" ht="12.75">
      <c r="A85" s="54" t="e">
        <f t="shared" si="4"/>
        <v>#REF!</v>
      </c>
      <c r="B85" s="267" t="e">
        <f>#REF!</f>
        <v>#REF!</v>
      </c>
      <c r="C85" s="306" t="e">
        <f>#REF!</f>
        <v>#REF!</v>
      </c>
      <c r="D85" s="306" t="e">
        <f>#REF!</f>
        <v>#REF!</v>
      </c>
      <c r="E85" s="267" t="e">
        <f>#REF!</f>
        <v>#REF!</v>
      </c>
      <c r="F85" s="267" t="e">
        <f>#REF!</f>
        <v>#REF!</v>
      </c>
      <c r="G85" s="305" t="e">
        <f t="shared" si="3"/>
        <v>#REF!</v>
      </c>
      <c r="H85" s="267" t="e">
        <f>#REF!</f>
        <v>#REF!</v>
      </c>
      <c r="I85" s="267" t="e">
        <f>#REF!</f>
        <v>#REF!</v>
      </c>
      <c r="J85" s="2"/>
      <c r="M85" s="93"/>
      <c r="N85" s="96"/>
      <c r="P85" s="93"/>
      <c r="T85" s="2"/>
      <c r="U85" s="2"/>
    </row>
    <row r="86" spans="1:21" ht="12.75">
      <c r="A86" s="37" t="e">
        <f t="shared" si="4"/>
        <v>#REF!</v>
      </c>
      <c r="B86" s="307"/>
      <c r="C86" s="308"/>
      <c r="D86" s="308"/>
      <c r="E86" s="307"/>
      <c r="F86" s="307"/>
      <c r="G86" s="307"/>
      <c r="H86" s="307"/>
      <c r="I86" s="307"/>
      <c r="J86" s="2"/>
      <c r="M86" s="93"/>
      <c r="N86" s="96"/>
      <c r="P86" s="93"/>
      <c r="T86" s="2"/>
      <c r="U86" s="2"/>
    </row>
    <row r="87" spans="3:10" ht="12.75">
      <c r="C87" s="122"/>
      <c r="D87" s="2"/>
      <c r="G87" s="2"/>
      <c r="H87" s="2"/>
      <c r="J87" s="2"/>
    </row>
    <row r="89" spans="1:21" ht="12.75">
      <c r="A89" s="21"/>
      <c r="B89" s="199"/>
      <c r="C89" s="25" t="s">
        <v>430</v>
      </c>
      <c r="D89" s="25" t="s">
        <v>431</v>
      </c>
      <c r="E89" s="62"/>
      <c r="F89" s="24"/>
      <c r="G89" s="21"/>
      <c r="H89" s="25" t="s">
        <v>424</v>
      </c>
      <c r="J89" s="2"/>
      <c r="M89" s="93"/>
      <c r="N89" s="96"/>
      <c r="P89" s="93"/>
      <c r="T89" s="2"/>
      <c r="U89" s="2"/>
    </row>
    <row r="90" spans="1:21" ht="12.75">
      <c r="A90" s="26"/>
      <c r="B90" s="27"/>
      <c r="C90" s="28"/>
      <c r="D90" s="29"/>
      <c r="E90" s="30"/>
      <c r="F90" s="27"/>
      <c r="G90" s="90"/>
      <c r="H90" s="29"/>
      <c r="J90" s="2"/>
      <c r="M90" s="93"/>
      <c r="N90" s="96"/>
      <c r="P90" s="93"/>
      <c r="T90" s="2"/>
      <c r="U90" s="2"/>
    </row>
    <row r="91" spans="1:21" ht="12.75">
      <c r="A91" s="124" t="s">
        <v>433</v>
      </c>
      <c r="B91" s="45" t="s">
        <v>428</v>
      </c>
      <c r="C91" s="313"/>
      <c r="D91" s="314"/>
      <c r="E91" s="314"/>
      <c r="F91" s="41" t="s">
        <v>76</v>
      </c>
      <c r="G91" s="315" t="s">
        <v>432</v>
      </c>
      <c r="H91" s="314"/>
      <c r="J91" s="2"/>
      <c r="M91" s="93"/>
      <c r="N91" s="96"/>
      <c r="P91" s="93"/>
      <c r="T91" s="2"/>
      <c r="U91" s="2"/>
    </row>
    <row r="92" spans="1:21" ht="12.75">
      <c r="A92" s="125" t="e">
        <f>#REF!</f>
        <v>#REF!</v>
      </c>
      <c r="B92" s="316"/>
      <c r="C92" s="317" t="e">
        <f>#REF!</f>
        <v>#REF!</v>
      </c>
      <c r="D92" s="267" t="e">
        <f>#REF!</f>
        <v>#REF!</v>
      </c>
      <c r="E92" s="318"/>
      <c r="F92" s="133" t="e">
        <f>#REF!</f>
        <v>#REF!</v>
      </c>
      <c r="G92" s="264" t="e">
        <f>#REF!</f>
        <v>#REF!</v>
      </c>
      <c r="H92" s="267" t="e">
        <f>#REF!</f>
        <v>#REF!</v>
      </c>
      <c r="J92" s="2"/>
      <c r="M92" s="93"/>
      <c r="N92" s="96"/>
      <c r="P92" s="93"/>
      <c r="T92" s="2"/>
      <c r="U92" s="2"/>
    </row>
    <row r="93" spans="1:21" ht="12.75">
      <c r="A93" s="126" t="e">
        <f aca="true" t="shared" si="5" ref="A93:A98">A92+1</f>
        <v>#REF!</v>
      </c>
      <c r="B93" s="316"/>
      <c r="C93" s="304" t="e">
        <f>#REF!</f>
        <v>#REF!</v>
      </c>
      <c r="D93" s="319" t="e">
        <f>#REF!</f>
        <v>#REF!</v>
      </c>
      <c r="E93" s="318"/>
      <c r="F93" s="135" t="e">
        <f aca="true" t="shared" si="6" ref="F93:F115">F92+1</f>
        <v>#REF!</v>
      </c>
      <c r="G93" s="264" t="e">
        <f>#REF!</f>
        <v>#REF!</v>
      </c>
      <c r="H93" s="267" t="e">
        <f>#REF!</f>
        <v>#REF!</v>
      </c>
      <c r="J93" s="2"/>
      <c r="M93" s="93"/>
      <c r="N93" s="96"/>
      <c r="P93" s="93"/>
      <c r="T93" s="2"/>
      <c r="U93" s="2"/>
    </row>
    <row r="94" spans="1:21" ht="12.75">
      <c r="A94" s="126" t="e">
        <f t="shared" si="5"/>
        <v>#REF!</v>
      </c>
      <c r="B94" s="316"/>
      <c r="C94" s="267" t="e">
        <f>#REF!</f>
        <v>#REF!</v>
      </c>
      <c r="D94" s="267" t="e">
        <f>#REF!</f>
        <v>#REF!</v>
      </c>
      <c r="E94" s="127"/>
      <c r="F94" s="135" t="e">
        <f t="shared" si="6"/>
        <v>#REF!</v>
      </c>
      <c r="G94" s="264" t="e">
        <f>#REF!</f>
        <v>#REF!</v>
      </c>
      <c r="H94" s="267" t="e">
        <f>#REF!</f>
        <v>#REF!</v>
      </c>
      <c r="J94" s="2"/>
      <c r="M94" s="93"/>
      <c r="N94" s="96"/>
      <c r="P94" s="93"/>
      <c r="T94" s="2"/>
      <c r="U94" s="2"/>
    </row>
    <row r="95" spans="1:21" ht="12.75">
      <c r="A95" s="128" t="e">
        <f t="shared" si="5"/>
        <v>#REF!</v>
      </c>
      <c r="B95" s="320"/>
      <c r="C95" s="321"/>
      <c r="D95" s="319" t="e">
        <f>#REF!</f>
        <v>#REF!</v>
      </c>
      <c r="E95" s="318"/>
      <c r="F95" s="135" t="e">
        <f t="shared" si="6"/>
        <v>#REF!</v>
      </c>
      <c r="G95" s="264" t="e">
        <f>#REF!</f>
        <v>#REF!</v>
      </c>
      <c r="H95" s="267" t="e">
        <f>#REF!</f>
        <v>#REF!</v>
      </c>
      <c r="J95" s="2"/>
      <c r="M95" s="93"/>
      <c r="N95" s="96"/>
      <c r="P95" s="93"/>
      <c r="T95" s="2"/>
      <c r="U95" s="2"/>
    </row>
    <row r="96" spans="1:21" ht="12.75">
      <c r="A96" s="129" t="e">
        <f t="shared" si="5"/>
        <v>#REF!</v>
      </c>
      <c r="B96" s="292"/>
      <c r="C96" s="292"/>
      <c r="D96" s="292"/>
      <c r="E96" s="318"/>
      <c r="F96" s="135" t="e">
        <f t="shared" si="6"/>
        <v>#REF!</v>
      </c>
      <c r="G96" s="264" t="e">
        <f>#REF!</f>
        <v>#REF!</v>
      </c>
      <c r="H96" s="267" t="e">
        <f>#REF!</f>
        <v>#REF!</v>
      </c>
      <c r="J96" s="2"/>
      <c r="M96" s="93"/>
      <c r="N96" s="96"/>
      <c r="P96" s="93"/>
      <c r="T96" s="2"/>
      <c r="U96" s="2"/>
    </row>
    <row r="97" spans="1:21" ht="12.75">
      <c r="A97" s="129" t="e">
        <f t="shared" si="5"/>
        <v>#REF!</v>
      </c>
      <c r="B97" s="320"/>
      <c r="C97" s="305"/>
      <c r="D97" s="322"/>
      <c r="E97" s="318"/>
      <c r="F97" s="135" t="e">
        <f t="shared" si="6"/>
        <v>#REF!</v>
      </c>
      <c r="G97" s="264" t="e">
        <f>#REF!</f>
        <v>#REF!</v>
      </c>
      <c r="H97" s="267" t="e">
        <f>#REF!</f>
        <v>#REF!</v>
      </c>
      <c r="J97" s="2"/>
      <c r="M97" s="93"/>
      <c r="N97" s="96"/>
      <c r="P97" s="93"/>
      <c r="T97" s="2"/>
      <c r="U97" s="2"/>
    </row>
    <row r="98" spans="1:21" ht="12.75">
      <c r="A98" s="129" t="e">
        <f t="shared" si="5"/>
        <v>#REF!</v>
      </c>
      <c r="B98" s="323"/>
      <c r="C98" s="307"/>
      <c r="D98" s="292"/>
      <c r="E98" s="318"/>
      <c r="F98" s="135" t="e">
        <f t="shared" si="6"/>
        <v>#REF!</v>
      </c>
      <c r="G98" s="264" t="e">
        <f>#REF!</f>
        <v>#REF!</v>
      </c>
      <c r="H98" s="267" t="e">
        <f>#REF!</f>
        <v>#REF!</v>
      </c>
      <c r="J98" s="2"/>
      <c r="M98" s="93"/>
      <c r="N98" s="96"/>
      <c r="P98" s="93"/>
      <c r="T98" s="2"/>
      <c r="U98" s="2"/>
    </row>
    <row r="99" spans="1:21" ht="12.75">
      <c r="A99" s="131"/>
      <c r="B99" s="314"/>
      <c r="C99" s="314"/>
      <c r="D99" s="314"/>
      <c r="E99" s="318"/>
      <c r="F99" s="135" t="e">
        <f t="shared" si="6"/>
        <v>#REF!</v>
      </c>
      <c r="G99" s="264" t="e">
        <f>#REF!</f>
        <v>#REF!</v>
      </c>
      <c r="H99" s="267" t="e">
        <f>#REF!</f>
        <v>#REF!</v>
      </c>
      <c r="J99" s="2"/>
      <c r="M99" s="93"/>
      <c r="N99" s="96"/>
      <c r="P99" s="93"/>
      <c r="T99" s="2"/>
      <c r="U99" s="2"/>
    </row>
    <row r="100" spans="1:21" ht="12.75">
      <c r="A100" s="83"/>
      <c r="B100" s="132"/>
      <c r="C100" s="132"/>
      <c r="D100" s="119"/>
      <c r="E100" s="314"/>
      <c r="F100" s="135" t="e">
        <f t="shared" si="6"/>
        <v>#REF!</v>
      </c>
      <c r="G100" s="264" t="e">
        <f>#REF!</f>
        <v>#REF!</v>
      </c>
      <c r="H100" s="267" t="e">
        <f>#REF!</f>
        <v>#REF!</v>
      </c>
      <c r="J100" s="2"/>
      <c r="M100" s="93"/>
      <c r="N100" s="96"/>
      <c r="P100" s="93"/>
      <c r="T100" s="2"/>
      <c r="U100" s="2"/>
    </row>
    <row r="101" spans="1:21" ht="12.75">
      <c r="A101" s="284"/>
      <c r="B101" s="324"/>
      <c r="C101" s="324"/>
      <c r="D101" s="324"/>
      <c r="E101" s="314"/>
      <c r="F101" s="135" t="e">
        <f t="shared" si="6"/>
        <v>#REF!</v>
      </c>
      <c r="G101" s="264" t="e">
        <f>#REF!</f>
        <v>#REF!</v>
      </c>
      <c r="H101" s="267" t="e">
        <f>#REF!</f>
        <v>#REF!</v>
      </c>
      <c r="J101" s="2"/>
      <c r="M101" s="93"/>
      <c r="N101" s="96"/>
      <c r="P101" s="93"/>
      <c r="T101" s="2"/>
      <c r="U101" s="2"/>
    </row>
    <row r="102" spans="1:21" ht="12.75">
      <c r="A102" s="83"/>
      <c r="B102" s="132"/>
      <c r="C102" s="325"/>
      <c r="D102" s="285"/>
      <c r="E102" s="119"/>
      <c r="F102" s="135" t="e">
        <f t="shared" si="6"/>
        <v>#REF!</v>
      </c>
      <c r="G102" s="264" t="e">
        <f>#REF!</f>
        <v>#REF!</v>
      </c>
      <c r="H102" s="267" t="e">
        <f>#REF!</f>
        <v>#REF!</v>
      </c>
      <c r="J102" s="2"/>
      <c r="M102" s="93"/>
      <c r="N102" s="96"/>
      <c r="P102" s="93"/>
      <c r="T102" s="2"/>
      <c r="U102" s="2"/>
    </row>
    <row r="103" spans="1:21" ht="12.75">
      <c r="A103" s="286"/>
      <c r="B103" s="84"/>
      <c r="C103" s="282"/>
      <c r="D103" s="326"/>
      <c r="E103" s="314"/>
      <c r="F103" s="135" t="e">
        <f t="shared" si="6"/>
        <v>#REF!</v>
      </c>
      <c r="G103" s="264" t="e">
        <f>#REF!</f>
        <v>#REF!</v>
      </c>
      <c r="H103" s="267" t="e">
        <f>#REF!</f>
        <v>#REF!</v>
      </c>
      <c r="J103" s="2"/>
      <c r="M103" s="93"/>
      <c r="N103" s="96"/>
      <c r="P103" s="93"/>
      <c r="T103" s="2"/>
      <c r="U103" s="2"/>
    </row>
    <row r="104" spans="1:21" ht="12.75">
      <c r="A104" s="286"/>
      <c r="B104" s="84"/>
      <c r="C104" s="84"/>
      <c r="D104" s="326"/>
      <c r="E104" s="314"/>
      <c r="F104" s="135" t="e">
        <f t="shared" si="6"/>
        <v>#REF!</v>
      </c>
      <c r="G104" s="264" t="e">
        <f>#REF!</f>
        <v>#REF!</v>
      </c>
      <c r="H104" s="267" t="e">
        <f>#REF!</f>
        <v>#REF!</v>
      </c>
      <c r="J104" s="2"/>
      <c r="M104" s="93"/>
      <c r="N104" s="96"/>
      <c r="P104" s="93"/>
      <c r="T104" s="2"/>
      <c r="U104" s="2"/>
    </row>
    <row r="105" spans="1:21" ht="12.75">
      <c r="A105" s="286"/>
      <c r="B105" s="84"/>
      <c r="C105" s="84"/>
      <c r="D105" s="326"/>
      <c r="E105" s="314"/>
      <c r="F105" s="135" t="e">
        <f t="shared" si="6"/>
        <v>#REF!</v>
      </c>
      <c r="G105" s="264" t="e">
        <f>#REF!</f>
        <v>#REF!</v>
      </c>
      <c r="H105" s="267" t="e">
        <f>#REF!</f>
        <v>#REF!</v>
      </c>
      <c r="J105" s="2"/>
      <c r="M105" s="93"/>
      <c r="N105" s="96"/>
      <c r="P105" s="93"/>
      <c r="T105" s="2"/>
      <c r="U105" s="2"/>
    </row>
    <row r="106" spans="1:21" ht="12.75">
      <c r="A106" s="286"/>
      <c r="B106" s="84"/>
      <c r="C106" s="84"/>
      <c r="D106" s="326"/>
      <c r="E106" s="314"/>
      <c r="F106" s="135" t="e">
        <f t="shared" si="6"/>
        <v>#REF!</v>
      </c>
      <c r="G106" s="264" t="e">
        <f>#REF!</f>
        <v>#REF!</v>
      </c>
      <c r="H106" s="267" t="e">
        <f>#REF!</f>
        <v>#REF!</v>
      </c>
      <c r="J106" s="2"/>
      <c r="M106" s="93"/>
      <c r="N106" s="96"/>
      <c r="P106" s="93"/>
      <c r="T106" s="2"/>
      <c r="U106" s="2"/>
    </row>
    <row r="107" spans="1:21" ht="12.75">
      <c r="A107" s="286"/>
      <c r="B107" s="84"/>
      <c r="C107" s="84"/>
      <c r="D107" s="326"/>
      <c r="E107" s="314"/>
      <c r="F107" s="135" t="e">
        <f t="shared" si="6"/>
        <v>#REF!</v>
      </c>
      <c r="G107" s="264" t="e">
        <f>#REF!</f>
        <v>#REF!</v>
      </c>
      <c r="H107" s="267" t="e">
        <f>#REF!</f>
        <v>#REF!</v>
      </c>
      <c r="J107" s="2"/>
      <c r="M107" s="93"/>
      <c r="N107" s="96"/>
      <c r="P107" s="93"/>
      <c r="T107" s="2"/>
      <c r="U107" s="2"/>
    </row>
    <row r="108" spans="1:21" ht="12.75">
      <c r="A108" s="286"/>
      <c r="B108" s="84"/>
      <c r="C108" s="309"/>
      <c r="D108" s="326"/>
      <c r="E108" s="314"/>
      <c r="F108" s="135" t="e">
        <f t="shared" si="6"/>
        <v>#REF!</v>
      </c>
      <c r="G108" s="264" t="e">
        <f>#REF!</f>
        <v>#REF!</v>
      </c>
      <c r="H108" s="267" t="e">
        <f>#REF!</f>
        <v>#REF!</v>
      </c>
      <c r="J108" s="2"/>
      <c r="M108" s="93"/>
      <c r="N108" s="96"/>
      <c r="P108" s="93"/>
      <c r="T108" s="2"/>
      <c r="U108" s="2"/>
    </row>
    <row r="109" spans="1:21" ht="12.75">
      <c r="A109" s="286"/>
      <c r="B109" s="327"/>
      <c r="C109" s="132"/>
      <c r="D109" s="328"/>
      <c r="E109" s="314"/>
      <c r="F109" s="135" t="e">
        <f t="shared" si="6"/>
        <v>#REF!</v>
      </c>
      <c r="G109" s="264" t="e">
        <f>#REF!</f>
        <v>#REF!</v>
      </c>
      <c r="H109" s="267" t="e">
        <f>#REF!</f>
        <v>#REF!</v>
      </c>
      <c r="J109" s="2"/>
      <c r="M109" s="93"/>
      <c r="N109" s="96"/>
      <c r="P109" s="93"/>
      <c r="T109" s="2"/>
      <c r="U109" s="2"/>
    </row>
    <row r="110" spans="1:21" ht="12.75">
      <c r="A110" s="287"/>
      <c r="B110" s="84"/>
      <c r="C110" s="325"/>
      <c r="D110" s="325"/>
      <c r="E110" s="314"/>
      <c r="F110" s="135" t="e">
        <f t="shared" si="6"/>
        <v>#REF!</v>
      </c>
      <c r="G110" s="264" t="e">
        <f>#REF!</f>
        <v>#REF!</v>
      </c>
      <c r="H110" s="267" t="e">
        <f>#REF!</f>
        <v>#REF!</v>
      </c>
      <c r="J110" s="2"/>
      <c r="M110" s="93"/>
      <c r="N110" s="96"/>
      <c r="P110" s="93"/>
      <c r="T110" s="2"/>
      <c r="U110" s="2"/>
    </row>
    <row r="111" spans="1:21" ht="12.75">
      <c r="A111" s="99"/>
      <c r="B111" s="84"/>
      <c r="C111" s="282"/>
      <c r="D111" s="326"/>
      <c r="E111" s="314"/>
      <c r="F111" s="135" t="e">
        <f t="shared" si="6"/>
        <v>#REF!</v>
      </c>
      <c r="G111" s="264" t="e">
        <f>#REF!</f>
        <v>#REF!</v>
      </c>
      <c r="H111" s="267" t="e">
        <f>#REF!</f>
        <v>#REF!</v>
      </c>
      <c r="J111" s="2"/>
      <c r="M111" s="93"/>
      <c r="N111" s="96"/>
      <c r="P111" s="93"/>
      <c r="T111" s="2"/>
      <c r="U111" s="2"/>
    </row>
    <row r="112" spans="1:21" ht="12.75">
      <c r="A112" s="286"/>
      <c r="B112" s="84"/>
      <c r="C112" s="84"/>
      <c r="D112" s="326"/>
      <c r="E112" s="314"/>
      <c r="F112" s="135" t="e">
        <f t="shared" si="6"/>
        <v>#REF!</v>
      </c>
      <c r="G112" s="264" t="e">
        <f>#REF!</f>
        <v>#REF!</v>
      </c>
      <c r="H112" s="267" t="e">
        <f>#REF!</f>
        <v>#REF!</v>
      </c>
      <c r="J112" s="2"/>
      <c r="M112" s="93"/>
      <c r="N112" s="96"/>
      <c r="P112" s="93"/>
      <c r="T112" s="2"/>
      <c r="U112" s="2"/>
    </row>
    <row r="113" spans="1:21" ht="12.75">
      <c r="A113" s="286"/>
      <c r="B113" s="327"/>
      <c r="C113" s="132"/>
      <c r="D113" s="328"/>
      <c r="E113" s="314"/>
      <c r="F113" s="130" t="e">
        <f t="shared" si="6"/>
        <v>#REF!</v>
      </c>
      <c r="G113" s="323"/>
      <c r="H113" s="292"/>
      <c r="J113" s="2"/>
      <c r="M113" s="93"/>
      <c r="N113" s="96"/>
      <c r="P113" s="93"/>
      <c r="T113" s="2"/>
      <c r="U113" s="2"/>
    </row>
    <row r="114" spans="1:21" ht="12.75">
      <c r="A114" s="84"/>
      <c r="B114" s="84"/>
      <c r="C114" s="325"/>
      <c r="D114" s="325"/>
      <c r="E114" s="42"/>
      <c r="F114" s="135" t="e">
        <f t="shared" si="6"/>
        <v>#REF!</v>
      </c>
      <c r="G114" s="226"/>
      <c r="H114" s="270" t="e">
        <f>#REF!</f>
        <v>#REF!</v>
      </c>
      <c r="J114" s="2"/>
      <c r="M114" s="93"/>
      <c r="N114" s="96"/>
      <c r="P114" s="93"/>
      <c r="T114" s="2"/>
      <c r="U114" s="2"/>
    </row>
    <row r="115" spans="1:21" ht="12.75">
      <c r="A115" s="286"/>
      <c r="B115" s="225"/>
      <c r="C115" s="132"/>
      <c r="D115" s="328"/>
      <c r="E115" s="42"/>
      <c r="F115" s="130" t="e">
        <f t="shared" si="6"/>
        <v>#REF!</v>
      </c>
      <c r="G115" s="323"/>
      <c r="H115" s="329"/>
      <c r="J115" s="2"/>
      <c r="M115" s="93"/>
      <c r="N115" s="96"/>
      <c r="P115" s="93"/>
      <c r="T115" s="2"/>
      <c r="U115" s="2"/>
    </row>
    <row r="116" spans="1:21" ht="12.75">
      <c r="A116" s="286"/>
      <c r="B116" s="330"/>
      <c r="C116" s="84"/>
      <c r="D116" s="326"/>
      <c r="E116" s="42"/>
      <c r="F116" s="318"/>
      <c r="G116" s="318"/>
      <c r="H116" s="318"/>
      <c r="J116" s="2"/>
      <c r="M116" s="93"/>
      <c r="N116" s="96"/>
      <c r="P116" s="93"/>
      <c r="T116" s="2"/>
      <c r="U116" s="2"/>
    </row>
    <row r="117" spans="1:21" ht="12.75">
      <c r="A117" s="287"/>
      <c r="B117" s="84"/>
      <c r="C117" s="325"/>
      <c r="D117" s="325"/>
      <c r="E117" s="42"/>
      <c r="F117" s="41" t="s">
        <v>438</v>
      </c>
      <c r="G117" s="315" t="s">
        <v>439</v>
      </c>
      <c r="H117" s="314"/>
      <c r="J117" s="2"/>
      <c r="M117" s="93"/>
      <c r="N117" s="96"/>
      <c r="P117" s="93"/>
      <c r="T117" s="2"/>
      <c r="U117" s="2"/>
    </row>
    <row r="118" spans="1:21" ht="12.75">
      <c r="A118" s="286"/>
      <c r="B118" s="84"/>
      <c r="C118" s="282"/>
      <c r="D118" s="326"/>
      <c r="E118" s="42"/>
      <c r="F118" s="133" t="e">
        <f>F115+1</f>
        <v>#REF!</v>
      </c>
      <c r="G118" s="264" t="e">
        <f>#REF!</f>
        <v>#REF!</v>
      </c>
      <c r="H118" s="267" t="e">
        <f>#REF!</f>
        <v>#REF!</v>
      </c>
      <c r="J118" s="2"/>
      <c r="M118" s="93"/>
      <c r="N118" s="96"/>
      <c r="P118" s="93"/>
      <c r="T118" s="2"/>
      <c r="U118" s="2"/>
    </row>
    <row r="119" spans="1:21" ht="12.75">
      <c r="A119" s="286"/>
      <c r="B119" s="84"/>
      <c r="C119" s="84"/>
      <c r="D119" s="326"/>
      <c r="E119" s="42"/>
      <c r="F119" s="133" t="e">
        <f>F118+1</f>
        <v>#REF!</v>
      </c>
      <c r="G119" s="264" t="e">
        <f>#REF!</f>
        <v>#REF!</v>
      </c>
      <c r="H119" s="267" t="e">
        <f>#REF!</f>
        <v>#REF!</v>
      </c>
      <c r="J119" s="2"/>
      <c r="M119" s="93"/>
      <c r="N119" s="96"/>
      <c r="P119" s="93"/>
      <c r="T119" s="2"/>
      <c r="U119" s="2"/>
    </row>
    <row r="120" spans="1:21" ht="12.75">
      <c r="A120" s="286"/>
      <c r="B120" s="327"/>
      <c r="C120" s="132"/>
      <c r="D120" s="328"/>
      <c r="E120" s="42"/>
      <c r="F120" s="133" t="e">
        <f>F119+1</f>
        <v>#REF!</v>
      </c>
      <c r="G120" s="264" t="e">
        <f>#REF!</f>
        <v>#REF!</v>
      </c>
      <c r="H120" s="267" t="e">
        <f>#REF!</f>
        <v>#REF!</v>
      </c>
      <c r="J120" s="2"/>
      <c r="M120" s="93"/>
      <c r="N120" s="96"/>
      <c r="P120" s="93"/>
      <c r="T120" s="2"/>
      <c r="U120" s="2"/>
    </row>
    <row r="121" spans="1:21" ht="12.75">
      <c r="A121" s="286"/>
      <c r="B121" s="330"/>
      <c r="C121" s="84"/>
      <c r="D121" s="331"/>
      <c r="E121" s="42"/>
      <c r="F121" s="133" t="e">
        <f>F120+1</f>
        <v>#REF!</v>
      </c>
      <c r="G121" s="264" t="e">
        <f>#REF!</f>
        <v>#REF!</v>
      </c>
      <c r="H121" s="267" t="e">
        <f>#REF!</f>
        <v>#REF!</v>
      </c>
      <c r="J121" s="2"/>
      <c r="M121" s="93"/>
      <c r="N121" s="96"/>
      <c r="P121" s="93"/>
      <c r="T121" s="2"/>
      <c r="U121" s="2"/>
    </row>
    <row r="122" spans="1:21" ht="12.75">
      <c r="A122" s="286"/>
      <c r="B122" s="84"/>
      <c r="C122" s="283"/>
      <c r="D122" s="331"/>
      <c r="E122" s="42"/>
      <c r="F122" s="135" t="e">
        <f>F121+1</f>
        <v>#REF!</v>
      </c>
      <c r="G122" s="264" t="e">
        <f>#REF!</f>
        <v>#REF!</v>
      </c>
      <c r="H122" s="267" t="e">
        <f>#REF!</f>
        <v>#REF!</v>
      </c>
      <c r="J122" s="2"/>
      <c r="M122" s="93"/>
      <c r="N122" s="96"/>
      <c r="P122" s="93"/>
      <c r="T122" s="2"/>
      <c r="U122" s="2"/>
    </row>
    <row r="123" spans="1:21" ht="12.75">
      <c r="A123" s="286"/>
      <c r="B123" s="327"/>
      <c r="C123" s="132"/>
      <c r="D123" s="328"/>
      <c r="E123" s="42"/>
      <c r="F123" s="130" t="e">
        <f>F122+1</f>
        <v>#REF!</v>
      </c>
      <c r="G123" s="323"/>
      <c r="H123" s="292"/>
      <c r="J123" s="2"/>
      <c r="M123" s="93"/>
      <c r="N123" s="96"/>
      <c r="P123" s="93"/>
      <c r="T123" s="2"/>
      <c r="U123" s="2"/>
    </row>
    <row r="124" spans="1:10" ht="12.75">
      <c r="A124" s="41"/>
      <c r="B124" s="42"/>
      <c r="C124" s="43"/>
      <c r="D124" s="42"/>
      <c r="E124" s="42"/>
      <c r="F124" s="45"/>
      <c r="G124" s="41"/>
      <c r="H124" s="42"/>
      <c r="I124" s="42"/>
      <c r="J124" s="42"/>
    </row>
    <row r="125" spans="1:21" ht="12.75">
      <c r="A125" s="21"/>
      <c r="B125" s="105" t="s">
        <v>447</v>
      </c>
      <c r="D125" s="2"/>
      <c r="G125" s="93"/>
      <c r="H125" s="96"/>
      <c r="I125" s="93"/>
      <c r="J125" s="93"/>
      <c r="K125" s="93"/>
      <c r="L125" s="93"/>
      <c r="M125" s="93"/>
      <c r="O125" s="2"/>
      <c r="P125" s="2"/>
      <c r="Q125" s="2"/>
      <c r="R125" s="2"/>
      <c r="S125" s="2"/>
      <c r="T125" s="2"/>
      <c r="U125" s="2"/>
    </row>
    <row r="126" spans="1:21" ht="12.75">
      <c r="A126" s="21"/>
      <c r="B126" s="106" t="e">
        <f>#REF!</f>
        <v>#REF!</v>
      </c>
      <c r="D126" s="2"/>
      <c r="G126" s="93"/>
      <c r="H126" s="96"/>
      <c r="I126" s="93"/>
      <c r="J126" s="93"/>
      <c r="K126" s="93"/>
      <c r="L126" s="93"/>
      <c r="M126" s="93"/>
      <c r="O126" s="2"/>
      <c r="P126" s="2"/>
      <c r="Q126" s="2"/>
      <c r="R126" s="2"/>
      <c r="S126" s="2"/>
      <c r="T126" s="2"/>
      <c r="U126" s="2"/>
    </row>
    <row r="127" spans="1:21" ht="12.75">
      <c r="A127" s="26"/>
      <c r="B127" s="29"/>
      <c r="D127" s="2"/>
      <c r="G127" s="93"/>
      <c r="H127" s="96"/>
      <c r="I127" s="93"/>
      <c r="J127" s="93"/>
      <c r="K127" s="93"/>
      <c r="L127" s="93"/>
      <c r="M127" s="93"/>
      <c r="O127" s="2"/>
      <c r="P127" s="2"/>
      <c r="Q127" s="2"/>
      <c r="R127" s="2"/>
      <c r="S127" s="2"/>
      <c r="T127" s="2"/>
      <c r="U127" s="2"/>
    </row>
    <row r="128" spans="1:21" ht="12.75">
      <c r="A128" s="159" t="s">
        <v>77</v>
      </c>
      <c r="B128" s="95"/>
      <c r="D128" s="2"/>
      <c r="G128" s="93"/>
      <c r="H128" s="96"/>
      <c r="I128" s="93"/>
      <c r="J128" s="93"/>
      <c r="K128" s="93"/>
      <c r="L128" s="93"/>
      <c r="M128" s="93"/>
      <c r="O128" s="2"/>
      <c r="P128" s="2"/>
      <c r="Q128" s="2"/>
      <c r="R128" s="2"/>
      <c r="S128" s="2"/>
      <c r="T128" s="2"/>
      <c r="U128" s="2"/>
    </row>
    <row r="129" spans="1:21" ht="12.75">
      <c r="A129" s="31">
        <f>Instandhouding!A8</f>
        <v>1101</v>
      </c>
      <c r="B129" s="332" t="e">
        <f>Instandhouding!#REF!</f>
        <v>#REF!</v>
      </c>
      <c r="D129" s="2"/>
      <c r="G129" s="93"/>
      <c r="H129" s="96"/>
      <c r="I129" s="93"/>
      <c r="J129" s="93"/>
      <c r="K129" s="93"/>
      <c r="L129" s="93"/>
      <c r="M129" s="93"/>
      <c r="O129" s="2"/>
      <c r="P129" s="2"/>
      <c r="Q129" s="2"/>
      <c r="R129" s="2"/>
      <c r="S129" s="2"/>
      <c r="T129" s="2"/>
      <c r="U129" s="2"/>
    </row>
    <row r="130" spans="1:21" ht="12.75">
      <c r="A130" s="34">
        <f aca="true" t="shared" si="7" ref="A130:A149">A129+1</f>
        <v>1102</v>
      </c>
      <c r="B130" s="332" t="e">
        <f>Instandhouding!#REF!</f>
        <v>#REF!</v>
      </c>
      <c r="D130" s="2"/>
      <c r="G130" s="93"/>
      <c r="H130" s="96"/>
      <c r="I130" s="93"/>
      <c r="J130" s="93"/>
      <c r="K130" s="93"/>
      <c r="L130" s="93"/>
      <c r="M130" s="93"/>
      <c r="O130" s="2"/>
      <c r="P130" s="2"/>
      <c r="Q130" s="2"/>
      <c r="R130" s="2"/>
      <c r="S130" s="2"/>
      <c r="T130" s="2"/>
      <c r="U130" s="2"/>
    </row>
    <row r="131" spans="1:21" ht="12.75">
      <c r="A131" s="34">
        <f t="shared" si="7"/>
        <v>1103</v>
      </c>
      <c r="B131" s="332" t="e">
        <f>Instandhouding!#REF!</f>
        <v>#REF!</v>
      </c>
      <c r="D131" s="2"/>
      <c r="G131" s="93"/>
      <c r="H131" s="96"/>
      <c r="I131" s="93"/>
      <c r="J131" s="93"/>
      <c r="K131" s="93"/>
      <c r="L131" s="93"/>
      <c r="M131" s="93"/>
      <c r="O131" s="2"/>
      <c r="P131" s="2"/>
      <c r="Q131" s="2"/>
      <c r="R131" s="2"/>
      <c r="S131" s="2"/>
      <c r="T131" s="2"/>
      <c r="U131" s="2"/>
    </row>
    <row r="132" spans="1:21" ht="12.75">
      <c r="A132" s="34">
        <f t="shared" si="7"/>
        <v>1104</v>
      </c>
      <c r="B132" s="332" t="e">
        <f>Instandhouding!#REF!</f>
        <v>#REF!</v>
      </c>
      <c r="D132" s="2"/>
      <c r="G132" s="93"/>
      <c r="H132" s="96"/>
      <c r="I132" s="93"/>
      <c r="J132" s="93"/>
      <c r="K132" s="93"/>
      <c r="L132" s="93"/>
      <c r="M132" s="93"/>
      <c r="O132" s="2"/>
      <c r="P132" s="2"/>
      <c r="Q132" s="2"/>
      <c r="R132" s="2"/>
      <c r="S132" s="2"/>
      <c r="T132" s="2"/>
      <c r="U132" s="2"/>
    </row>
    <row r="133" spans="1:21" ht="12.75">
      <c r="A133" s="34">
        <f t="shared" si="7"/>
        <v>1105</v>
      </c>
      <c r="B133" s="332" t="e">
        <f>Instandhouding!#REF!</f>
        <v>#REF!</v>
      </c>
      <c r="D133" s="2"/>
      <c r="G133" s="93"/>
      <c r="H133" s="96"/>
      <c r="I133" s="93"/>
      <c r="J133" s="93"/>
      <c r="K133" s="93"/>
      <c r="L133" s="93"/>
      <c r="M133" s="93"/>
      <c r="O133" s="2"/>
      <c r="P133" s="2"/>
      <c r="Q133" s="2"/>
      <c r="R133" s="2"/>
      <c r="S133" s="2"/>
      <c r="T133" s="2"/>
      <c r="U133" s="2"/>
    </row>
    <row r="134" spans="1:21" ht="12.75">
      <c r="A134" s="34">
        <f t="shared" si="7"/>
        <v>1106</v>
      </c>
      <c r="B134" s="332" t="e">
        <f>Instandhouding!#REF!</f>
        <v>#REF!</v>
      </c>
      <c r="D134" s="2"/>
      <c r="G134" s="93"/>
      <c r="H134" s="96"/>
      <c r="I134" s="93"/>
      <c r="J134" s="93"/>
      <c r="K134" s="93"/>
      <c r="L134" s="93"/>
      <c r="M134" s="93"/>
      <c r="O134" s="2"/>
      <c r="P134" s="2"/>
      <c r="Q134" s="2"/>
      <c r="R134" s="2"/>
      <c r="S134" s="2"/>
      <c r="T134" s="2"/>
      <c r="U134" s="2"/>
    </row>
    <row r="135" spans="1:21" ht="12.75">
      <c r="A135" s="34">
        <f t="shared" si="7"/>
        <v>1107</v>
      </c>
      <c r="B135" s="332" t="e">
        <f>Instandhouding!#REF!</f>
        <v>#REF!</v>
      </c>
      <c r="D135" s="2"/>
      <c r="G135" s="93"/>
      <c r="H135" s="96"/>
      <c r="I135" s="93"/>
      <c r="J135" s="93"/>
      <c r="K135" s="93"/>
      <c r="L135" s="93"/>
      <c r="M135" s="93"/>
      <c r="O135" s="2"/>
      <c r="P135" s="2"/>
      <c r="Q135" s="2"/>
      <c r="R135" s="2"/>
      <c r="S135" s="2"/>
      <c r="T135" s="2"/>
      <c r="U135" s="2"/>
    </row>
    <row r="136" spans="1:21" ht="12.75">
      <c r="A136" s="34">
        <f t="shared" si="7"/>
        <v>1108</v>
      </c>
      <c r="B136" s="332" t="e">
        <f>Instandhouding!#REF!</f>
        <v>#REF!</v>
      </c>
      <c r="D136" s="2"/>
      <c r="G136" s="93"/>
      <c r="H136" s="96"/>
      <c r="I136" s="93"/>
      <c r="J136" s="93"/>
      <c r="K136" s="93"/>
      <c r="L136" s="93"/>
      <c r="M136" s="93"/>
      <c r="O136" s="2"/>
      <c r="P136" s="2"/>
      <c r="Q136" s="2"/>
      <c r="R136" s="2"/>
      <c r="S136" s="2"/>
      <c r="T136" s="2"/>
      <c r="U136" s="2"/>
    </row>
    <row r="137" spans="1:21" ht="12.75">
      <c r="A137" s="34">
        <f t="shared" si="7"/>
        <v>1109</v>
      </c>
      <c r="B137" s="332" t="e">
        <f>Instandhouding!#REF!</f>
        <v>#REF!</v>
      </c>
      <c r="D137" s="2"/>
      <c r="G137" s="93"/>
      <c r="H137" s="96"/>
      <c r="I137" s="93"/>
      <c r="J137" s="93"/>
      <c r="K137" s="93"/>
      <c r="L137" s="93"/>
      <c r="M137" s="93"/>
      <c r="O137" s="2"/>
      <c r="P137" s="2"/>
      <c r="Q137" s="2"/>
      <c r="R137" s="2"/>
      <c r="S137" s="2"/>
      <c r="T137" s="2"/>
      <c r="U137" s="2"/>
    </row>
    <row r="138" spans="1:21" ht="12.75">
      <c r="A138" s="34">
        <f t="shared" si="7"/>
        <v>1110</v>
      </c>
      <c r="B138" s="332" t="e">
        <f>Instandhouding!#REF!</f>
        <v>#REF!</v>
      </c>
      <c r="D138" s="2"/>
      <c r="G138" s="93"/>
      <c r="H138" s="96"/>
      <c r="I138" s="93"/>
      <c r="J138" s="93"/>
      <c r="K138" s="93"/>
      <c r="L138" s="93"/>
      <c r="M138" s="93"/>
      <c r="O138" s="2"/>
      <c r="P138" s="2"/>
      <c r="Q138" s="2"/>
      <c r="R138" s="2"/>
      <c r="S138" s="2"/>
      <c r="T138" s="2"/>
      <c r="U138" s="2"/>
    </row>
    <row r="139" spans="1:21" ht="12.75">
      <c r="A139" s="34">
        <f t="shared" si="7"/>
        <v>1111</v>
      </c>
      <c r="B139" s="332" t="e">
        <f>Instandhouding!#REF!</f>
        <v>#REF!</v>
      </c>
      <c r="D139" s="2"/>
      <c r="G139" s="93"/>
      <c r="H139" s="96"/>
      <c r="I139" s="93"/>
      <c r="J139" s="93"/>
      <c r="K139" s="93"/>
      <c r="L139" s="93"/>
      <c r="M139" s="93"/>
      <c r="O139" s="2"/>
      <c r="P139" s="2"/>
      <c r="Q139" s="2"/>
      <c r="R139" s="2"/>
      <c r="S139" s="2"/>
      <c r="T139" s="2"/>
      <c r="U139" s="2"/>
    </row>
    <row r="140" spans="1:21" ht="12.75">
      <c r="A140" s="34">
        <f t="shared" si="7"/>
        <v>1112</v>
      </c>
      <c r="B140" s="332" t="e">
        <f>Instandhouding!#REF!</f>
        <v>#REF!</v>
      </c>
      <c r="D140" s="2"/>
      <c r="G140" s="93"/>
      <c r="H140" s="96"/>
      <c r="I140" s="93"/>
      <c r="J140" s="93"/>
      <c r="K140" s="93"/>
      <c r="L140" s="93"/>
      <c r="M140" s="93"/>
      <c r="O140" s="2"/>
      <c r="P140" s="2"/>
      <c r="Q140" s="2"/>
      <c r="R140" s="2"/>
      <c r="S140" s="2"/>
      <c r="T140" s="2"/>
      <c r="U140" s="2"/>
    </row>
    <row r="141" spans="1:21" ht="12.75">
      <c r="A141" s="34">
        <f t="shared" si="7"/>
        <v>1113</v>
      </c>
      <c r="B141" s="332" t="e">
        <f>Instandhouding!#REF!</f>
        <v>#REF!</v>
      </c>
      <c r="D141" s="2"/>
      <c r="G141" s="93"/>
      <c r="H141" s="96"/>
      <c r="I141" s="93"/>
      <c r="J141" s="93"/>
      <c r="K141" s="93"/>
      <c r="L141" s="93"/>
      <c r="M141" s="93"/>
      <c r="O141" s="2"/>
      <c r="P141" s="2"/>
      <c r="Q141" s="2"/>
      <c r="R141" s="2"/>
      <c r="S141" s="2"/>
      <c r="T141" s="2"/>
      <c r="U141" s="2"/>
    </row>
    <row r="142" spans="1:21" ht="12.75">
      <c r="A142" s="34">
        <f t="shared" si="7"/>
        <v>1114</v>
      </c>
      <c r="B142" s="332" t="e">
        <f>Instandhouding!#REF!</f>
        <v>#REF!</v>
      </c>
      <c r="D142" s="2"/>
      <c r="G142" s="93"/>
      <c r="H142" s="96"/>
      <c r="I142" s="93"/>
      <c r="J142" s="93"/>
      <c r="K142" s="93"/>
      <c r="L142" s="93"/>
      <c r="M142" s="93"/>
      <c r="O142" s="2"/>
      <c r="P142" s="2"/>
      <c r="Q142" s="2"/>
      <c r="R142" s="2"/>
      <c r="S142" s="2"/>
      <c r="T142" s="2"/>
      <c r="U142" s="2"/>
    </row>
    <row r="143" spans="1:21" ht="12.75">
      <c r="A143" s="34">
        <f t="shared" si="7"/>
        <v>1115</v>
      </c>
      <c r="B143" s="332" t="e">
        <f>Instandhouding!#REF!</f>
        <v>#REF!</v>
      </c>
      <c r="D143" s="2"/>
      <c r="G143" s="93"/>
      <c r="H143" s="96"/>
      <c r="I143" s="93"/>
      <c r="J143" s="93"/>
      <c r="K143" s="93"/>
      <c r="L143" s="93"/>
      <c r="M143" s="93"/>
      <c r="O143" s="2"/>
      <c r="P143" s="2"/>
      <c r="Q143" s="2"/>
      <c r="R143" s="2"/>
      <c r="S143" s="2"/>
      <c r="T143" s="2"/>
      <c r="U143" s="2"/>
    </row>
    <row r="144" spans="1:21" ht="12.75">
      <c r="A144" s="34">
        <f t="shared" si="7"/>
        <v>1116</v>
      </c>
      <c r="B144" s="332" t="e">
        <f>Instandhouding!#REF!</f>
        <v>#REF!</v>
      </c>
      <c r="D144" s="2"/>
      <c r="G144" s="93"/>
      <c r="H144" s="96"/>
      <c r="I144" s="93"/>
      <c r="J144" s="93"/>
      <c r="K144" s="93"/>
      <c r="L144" s="93"/>
      <c r="M144" s="93"/>
      <c r="O144" s="2"/>
      <c r="P144" s="2"/>
      <c r="Q144" s="2"/>
      <c r="R144" s="2"/>
      <c r="S144" s="2"/>
      <c r="T144" s="2"/>
      <c r="U144" s="2"/>
    </row>
    <row r="145" spans="1:21" ht="12.75">
      <c r="A145" s="34">
        <f t="shared" si="7"/>
        <v>1117</v>
      </c>
      <c r="B145" s="332" t="e">
        <f>Instandhouding!#REF!</f>
        <v>#REF!</v>
      </c>
      <c r="D145" s="2"/>
      <c r="G145" s="93"/>
      <c r="H145" s="96"/>
      <c r="I145" s="93"/>
      <c r="J145" s="93"/>
      <c r="K145" s="93"/>
      <c r="L145" s="93"/>
      <c r="M145" s="93"/>
      <c r="O145" s="2"/>
      <c r="P145" s="2"/>
      <c r="Q145" s="2"/>
      <c r="R145" s="2"/>
      <c r="S145" s="2"/>
      <c r="T145" s="2"/>
      <c r="U145" s="2"/>
    </row>
    <row r="146" spans="1:21" ht="12.75">
      <c r="A146" s="34">
        <f t="shared" si="7"/>
        <v>1118</v>
      </c>
      <c r="B146" s="332" t="e">
        <f>Instandhouding!#REF!</f>
        <v>#REF!</v>
      </c>
      <c r="D146" s="2"/>
      <c r="G146" s="93"/>
      <c r="H146" s="96"/>
      <c r="I146" s="93"/>
      <c r="J146" s="93"/>
      <c r="K146" s="93"/>
      <c r="L146" s="93"/>
      <c r="M146" s="93"/>
      <c r="O146" s="2"/>
      <c r="P146" s="2"/>
      <c r="Q146" s="2"/>
      <c r="R146" s="2"/>
      <c r="S146" s="2"/>
      <c r="T146" s="2"/>
      <c r="U146" s="2"/>
    </row>
    <row r="147" spans="1:21" ht="12.75">
      <c r="A147" s="34">
        <f t="shared" si="7"/>
        <v>1119</v>
      </c>
      <c r="B147" s="332" t="e">
        <f>Instandhouding!#REF!</f>
        <v>#REF!</v>
      </c>
      <c r="D147" s="2"/>
      <c r="G147" s="93"/>
      <c r="H147" s="96"/>
      <c r="I147" s="93"/>
      <c r="J147" s="93"/>
      <c r="K147" s="93"/>
      <c r="L147" s="93"/>
      <c r="M147" s="93"/>
      <c r="O147" s="2"/>
      <c r="P147" s="2"/>
      <c r="Q147" s="2"/>
      <c r="R147" s="2"/>
      <c r="S147" s="2"/>
      <c r="T147" s="2"/>
      <c r="U147" s="2"/>
    </row>
    <row r="148" spans="1:21" ht="12.75">
      <c r="A148" s="54">
        <f t="shared" si="7"/>
        <v>1120</v>
      </c>
      <c r="B148" s="332" t="e">
        <f>Instandhouding!#REF!</f>
        <v>#REF!</v>
      </c>
      <c r="D148" s="2"/>
      <c r="G148" s="93"/>
      <c r="H148" s="96"/>
      <c r="I148" s="93"/>
      <c r="J148" s="93"/>
      <c r="K148" s="93"/>
      <c r="L148" s="93"/>
      <c r="M148" s="93"/>
      <c r="O148" s="2"/>
      <c r="P148" s="2"/>
      <c r="Q148" s="2"/>
      <c r="R148" s="2"/>
      <c r="S148" s="2"/>
      <c r="T148" s="2"/>
      <c r="U148" s="2"/>
    </row>
    <row r="149" spans="1:21" ht="12.75">
      <c r="A149" s="37">
        <f t="shared" si="7"/>
        <v>1121</v>
      </c>
      <c r="B149" s="292"/>
      <c r="D149" s="2"/>
      <c r="G149" s="93"/>
      <c r="H149" s="96"/>
      <c r="I149" s="93"/>
      <c r="J149" s="93"/>
      <c r="K149" s="93"/>
      <c r="L149" s="93"/>
      <c r="M149" s="93"/>
      <c r="O149" s="2"/>
      <c r="P149" s="2"/>
      <c r="Q149" s="2"/>
      <c r="R149" s="2"/>
      <c r="S149" s="2"/>
      <c r="T149" s="2"/>
      <c r="U149" s="2"/>
    </row>
    <row r="150" spans="1:10" ht="12.75">
      <c r="A150" s="41"/>
      <c r="B150" s="42"/>
      <c r="C150" s="42"/>
      <c r="D150" s="42"/>
      <c r="E150" s="42"/>
      <c r="F150" s="42"/>
      <c r="G150" s="42"/>
      <c r="H150" s="42"/>
      <c r="I150" s="42"/>
      <c r="J150" s="42"/>
    </row>
    <row r="151" spans="1:10" ht="12.75">
      <c r="A151" s="14" t="s">
        <v>55</v>
      </c>
      <c r="B151" s="15"/>
      <c r="C151" s="137"/>
      <c r="D151" s="15"/>
      <c r="E151" s="5"/>
      <c r="F151" s="138"/>
      <c r="G151" s="15"/>
      <c r="H151" s="15"/>
      <c r="J151" s="2"/>
    </row>
    <row r="152" spans="2:8" ht="12.75">
      <c r="B152" s="15"/>
      <c r="C152" s="15"/>
      <c r="D152" s="15"/>
      <c r="E152" s="139"/>
      <c r="F152" s="140"/>
      <c r="G152" s="139"/>
      <c r="H152" s="139"/>
    </row>
    <row r="153" spans="1:8" ht="12.75">
      <c r="A153" s="200"/>
      <c r="B153" s="201"/>
      <c r="C153" s="202" t="s">
        <v>436</v>
      </c>
      <c r="D153" s="276" t="s">
        <v>371</v>
      </c>
      <c r="E153" s="277"/>
      <c r="F153" s="198" t="s">
        <v>440</v>
      </c>
      <c r="G153" s="203"/>
      <c r="H153" s="200"/>
    </row>
    <row r="154" spans="1:8" ht="12.75">
      <c r="A154" s="201"/>
      <c r="B154" s="204"/>
      <c r="C154" s="205" t="s">
        <v>437</v>
      </c>
      <c r="D154" s="206" t="s">
        <v>363</v>
      </c>
      <c r="E154" s="108" t="s">
        <v>393</v>
      </c>
      <c r="F154" s="109"/>
      <c r="G154" s="203"/>
      <c r="H154" s="203"/>
    </row>
    <row r="155" spans="1:8" ht="12.75">
      <c r="A155" s="64"/>
      <c r="B155" s="65"/>
      <c r="C155" s="66"/>
      <c r="D155" s="162" t="s">
        <v>384</v>
      </c>
      <c r="E155" s="67"/>
      <c r="F155" s="65"/>
      <c r="G155" s="64"/>
      <c r="H155" s="68"/>
    </row>
    <row r="156" spans="1:8" ht="12.75">
      <c r="A156" s="47" t="s">
        <v>87</v>
      </c>
      <c r="B156" s="14" t="s">
        <v>383</v>
      </c>
      <c r="C156" s="90"/>
      <c r="D156" s="333"/>
      <c r="E156" s="146"/>
      <c r="F156" s="84"/>
      <c r="G156" s="84"/>
      <c r="H156" s="45"/>
    </row>
    <row r="157" spans="1:8" ht="12.75">
      <c r="A157" s="31" t="e">
        <f>#REF!</f>
        <v>#REF!</v>
      </c>
      <c r="B157" s="334"/>
      <c r="C157" s="335"/>
      <c r="D157" s="141"/>
      <c r="E157" s="332" t="e">
        <f>#REF!</f>
        <v>#REF!</v>
      </c>
      <c r="F157" s="336"/>
      <c r="G157" s="58"/>
      <c r="H157" s="337" t="s">
        <v>357</v>
      </c>
    </row>
    <row r="158" spans="1:8" ht="12.75">
      <c r="A158" s="34" t="e">
        <f aca="true" t="shared" si="8" ref="A158:A171">A157+1</f>
        <v>#REF!</v>
      </c>
      <c r="B158" s="334"/>
      <c r="C158" s="335"/>
      <c r="D158" s="143"/>
      <c r="E158" s="338"/>
      <c r="F158" s="336"/>
      <c r="G158" s="58"/>
      <c r="H158" s="225"/>
    </row>
    <row r="159" spans="1:8" ht="12.75">
      <c r="A159" s="81" t="e">
        <f t="shared" si="8"/>
        <v>#REF!</v>
      </c>
      <c r="B159" s="334"/>
      <c r="C159" s="336"/>
      <c r="D159" s="141"/>
      <c r="E159" s="267" t="e">
        <f>#REF!</f>
        <v>#REF!</v>
      </c>
      <c r="F159" s="336"/>
      <c r="G159" s="309"/>
      <c r="H159" s="337" t="s">
        <v>358</v>
      </c>
    </row>
    <row r="160" spans="1:8" ht="12.75">
      <c r="A160" s="34" t="e">
        <f t="shared" si="8"/>
        <v>#REF!</v>
      </c>
      <c r="B160" s="339"/>
      <c r="C160" s="239"/>
      <c r="D160" s="141"/>
      <c r="E160" s="340" t="e">
        <f>#REF!</f>
        <v>#REF!</v>
      </c>
      <c r="F160" s="341"/>
      <c r="G160" s="58"/>
      <c r="H160" s="337" t="s">
        <v>359</v>
      </c>
    </row>
    <row r="161" spans="1:8" ht="12.75">
      <c r="A161" s="34" t="e">
        <f t="shared" si="8"/>
        <v>#REF!</v>
      </c>
      <c r="B161" s="334"/>
      <c r="C161" s="335"/>
      <c r="D161" s="142"/>
      <c r="E161" s="332" t="e">
        <f>#REF!</f>
        <v>#REF!</v>
      </c>
      <c r="F161" s="336"/>
      <c r="G161" s="58"/>
      <c r="H161" s="337" t="s">
        <v>360</v>
      </c>
    </row>
    <row r="162" spans="1:8" ht="12.75">
      <c r="A162" s="35" t="e">
        <f t="shared" si="8"/>
        <v>#REF!</v>
      </c>
      <c r="B162" s="342"/>
      <c r="C162" s="239"/>
      <c r="D162" s="142"/>
      <c r="E162" s="340" t="e">
        <f>#REF!</f>
        <v>#REF!</v>
      </c>
      <c r="F162" s="341"/>
      <c r="G162" s="58"/>
      <c r="H162" s="337" t="s">
        <v>80</v>
      </c>
    </row>
    <row r="163" spans="1:8" ht="12.75">
      <c r="A163" s="34" t="e">
        <f t="shared" si="8"/>
        <v>#REF!</v>
      </c>
      <c r="B163" s="334"/>
      <c r="C163" s="343" t="e">
        <f>#REF!</f>
        <v>#REF!</v>
      </c>
      <c r="D163" s="143"/>
      <c r="E163" s="338"/>
      <c r="F163" s="336"/>
      <c r="G163" s="58"/>
      <c r="H163" s="337" t="s">
        <v>361</v>
      </c>
    </row>
    <row r="164" spans="1:8" ht="12.75">
      <c r="A164" s="34" t="e">
        <f t="shared" si="8"/>
        <v>#REF!</v>
      </c>
      <c r="B164" s="334"/>
      <c r="C164" s="343" t="e">
        <f>#REF!</f>
        <v>#REF!</v>
      </c>
      <c r="D164" s="142"/>
      <c r="E164" s="332" t="e">
        <f>#REF!</f>
        <v>#REF!</v>
      </c>
      <c r="F164" s="336"/>
      <c r="G164" s="58"/>
      <c r="H164" s="337" t="s">
        <v>368</v>
      </c>
    </row>
    <row r="165" spans="1:8" ht="12.75">
      <c r="A165" s="34" t="e">
        <f t="shared" si="8"/>
        <v>#REF!</v>
      </c>
      <c r="B165" s="334"/>
      <c r="C165" s="343" t="e">
        <f>#REF!</f>
        <v>#REF!</v>
      </c>
      <c r="D165" s="141"/>
      <c r="E165" s="332" t="e">
        <f>#REF!</f>
        <v>#REF!</v>
      </c>
      <c r="F165" s="336"/>
      <c r="G165" s="58"/>
      <c r="H165" s="337" t="s">
        <v>362</v>
      </c>
    </row>
    <row r="166" spans="1:8" ht="12.75">
      <c r="A166" s="35" t="e">
        <f t="shared" si="8"/>
        <v>#REF!</v>
      </c>
      <c r="B166" s="177"/>
      <c r="C166" s="343" t="e">
        <f>#REF!</f>
        <v>#REF!</v>
      </c>
      <c r="D166" s="144"/>
      <c r="E166" s="338"/>
      <c r="F166" s="336"/>
      <c r="G166" s="58"/>
      <c r="H166" s="45"/>
    </row>
    <row r="167" spans="1:8" ht="12.75">
      <c r="A167" s="37" t="e">
        <f t="shared" si="8"/>
        <v>#REF!</v>
      </c>
      <c r="B167" s="61"/>
      <c r="C167" s="344"/>
      <c r="D167" s="186"/>
      <c r="E167" s="344"/>
      <c r="F167" s="344"/>
      <c r="G167" s="345"/>
      <c r="H167" s="45"/>
    </row>
    <row r="168" spans="1:8" ht="12.75">
      <c r="A168" s="188" t="e">
        <f t="shared" si="8"/>
        <v>#REF!</v>
      </c>
      <c r="B168" s="84"/>
      <c r="C168" s="346"/>
      <c r="D168" s="187"/>
      <c r="E168" s="280" t="e">
        <f>#REF!</f>
        <v>#REF!</v>
      </c>
      <c r="F168" s="281" t="e">
        <f>#REF!</f>
        <v>#REF!</v>
      </c>
      <c r="G168" s="345"/>
      <c r="H168" s="45"/>
    </row>
    <row r="169" spans="1:8" ht="12.75">
      <c r="A169" s="37" t="e">
        <f t="shared" si="8"/>
        <v>#REF!</v>
      </c>
      <c r="B169" s="60"/>
      <c r="C169" s="347"/>
      <c r="D169" s="145"/>
      <c r="E169" s="347"/>
      <c r="F169" s="348"/>
      <c r="G169" s="345"/>
      <c r="H169" s="45"/>
    </row>
    <row r="170" spans="1:8" ht="12.75">
      <c r="A170" s="188" t="e">
        <f t="shared" si="8"/>
        <v>#REF!</v>
      </c>
      <c r="B170" s="134"/>
      <c r="C170" s="349"/>
      <c r="D170" s="189"/>
      <c r="E170" s="350"/>
      <c r="F170" s="336"/>
      <c r="G170" s="345"/>
      <c r="H170" s="45"/>
    </row>
    <row r="171" spans="1:8" ht="12.75">
      <c r="A171" s="188" t="e">
        <f t="shared" si="8"/>
        <v>#REF!</v>
      </c>
      <c r="B171" s="134"/>
      <c r="C171" s="349"/>
      <c r="D171" s="189"/>
      <c r="E171" s="350"/>
      <c r="F171" s="341"/>
      <c r="G171" s="345"/>
      <c r="H171" s="337" t="s">
        <v>84</v>
      </c>
    </row>
    <row r="172" spans="1:8" ht="12.75">
      <c r="A172" s="90"/>
      <c r="B172" s="90"/>
      <c r="C172" s="146"/>
      <c r="D172" s="147"/>
      <c r="E172" s="163"/>
      <c r="F172" s="163"/>
      <c r="G172" s="90"/>
      <c r="H172" s="45"/>
    </row>
    <row r="173" spans="1:8" s="11" customFormat="1" ht="12.75" customHeight="1">
      <c r="A173" s="260"/>
      <c r="B173" s="232"/>
      <c r="C173" s="233" t="s">
        <v>442</v>
      </c>
      <c r="D173" s="278" t="s">
        <v>443</v>
      </c>
      <c r="E173" s="279"/>
      <c r="F173" s="108" t="s">
        <v>440</v>
      </c>
      <c r="G173" s="234"/>
      <c r="H173" s="235"/>
    </row>
    <row r="174" spans="1:8" s="42" customFormat="1" ht="12.75" customHeight="1">
      <c r="A174" s="21"/>
      <c r="B174" s="232"/>
      <c r="C174" s="241"/>
      <c r="D174" s="242"/>
      <c r="E174" s="242"/>
      <c r="F174" s="243"/>
      <c r="G174" s="234"/>
      <c r="H174" s="235"/>
    </row>
    <row r="175" spans="1:8" s="42" customFormat="1" ht="12.75" customHeight="1">
      <c r="A175" s="47" t="s">
        <v>88</v>
      </c>
      <c r="B175" s="14" t="s">
        <v>388</v>
      </c>
      <c r="C175" s="90"/>
      <c r="D175" s="147"/>
      <c r="E175" s="90"/>
      <c r="F175" s="90"/>
      <c r="G175" s="90"/>
      <c r="H175" s="45"/>
    </row>
    <row r="176" spans="1:8" s="42" customFormat="1" ht="12.75" customHeight="1">
      <c r="A176" s="31" t="e">
        <f>A171+1</f>
        <v>#REF!</v>
      </c>
      <c r="B176" s="121"/>
      <c r="C176" s="239"/>
      <c r="D176" s="351"/>
      <c r="E176" s="352"/>
      <c r="F176" s="341"/>
      <c r="G176" s="84"/>
      <c r="H176" s="337" t="e">
        <f>CONCATENATE("IJ",RIGHT(#REF!,2))</f>
        <v>#REF!</v>
      </c>
    </row>
    <row r="177" spans="1:8" s="42" customFormat="1" ht="12.75" customHeight="1">
      <c r="A177" s="34" t="e">
        <f>A176+1</f>
        <v>#REF!</v>
      </c>
      <c r="B177" s="121"/>
      <c r="C177" s="148"/>
      <c r="D177" s="149"/>
      <c r="E177" s="353"/>
      <c r="F177" s="354"/>
      <c r="G177" s="84"/>
      <c r="H177" s="337" t="e">
        <f>CONCATENATE("IV",RIGHT(#REF!,2))</f>
        <v>#REF!</v>
      </c>
    </row>
    <row r="178" spans="1:8" s="42" customFormat="1" ht="12.75" customHeight="1">
      <c r="A178" s="54" t="e">
        <f>A177+1</f>
        <v>#REF!</v>
      </c>
      <c r="B178" s="121"/>
      <c r="C178" s="239"/>
      <c r="D178" s="351"/>
      <c r="E178" s="239"/>
      <c r="F178" s="341"/>
      <c r="G178" s="84"/>
      <c r="H178" s="337" t="e">
        <f>CONCATENATE("IT",RIGHT(#REF!,2))</f>
        <v>#REF!</v>
      </c>
    </row>
    <row r="179" spans="1:8" s="42" customFormat="1" ht="12.75" customHeight="1">
      <c r="A179" s="14"/>
      <c r="B179" s="90"/>
      <c r="C179" s="150"/>
      <c r="D179" s="151"/>
      <c r="E179" s="355"/>
      <c r="F179" s="355"/>
      <c r="G179" s="84"/>
      <c r="H179" s="225"/>
    </row>
    <row r="180" spans="1:8" ht="12.75">
      <c r="A180" s="47" t="s">
        <v>89</v>
      </c>
      <c r="B180" s="41" t="s">
        <v>34</v>
      </c>
      <c r="C180" s="157"/>
      <c r="D180" s="42"/>
      <c r="E180" s="42"/>
      <c r="F180" s="356"/>
      <c r="G180" s="356"/>
      <c r="H180" s="47"/>
    </row>
    <row r="181" spans="1:8" ht="12.75">
      <c r="A181" s="31" t="e">
        <f>A178+1</f>
        <v>#REF!</v>
      </c>
      <c r="B181" s="357"/>
      <c r="C181" s="152"/>
      <c r="D181" s="358"/>
      <c r="E181" s="359"/>
      <c r="F181" s="332" t="e">
        <f>#REF!</f>
        <v>#REF!</v>
      </c>
      <c r="G181" s="84"/>
      <c r="H181" s="337" t="s">
        <v>386</v>
      </c>
    </row>
    <row r="182" spans="1:8" ht="12.75">
      <c r="A182" s="35" t="e">
        <f>A181+1</f>
        <v>#REF!</v>
      </c>
      <c r="B182" s="357"/>
      <c r="C182" s="153"/>
      <c r="D182" s="360"/>
      <c r="E182" s="361"/>
      <c r="F182" s="336"/>
      <c r="G182" s="84"/>
      <c r="H182" s="337" t="s">
        <v>386</v>
      </c>
    </row>
    <row r="183" spans="1:8" ht="12.75">
      <c r="A183" s="37" t="e">
        <f>A182+1</f>
        <v>#REF!</v>
      </c>
      <c r="B183" s="362"/>
      <c r="C183" s="154"/>
      <c r="D183" s="363"/>
      <c r="E183" s="364"/>
      <c r="F183" s="365"/>
      <c r="G183" s="225"/>
      <c r="H183" s="225"/>
    </row>
    <row r="184" spans="1:8" ht="12.75">
      <c r="A184" s="41"/>
      <c r="B184" s="42"/>
      <c r="C184" s="147"/>
      <c r="D184" s="42"/>
      <c r="E184" s="42"/>
      <c r="F184" s="42"/>
      <c r="G184" s="42"/>
      <c r="H184" s="47"/>
    </row>
    <row r="185" spans="1:8" ht="12.75">
      <c r="A185" s="37" t="e">
        <f>A183+1</f>
        <v>#REF!</v>
      </c>
      <c r="B185" s="362"/>
      <c r="C185" s="154"/>
      <c r="D185" s="363"/>
      <c r="E185" s="364"/>
      <c r="F185" s="365">
        <f>F167-F171+F183</f>
        <v>0</v>
      </c>
      <c r="G185" s="42"/>
      <c r="H185" s="47"/>
    </row>
    <row r="186" spans="1:8" ht="12.75">
      <c r="A186" s="41"/>
      <c r="B186" s="42"/>
      <c r="C186" s="42"/>
      <c r="D186" s="147"/>
      <c r="E186" s="42"/>
      <c r="F186" s="42"/>
      <c r="G186" s="42"/>
      <c r="H186" s="47"/>
    </row>
    <row r="187" spans="1:8" ht="12.75">
      <c r="A187" s="41"/>
      <c r="B187" s="42"/>
      <c r="C187" s="42"/>
      <c r="D187" s="147"/>
      <c r="E187" s="42"/>
      <c r="F187" s="42"/>
      <c r="G187" s="42"/>
      <c r="H187" s="47"/>
    </row>
    <row r="188" spans="1:8" ht="12.75">
      <c r="A188" s="14" t="s">
        <v>73</v>
      </c>
      <c r="B188" s="15"/>
      <c r="C188" s="15"/>
      <c r="D188" s="137"/>
      <c r="E188" s="5"/>
      <c r="F188" s="138"/>
      <c r="G188" s="42"/>
      <c r="H188" s="47"/>
    </row>
    <row r="189" spans="2:6" ht="12.75">
      <c r="B189" s="15"/>
      <c r="C189" s="15"/>
      <c r="D189" s="15"/>
      <c r="E189" s="139"/>
      <c r="F189" s="140"/>
    </row>
    <row r="190" spans="1:6" ht="12.75">
      <c r="A190" s="64"/>
      <c r="B190" s="366"/>
      <c r="C190" s="118"/>
      <c r="D190" s="207" t="e">
        <f>CONCATENATE("Jaarrekening ",#REF!-1," ")</f>
        <v>#REF!</v>
      </c>
      <c r="E190" s="207" t="e">
        <f>CONCATENATE("Jaarrekening ",#REF!," ")</f>
        <v>#REF!</v>
      </c>
      <c r="F190" s="207" t="s">
        <v>440</v>
      </c>
    </row>
    <row r="191" spans="1:6" ht="12.75">
      <c r="A191" s="83"/>
      <c r="B191" s="325"/>
      <c r="C191" s="156"/>
      <c r="D191" s="111"/>
      <c r="E191" s="156"/>
      <c r="F191" s="113"/>
    </row>
    <row r="192" spans="1:6" ht="12.75">
      <c r="A192" s="47" t="s">
        <v>441</v>
      </c>
      <c r="B192" s="14" t="s">
        <v>385</v>
      </c>
      <c r="C192" s="147"/>
      <c r="D192" s="90"/>
      <c r="E192" s="90"/>
      <c r="F192" s="90"/>
    </row>
    <row r="193" spans="1:6" ht="12.75">
      <c r="A193" s="31" t="e">
        <f>'Rentecalc.'!#REF!</f>
        <v>#REF!</v>
      </c>
      <c r="B193" s="357"/>
      <c r="C193" s="158"/>
      <c r="D193" s="358"/>
      <c r="E193" s="359"/>
      <c r="F193" s="367">
        <f>Uitvoer!F169</f>
        <v>0</v>
      </c>
    </row>
    <row r="194" spans="1:6" ht="12.75">
      <c r="A194" s="34" t="e">
        <f>A193+1</f>
        <v>#REF!</v>
      </c>
      <c r="B194" s="368"/>
      <c r="C194" s="158"/>
      <c r="D194" s="358"/>
      <c r="E194" s="267" t="e">
        <f>'Rentecalc.'!#REF!</f>
        <v>#REF!</v>
      </c>
      <c r="F194" s="369"/>
    </row>
    <row r="195" spans="1:6" ht="12.75">
      <c r="A195" s="34" t="e">
        <f>A194+1</f>
        <v>#REF!</v>
      </c>
      <c r="B195" s="368"/>
      <c r="C195" s="158"/>
      <c r="D195" s="358"/>
      <c r="E195" s="336"/>
      <c r="F195" s="369"/>
    </row>
    <row r="196" spans="1:6" ht="12.75">
      <c r="A196" s="35" t="e">
        <f>A195+1</f>
        <v>#REF!</v>
      </c>
      <c r="B196" s="370"/>
      <c r="C196" s="224"/>
      <c r="D196" s="371"/>
      <c r="E196" s="372"/>
      <c r="F196" s="244"/>
    </row>
    <row r="197" spans="1:6" ht="12.75">
      <c r="A197" s="37" t="e">
        <f>A196+1</f>
        <v>#REF!</v>
      </c>
      <c r="B197" s="362"/>
      <c r="C197" s="154"/>
      <c r="D197" s="373"/>
      <c r="E197" s="374"/>
      <c r="F197" s="292"/>
    </row>
    <row r="198" spans="1:6" ht="12.75">
      <c r="A198" s="41"/>
      <c r="B198" s="42"/>
      <c r="C198" s="147"/>
      <c r="D198" s="42"/>
      <c r="E198" s="42"/>
      <c r="F198" s="42"/>
    </row>
    <row r="199" spans="1:6" ht="12.75">
      <c r="A199" s="47" t="s">
        <v>32</v>
      </c>
      <c r="B199" s="14"/>
      <c r="C199" s="147"/>
      <c r="D199" s="42"/>
      <c r="E199" s="42"/>
      <c r="F199" s="42"/>
    </row>
    <row r="200" spans="1:6" ht="12.75">
      <c r="A200" s="31" t="e">
        <f>A197+1</f>
        <v>#REF!</v>
      </c>
      <c r="B200" s="357"/>
      <c r="C200" s="375"/>
      <c r="D200" s="270" t="e">
        <f>'Rentecalc.'!#REF!</f>
        <v>#REF!</v>
      </c>
      <c r="E200" s="270" t="e">
        <f>'Rentecalc.'!#REF!</f>
        <v>#REF!</v>
      </c>
      <c r="F200" s="367"/>
    </row>
    <row r="201" spans="1:6" ht="12.75">
      <c r="A201" s="34" t="e">
        <f aca="true" t="shared" si="9" ref="A201:A208">A200+1</f>
        <v>#REF!</v>
      </c>
      <c r="B201" s="357"/>
      <c r="C201" s="375"/>
      <c r="D201" s="270" t="e">
        <f>'Rentecalc.'!#REF!</f>
        <v>#REF!</v>
      </c>
      <c r="E201" s="270" t="e">
        <f>'Rentecalc.'!#REF!</f>
        <v>#REF!</v>
      </c>
      <c r="F201" s="367"/>
    </row>
    <row r="202" spans="1:6" ht="12.75">
      <c r="A202" s="34" t="e">
        <f t="shared" si="9"/>
        <v>#REF!</v>
      </c>
      <c r="B202" s="357"/>
      <c r="C202" s="375"/>
      <c r="D202" s="270" t="e">
        <f>'Rentecalc.'!#REF!</f>
        <v>#REF!</v>
      </c>
      <c r="E202" s="270" t="e">
        <f>'Rentecalc.'!#REF!</f>
        <v>#REF!</v>
      </c>
      <c r="F202" s="367"/>
    </row>
    <row r="203" spans="1:6" ht="12.75">
      <c r="A203" s="34" t="e">
        <f t="shared" si="9"/>
        <v>#REF!</v>
      </c>
      <c r="B203" s="357"/>
      <c r="C203" s="375"/>
      <c r="D203" s="270" t="e">
        <f>'Rentecalc.'!#REF!</f>
        <v>#REF!</v>
      </c>
      <c r="E203" s="270" t="e">
        <f>'Rentecalc.'!#REF!</f>
        <v>#REF!</v>
      </c>
      <c r="F203" s="367"/>
    </row>
    <row r="204" spans="1:6" ht="12.75">
      <c r="A204" s="35" t="e">
        <f t="shared" si="9"/>
        <v>#REF!</v>
      </c>
      <c r="B204" s="240"/>
      <c r="C204" s="265"/>
      <c r="D204" s="270" t="e">
        <f>'Rentecalc.'!#REF!</f>
        <v>#REF!</v>
      </c>
      <c r="E204" s="270" t="e">
        <f>'Rentecalc.'!#REF!</f>
        <v>#REF!</v>
      </c>
      <c r="F204" s="367"/>
    </row>
    <row r="205" spans="1:6" ht="12.75">
      <c r="A205" s="37" t="e">
        <f t="shared" si="9"/>
        <v>#REF!</v>
      </c>
      <c r="B205" s="362"/>
      <c r="C205" s="154"/>
      <c r="D205" s="373"/>
      <c r="E205" s="374"/>
      <c r="F205" s="365"/>
    </row>
    <row r="206" spans="1:6" ht="12.75">
      <c r="A206" s="34" t="e">
        <f t="shared" si="9"/>
        <v>#REF!</v>
      </c>
      <c r="B206" s="357"/>
      <c r="C206" s="376"/>
      <c r="D206" s="377"/>
      <c r="E206" s="378"/>
      <c r="F206" s="367"/>
    </row>
    <row r="207" spans="1:6" ht="12.75">
      <c r="A207" s="35" t="e">
        <f t="shared" si="9"/>
        <v>#REF!</v>
      </c>
      <c r="B207" s="240"/>
      <c r="C207" s="265"/>
      <c r="D207" s="379"/>
      <c r="E207" s="380"/>
      <c r="F207" s="270">
        <f>'Rentecalc.'!F24</f>
        <v>0</v>
      </c>
    </row>
    <row r="208" spans="1:6" ht="12.75">
      <c r="A208" s="37" t="e">
        <f t="shared" si="9"/>
        <v>#REF!</v>
      </c>
      <c r="B208" s="362"/>
      <c r="C208" s="154"/>
      <c r="D208" s="373"/>
      <c r="E208" s="374"/>
      <c r="F208" s="365">
        <f>F197</f>
        <v>0</v>
      </c>
    </row>
    <row r="209" spans="2:6" ht="12.75">
      <c r="B209" s="93"/>
      <c r="C209" s="155"/>
      <c r="D209" s="93"/>
      <c r="E209" s="93"/>
      <c r="F209" s="93"/>
    </row>
    <row r="210" spans="1:6" ht="12.75">
      <c r="A210" s="47" t="s">
        <v>33</v>
      </c>
      <c r="B210" s="231" t="s">
        <v>83</v>
      </c>
      <c r="C210" s="147"/>
      <c r="D210" s="90"/>
      <c r="E210" s="90"/>
      <c r="F210" s="90"/>
    </row>
    <row r="211" spans="1:6" ht="12.75">
      <c r="A211" s="31" t="e">
        <f>A208+1</f>
        <v>#REF!</v>
      </c>
      <c r="B211" s="381"/>
      <c r="C211" s="158"/>
      <c r="D211" s="270" t="e">
        <f>'Rentecalc.'!#REF!</f>
        <v>#REF!</v>
      </c>
      <c r="E211" s="270" t="e">
        <f>'Rentecalc.'!#REF!</f>
        <v>#REF!</v>
      </c>
      <c r="F211" s="336"/>
    </row>
    <row r="212" spans="1:6" ht="12.75">
      <c r="A212" s="34" t="e">
        <f>A211+1</f>
        <v>#REF!</v>
      </c>
      <c r="B212" s="382"/>
      <c r="C212" s="158"/>
      <c r="D212" s="267" t="e">
        <f>'Rentecalc.'!#REF!</f>
        <v>#REF!</v>
      </c>
      <c r="E212" s="383"/>
      <c r="F212" s="42"/>
    </row>
    <row r="213" spans="1:6" ht="12.75">
      <c r="A213" s="81" t="e">
        <f>A212+1</f>
        <v>#REF!</v>
      </c>
      <c r="B213" s="382"/>
      <c r="C213" s="228"/>
      <c r="D213" s="384"/>
      <c r="E213" s="90"/>
      <c r="F213" s="42"/>
    </row>
    <row r="214" spans="1:6" ht="12.75">
      <c r="A214" s="37" t="e">
        <f>A213+1</f>
        <v>#REF!</v>
      </c>
      <c r="B214" s="385"/>
      <c r="C214" s="154"/>
      <c r="D214" s="229"/>
      <c r="E214" s="386"/>
      <c r="F214" s="263"/>
    </row>
    <row r="215" spans="1:6" ht="12.75">
      <c r="A215" s="227"/>
      <c r="B215" s="93"/>
      <c r="C215" s="155"/>
      <c r="D215" s="93"/>
      <c r="E215" s="93"/>
      <c r="F215" s="93"/>
    </row>
    <row r="216" spans="2:6" ht="12.75">
      <c r="B216" s="93"/>
      <c r="C216" s="155"/>
      <c r="D216" s="93"/>
      <c r="E216" s="93"/>
      <c r="F216" s="93"/>
    </row>
    <row r="217" spans="1:8" ht="12.75">
      <c r="A217" s="14" t="s">
        <v>90</v>
      </c>
      <c r="B217" s="42"/>
      <c r="C217" s="42"/>
      <c r="D217" s="42"/>
      <c r="E217" s="42"/>
      <c r="F217" s="42"/>
      <c r="G217" s="42"/>
      <c r="H217" s="42"/>
    </row>
    <row r="218" spans="1:8" ht="12.75">
      <c r="A218" s="41"/>
      <c r="B218" s="42"/>
      <c r="C218" s="42"/>
      <c r="D218" s="42"/>
      <c r="E218" s="42"/>
      <c r="F218" s="42"/>
      <c r="G218" s="42"/>
      <c r="H218" s="42"/>
    </row>
    <row r="219" spans="1:21" ht="12.75" customHeight="1">
      <c r="A219" s="21"/>
      <c r="B219" s="208"/>
      <c r="C219" s="105" t="s">
        <v>444</v>
      </c>
      <c r="D219" s="209" t="s">
        <v>445</v>
      </c>
      <c r="E219" s="299"/>
      <c r="G219" s="5"/>
      <c r="H219" s="2"/>
      <c r="J219" s="2"/>
      <c r="L219" s="93"/>
      <c r="M219" s="96"/>
      <c r="N219" s="93"/>
      <c r="P219" s="93"/>
      <c r="S219" s="2"/>
      <c r="T219" s="2"/>
      <c r="U219" s="2"/>
    </row>
    <row r="220" spans="1:21" ht="12.75">
      <c r="A220" s="21"/>
      <c r="B220" s="208"/>
      <c r="C220" s="109"/>
      <c r="D220" s="109" t="e">
        <f>CONCATENATE(#REF!-1,"* ")</f>
        <v>#REF!</v>
      </c>
      <c r="E220" s="109" t="e">
        <f>CONCATENATE("Mutaties ",#REF!," ")</f>
        <v>#REF!</v>
      </c>
      <c r="G220" s="5"/>
      <c r="H220" s="2"/>
      <c r="J220" s="2"/>
      <c r="L220" s="93"/>
      <c r="M220" s="96"/>
      <c r="N220" s="93"/>
      <c r="P220" s="93"/>
      <c r="S220" s="2"/>
      <c r="T220" s="2"/>
      <c r="U220" s="2"/>
    </row>
    <row r="221" spans="1:21" ht="12.75">
      <c r="A221" s="26"/>
      <c r="B221" s="27"/>
      <c r="C221" s="29"/>
      <c r="D221" s="29"/>
      <c r="E221" s="29"/>
      <c r="G221" s="5"/>
      <c r="H221" s="2"/>
      <c r="J221" s="2"/>
      <c r="L221" s="93"/>
      <c r="M221" s="96"/>
      <c r="N221" s="93"/>
      <c r="P221" s="93"/>
      <c r="S221" s="2"/>
      <c r="T221" s="2"/>
      <c r="U221" s="2"/>
    </row>
    <row r="222" spans="1:21" ht="12.75">
      <c r="A222" s="159" t="s">
        <v>449</v>
      </c>
      <c r="B222" s="94" t="s">
        <v>36</v>
      </c>
      <c r="C222" s="387"/>
      <c r="D222" s="95"/>
      <c r="E222" s="95"/>
      <c r="G222" s="5"/>
      <c r="H222" s="2"/>
      <c r="J222" s="2"/>
      <c r="L222" s="93"/>
      <c r="M222" s="96"/>
      <c r="N222" s="93"/>
      <c r="P222" s="93"/>
      <c r="S222" s="2"/>
      <c r="T222" s="2"/>
      <c r="U222" s="2"/>
    </row>
    <row r="223" spans="1:21" ht="12.75">
      <c r="A223" s="31">
        <f>'A-G'!A9</f>
        <v>1501</v>
      </c>
      <c r="B223" s="388"/>
      <c r="C223" s="389">
        <f>'A-G'!C9</f>
        <v>0</v>
      </c>
      <c r="D223" s="390" t="e">
        <f>'A-G'!#REF!</f>
        <v>#REF!</v>
      </c>
      <c r="E223" s="391"/>
      <c r="G223" s="5"/>
      <c r="H223" s="2"/>
      <c r="J223" s="2"/>
      <c r="L223" s="93"/>
      <c r="M223" s="96"/>
      <c r="N223" s="93"/>
      <c r="P223" s="93"/>
      <c r="S223" s="2"/>
      <c r="T223" s="2"/>
      <c r="U223" s="2"/>
    </row>
    <row r="224" spans="1:21" ht="12.75">
      <c r="A224" s="34">
        <f aca="true" t="shared" si="10" ref="A224:A236">A223+1</f>
        <v>1502</v>
      </c>
      <c r="B224" s="388"/>
      <c r="C224" s="389">
        <f>'A-G'!C10</f>
        <v>0</v>
      </c>
      <c r="D224" s="239"/>
      <c r="E224" s="392">
        <f>'A-G'!D10</f>
        <v>0</v>
      </c>
      <c r="G224" s="5"/>
      <c r="H224" s="2"/>
      <c r="J224" s="2"/>
      <c r="L224" s="93"/>
      <c r="M224" s="96"/>
      <c r="N224" s="93"/>
      <c r="P224" s="93"/>
      <c r="S224" s="2"/>
      <c r="T224" s="2"/>
      <c r="U224" s="2"/>
    </row>
    <row r="225" spans="1:21" ht="12.75">
      <c r="A225" s="34">
        <f t="shared" si="10"/>
        <v>1503</v>
      </c>
      <c r="B225" s="388"/>
      <c r="C225" s="389" t="e">
        <f>'A-G'!#REF!</f>
        <v>#REF!</v>
      </c>
      <c r="D225" s="239"/>
      <c r="E225" s="392" t="e">
        <f>'A-G'!#REF!</f>
        <v>#REF!</v>
      </c>
      <c r="G225" s="5"/>
      <c r="H225" s="2"/>
      <c r="J225" s="2"/>
      <c r="L225" s="93"/>
      <c r="M225" s="96"/>
      <c r="N225" s="93"/>
      <c r="P225" s="93"/>
      <c r="S225" s="2"/>
      <c r="T225" s="2"/>
      <c r="U225" s="2"/>
    </row>
    <row r="226" spans="1:21" ht="12.75">
      <c r="A226" s="34">
        <f t="shared" si="10"/>
        <v>1504</v>
      </c>
      <c r="B226" s="388"/>
      <c r="C226" s="389" t="e">
        <f>'A-G'!#REF!</f>
        <v>#REF!</v>
      </c>
      <c r="D226" s="239"/>
      <c r="E226" s="392" t="e">
        <f>'A-G'!#REF!</f>
        <v>#REF!</v>
      </c>
      <c r="G226" s="5"/>
      <c r="H226" s="2"/>
      <c r="J226" s="2"/>
      <c r="L226" s="93"/>
      <c r="M226" s="96"/>
      <c r="N226" s="93"/>
      <c r="P226" s="93"/>
      <c r="S226" s="2"/>
      <c r="T226" s="2"/>
      <c r="U226" s="2"/>
    </row>
    <row r="227" spans="1:21" ht="12.75">
      <c r="A227" s="34">
        <f t="shared" si="10"/>
        <v>1505</v>
      </c>
      <c r="B227" s="388"/>
      <c r="C227" s="389" t="e">
        <f>'A-G'!#REF!</f>
        <v>#REF!</v>
      </c>
      <c r="D227" s="239"/>
      <c r="E227" s="392" t="e">
        <f>'A-G'!#REF!</f>
        <v>#REF!</v>
      </c>
      <c r="G227" s="5"/>
      <c r="H227" s="2"/>
      <c r="J227" s="2"/>
      <c r="L227" s="93"/>
      <c r="M227" s="96"/>
      <c r="N227" s="93"/>
      <c r="P227" s="93"/>
      <c r="S227" s="2"/>
      <c r="T227" s="2"/>
      <c r="U227" s="2"/>
    </row>
    <row r="228" spans="1:21" ht="12.75">
      <c r="A228" s="34">
        <f t="shared" si="10"/>
        <v>1506</v>
      </c>
      <c r="B228" s="388"/>
      <c r="C228" s="389" t="e">
        <f>'A-G'!#REF!</f>
        <v>#REF!</v>
      </c>
      <c r="D228" s="239"/>
      <c r="E228" s="392" t="e">
        <f>'A-G'!#REF!</f>
        <v>#REF!</v>
      </c>
      <c r="G228" s="5"/>
      <c r="H228" s="2"/>
      <c r="J228" s="2"/>
      <c r="L228" s="93"/>
      <c r="M228" s="96"/>
      <c r="N228" s="93"/>
      <c r="P228" s="93"/>
      <c r="S228" s="2"/>
      <c r="T228" s="2"/>
      <c r="U228" s="2"/>
    </row>
    <row r="229" spans="1:21" ht="12.75">
      <c r="A229" s="34">
        <f t="shared" si="10"/>
        <v>1507</v>
      </c>
      <c r="B229" s="388"/>
      <c r="C229" s="389" t="e">
        <f>'A-G'!#REF!</f>
        <v>#REF!</v>
      </c>
      <c r="D229" s="239"/>
      <c r="E229" s="392" t="e">
        <f>'A-G'!#REF!</f>
        <v>#REF!</v>
      </c>
      <c r="G229" s="5"/>
      <c r="H229" s="2"/>
      <c r="J229" s="2"/>
      <c r="L229" s="93"/>
      <c r="M229" s="96"/>
      <c r="N229" s="93"/>
      <c r="P229" s="93"/>
      <c r="S229" s="2"/>
      <c r="T229" s="2"/>
      <c r="U229" s="2"/>
    </row>
    <row r="230" spans="1:21" ht="12.75">
      <c r="A230" s="34">
        <f t="shared" si="10"/>
        <v>1508</v>
      </c>
      <c r="B230" s="388"/>
      <c r="C230" s="389" t="e">
        <f>'A-G'!#REF!</f>
        <v>#REF!</v>
      </c>
      <c r="D230" s="239"/>
      <c r="E230" s="392" t="e">
        <f>'A-G'!#REF!</f>
        <v>#REF!</v>
      </c>
      <c r="G230" s="5"/>
      <c r="H230" s="2"/>
      <c r="J230" s="2"/>
      <c r="L230" s="93"/>
      <c r="M230" s="96"/>
      <c r="N230" s="93"/>
      <c r="P230" s="93"/>
      <c r="S230" s="2"/>
      <c r="T230" s="2"/>
      <c r="U230" s="2"/>
    </row>
    <row r="231" spans="1:21" ht="12.75">
      <c r="A231" s="34">
        <f t="shared" si="10"/>
        <v>1509</v>
      </c>
      <c r="B231" s="388"/>
      <c r="C231" s="389" t="e">
        <f>'A-G'!#REF!</f>
        <v>#REF!</v>
      </c>
      <c r="D231" s="239"/>
      <c r="E231" s="392" t="e">
        <f>'A-G'!#REF!</f>
        <v>#REF!</v>
      </c>
      <c r="G231" s="5"/>
      <c r="H231" s="2"/>
      <c r="J231" s="2"/>
      <c r="L231" s="93"/>
      <c r="M231" s="96"/>
      <c r="N231" s="93"/>
      <c r="P231" s="93"/>
      <c r="S231" s="2"/>
      <c r="T231" s="2"/>
      <c r="U231" s="2"/>
    </row>
    <row r="232" spans="1:21" ht="12.75">
      <c r="A232" s="34">
        <f t="shared" si="10"/>
        <v>1510</v>
      </c>
      <c r="B232" s="388"/>
      <c r="C232" s="389" t="e">
        <f>'A-G'!#REF!</f>
        <v>#REF!</v>
      </c>
      <c r="D232" s="239"/>
      <c r="E232" s="392" t="e">
        <f>'A-G'!#REF!</f>
        <v>#REF!</v>
      </c>
      <c r="G232" s="5"/>
      <c r="H232" s="2"/>
      <c r="J232" s="2"/>
      <c r="L232" s="93"/>
      <c r="M232" s="96"/>
      <c r="N232" s="93"/>
      <c r="P232" s="93"/>
      <c r="S232" s="2"/>
      <c r="T232" s="2"/>
      <c r="U232" s="2"/>
    </row>
    <row r="233" spans="1:21" ht="12.75">
      <c r="A233" s="34">
        <f t="shared" si="10"/>
        <v>1511</v>
      </c>
      <c r="B233" s="388"/>
      <c r="C233" s="389" t="e">
        <f>'A-G'!#REF!</f>
        <v>#REF!</v>
      </c>
      <c r="D233" s="239"/>
      <c r="E233" s="392" t="e">
        <f>'A-G'!#REF!</f>
        <v>#REF!</v>
      </c>
      <c r="G233" s="5"/>
      <c r="H233" s="2"/>
      <c r="J233" s="2"/>
      <c r="L233" s="93"/>
      <c r="M233" s="96"/>
      <c r="N233" s="93"/>
      <c r="P233" s="93"/>
      <c r="S233" s="2"/>
      <c r="T233" s="2"/>
      <c r="U233" s="2"/>
    </row>
    <row r="234" spans="1:21" ht="12.75">
      <c r="A234" s="34">
        <f t="shared" si="10"/>
        <v>1512</v>
      </c>
      <c r="B234" s="388"/>
      <c r="C234" s="389" t="e">
        <f>'A-G'!#REF!</f>
        <v>#REF!</v>
      </c>
      <c r="D234" s="239"/>
      <c r="E234" s="392" t="e">
        <f>'A-G'!#REF!</f>
        <v>#REF!</v>
      </c>
      <c r="G234" s="5"/>
      <c r="H234" s="2"/>
      <c r="J234" s="2"/>
      <c r="L234" s="93"/>
      <c r="M234" s="96"/>
      <c r="N234" s="93"/>
      <c r="P234" s="93"/>
      <c r="S234" s="2"/>
      <c r="T234" s="2"/>
      <c r="U234" s="2"/>
    </row>
    <row r="235" spans="1:21" ht="12.75">
      <c r="A235" s="54">
        <f t="shared" si="10"/>
        <v>1513</v>
      </c>
      <c r="B235" s="393"/>
      <c r="C235" s="389" t="e">
        <f>'A-G'!#REF!</f>
        <v>#REF!</v>
      </c>
      <c r="D235" s="239"/>
      <c r="E235" s="392" t="e">
        <f>'A-G'!#REF!</f>
        <v>#REF!</v>
      </c>
      <c r="G235" s="5"/>
      <c r="H235" s="2"/>
      <c r="J235" s="2"/>
      <c r="L235" s="93"/>
      <c r="M235" s="96"/>
      <c r="N235" s="93"/>
      <c r="P235" s="93"/>
      <c r="S235" s="2"/>
      <c r="T235" s="2"/>
      <c r="U235" s="2"/>
    </row>
    <row r="236" spans="1:21" ht="12.75">
      <c r="A236" s="37">
        <f t="shared" si="10"/>
        <v>1514</v>
      </c>
      <c r="B236" s="38"/>
      <c r="C236" s="394"/>
      <c r="D236" s="395"/>
      <c r="E236" s="396"/>
      <c r="F236" s="5"/>
      <c r="G236" s="5"/>
      <c r="H236" s="5"/>
      <c r="J236" s="2"/>
      <c r="L236" s="93"/>
      <c r="M236" s="96"/>
      <c r="N236" s="93"/>
      <c r="P236" s="93"/>
      <c r="S236" s="2"/>
      <c r="T236" s="2"/>
      <c r="U236" s="2"/>
    </row>
    <row r="237" spans="1:8" ht="12.75">
      <c r="A237" s="118" t="e">
        <f>CONCATENATE("* mutaties ",#REF!-1," (regel ",Uitvoer!A74,") exlusief niet-nacalculeerbare afschrijvingen (regel ",Uitvoer!A75,")")</f>
        <v>#REF!</v>
      </c>
      <c r="B237" s="42"/>
      <c r="C237" s="42"/>
      <c r="D237" s="185"/>
      <c r="E237" s="42"/>
      <c r="F237" s="160"/>
      <c r="G237" s="90"/>
      <c r="H237" s="119"/>
    </row>
    <row r="238" spans="1:8" ht="12.75">
      <c r="A238" s="118" t="str">
        <f>CONCATENATE("** regel ",A223," t/m ",A235,)</f>
        <v>** regel 1501 t/m 1513</v>
      </c>
      <c r="B238" s="42"/>
      <c r="C238" s="42"/>
      <c r="D238" s="185"/>
      <c r="E238" s="42"/>
      <c r="F238" s="160"/>
      <c r="G238" s="42"/>
      <c r="H238" s="119"/>
    </row>
    <row r="239" spans="1:8" ht="12.75">
      <c r="A239" s="118"/>
      <c r="B239" s="42"/>
      <c r="C239" s="42"/>
      <c r="D239" s="185"/>
      <c r="E239" s="42"/>
      <c r="F239" s="160"/>
      <c r="G239" s="42"/>
      <c r="H239" s="119"/>
    </row>
    <row r="240" spans="1:21" ht="12.75" customHeight="1">
      <c r="A240" s="21"/>
      <c r="B240" s="208"/>
      <c r="C240" s="105" t="s">
        <v>403</v>
      </c>
      <c r="D240" s="105" t="s">
        <v>411</v>
      </c>
      <c r="E240" s="1"/>
      <c r="G240" s="5"/>
      <c r="H240" s="2"/>
      <c r="J240" s="2"/>
      <c r="L240" s="93"/>
      <c r="M240" s="96"/>
      <c r="N240" s="93"/>
      <c r="P240" s="93"/>
      <c r="S240" s="2"/>
      <c r="T240" s="2"/>
      <c r="U240" s="2"/>
    </row>
    <row r="241" spans="1:21" ht="12.75">
      <c r="A241" s="21"/>
      <c r="B241" s="208"/>
      <c r="C241" s="210" t="s">
        <v>410</v>
      </c>
      <c r="D241" s="210" t="s">
        <v>404</v>
      </c>
      <c r="E241" s="1"/>
      <c r="G241" s="5"/>
      <c r="H241" s="2"/>
      <c r="J241" s="2"/>
      <c r="L241" s="93"/>
      <c r="M241" s="96"/>
      <c r="N241" s="93"/>
      <c r="P241" s="93"/>
      <c r="S241" s="2"/>
      <c r="T241" s="2"/>
      <c r="U241" s="2"/>
    </row>
    <row r="242" spans="1:21" ht="12.75">
      <c r="A242" s="21"/>
      <c r="B242" s="208"/>
      <c r="C242" s="109" t="s">
        <v>405</v>
      </c>
      <c r="D242" s="109" t="s">
        <v>409</v>
      </c>
      <c r="E242" s="1"/>
      <c r="G242" s="5"/>
      <c r="H242" s="2"/>
      <c r="J242" s="2"/>
      <c r="L242" s="93"/>
      <c r="M242" s="96"/>
      <c r="N242" s="93"/>
      <c r="P242" s="93"/>
      <c r="S242" s="2"/>
      <c r="T242" s="2"/>
      <c r="U242" s="2"/>
    </row>
    <row r="243" spans="1:21" ht="12.75">
      <c r="A243" s="26"/>
      <c r="B243" s="27"/>
      <c r="C243" s="29"/>
      <c r="D243" s="29"/>
      <c r="E243" s="1"/>
      <c r="G243" s="5"/>
      <c r="H243" s="2"/>
      <c r="J243" s="2"/>
      <c r="L243" s="93"/>
      <c r="M243" s="96"/>
      <c r="N243" s="93"/>
      <c r="P243" s="93"/>
      <c r="S243" s="2"/>
      <c r="T243" s="2"/>
      <c r="U243" s="2"/>
    </row>
    <row r="244" spans="1:21" ht="12.75">
      <c r="A244" s="14" t="s">
        <v>450</v>
      </c>
      <c r="B244" s="27" t="s">
        <v>448</v>
      </c>
      <c r="C244" s="387"/>
      <c r="D244" s="95"/>
      <c r="E244" s="1"/>
      <c r="G244" s="5"/>
      <c r="H244" s="2"/>
      <c r="J244" s="2"/>
      <c r="L244" s="93"/>
      <c r="M244" s="96"/>
      <c r="N244" s="93"/>
      <c r="P244" s="93"/>
      <c r="S244" s="2"/>
      <c r="T244" s="2"/>
      <c r="U244" s="2"/>
    </row>
    <row r="245" spans="1:21" ht="12.75">
      <c r="A245" s="31">
        <f>'A-G'!A32</f>
        <v>1518</v>
      </c>
      <c r="B245" s="388"/>
      <c r="C245" s="389">
        <f>'A-G'!C32</f>
        <v>0</v>
      </c>
      <c r="D245" s="397"/>
      <c r="E245" s="1"/>
      <c r="G245" s="5"/>
      <c r="H245" s="2"/>
      <c r="J245" s="2"/>
      <c r="L245" s="93"/>
      <c r="M245" s="96"/>
      <c r="N245" s="93"/>
      <c r="P245" s="93"/>
      <c r="S245" s="2"/>
      <c r="T245" s="2"/>
      <c r="U245" s="2"/>
    </row>
    <row r="246" spans="1:21" ht="12.75">
      <c r="A246" s="34">
        <f aca="true" t="shared" si="11" ref="A246:A260">A245+1</f>
        <v>1519</v>
      </c>
      <c r="B246" s="388"/>
      <c r="C246" s="390" t="e">
        <f>'A-G'!#REF!</f>
        <v>#REF!</v>
      </c>
      <c r="D246" s="398"/>
      <c r="E246" s="1"/>
      <c r="G246" s="5"/>
      <c r="H246" s="2"/>
      <c r="J246" s="2"/>
      <c r="L246" s="93"/>
      <c r="M246" s="96"/>
      <c r="N246" s="93"/>
      <c r="P246" s="93"/>
      <c r="S246" s="2"/>
      <c r="T246" s="2"/>
      <c r="U246" s="2"/>
    </row>
    <row r="247" spans="1:21" ht="12.75">
      <c r="A247" s="34">
        <f t="shared" si="11"/>
        <v>1520</v>
      </c>
      <c r="B247" s="388"/>
      <c r="C247" s="389" t="e">
        <f>'A-G'!#REF!</f>
        <v>#REF!</v>
      </c>
      <c r="D247" s="390" t="e">
        <f>'A-G'!#REF!</f>
        <v>#REF!</v>
      </c>
      <c r="E247" s="1"/>
      <c r="G247" s="5"/>
      <c r="H247" s="2"/>
      <c r="J247" s="2"/>
      <c r="L247" s="93"/>
      <c r="M247" s="96"/>
      <c r="N247" s="93"/>
      <c r="P247" s="93"/>
      <c r="S247" s="2"/>
      <c r="T247" s="2"/>
      <c r="U247" s="2"/>
    </row>
    <row r="248" spans="1:21" ht="12.75">
      <c r="A248" s="34">
        <f t="shared" si="11"/>
        <v>1521</v>
      </c>
      <c r="B248" s="388"/>
      <c r="C248" s="389" t="e">
        <f>'A-G'!#REF!</f>
        <v>#REF!</v>
      </c>
      <c r="D248" s="390" t="e">
        <f>'A-G'!#REF!</f>
        <v>#REF!</v>
      </c>
      <c r="E248" s="1"/>
      <c r="G248" s="5"/>
      <c r="H248" s="2"/>
      <c r="J248" s="2"/>
      <c r="L248" s="93"/>
      <c r="M248" s="96"/>
      <c r="N248" s="93"/>
      <c r="P248" s="93"/>
      <c r="S248" s="2"/>
      <c r="T248" s="2"/>
      <c r="U248" s="2"/>
    </row>
    <row r="249" spans="1:21" ht="12.75">
      <c r="A249" s="34">
        <f t="shared" si="11"/>
        <v>1522</v>
      </c>
      <c r="B249" s="388"/>
      <c r="C249" s="389" t="e">
        <f>'A-G'!#REF!</f>
        <v>#REF!</v>
      </c>
      <c r="D249" s="390" t="e">
        <f>'A-G'!#REF!</f>
        <v>#REF!</v>
      </c>
      <c r="E249" s="1"/>
      <c r="G249" s="5"/>
      <c r="H249" s="2"/>
      <c r="J249" s="2"/>
      <c r="L249" s="93"/>
      <c r="M249" s="96"/>
      <c r="N249" s="93"/>
      <c r="P249" s="93"/>
      <c r="S249" s="2"/>
      <c r="T249" s="2"/>
      <c r="U249" s="2"/>
    </row>
    <row r="250" spans="1:21" ht="12.75">
      <c r="A250" s="34">
        <f t="shared" si="11"/>
        <v>1523</v>
      </c>
      <c r="B250" s="388"/>
      <c r="C250" s="389" t="e">
        <f>'A-G'!#REF!</f>
        <v>#REF!</v>
      </c>
      <c r="D250" s="390" t="e">
        <f>'A-G'!#REF!</f>
        <v>#REF!</v>
      </c>
      <c r="E250" s="1"/>
      <c r="G250" s="5"/>
      <c r="H250" s="2"/>
      <c r="J250" s="2"/>
      <c r="L250" s="93"/>
      <c r="M250" s="96"/>
      <c r="N250" s="93"/>
      <c r="P250" s="93"/>
      <c r="S250" s="2"/>
      <c r="T250" s="2"/>
      <c r="U250" s="2"/>
    </row>
    <row r="251" spans="1:21" ht="12.75">
      <c r="A251" s="34">
        <f t="shared" si="11"/>
        <v>1524</v>
      </c>
      <c r="B251" s="388"/>
      <c r="C251" s="389" t="e">
        <f>'A-G'!#REF!</f>
        <v>#REF!</v>
      </c>
      <c r="D251" s="390" t="e">
        <f>'A-G'!#REF!</f>
        <v>#REF!</v>
      </c>
      <c r="E251" s="1"/>
      <c r="G251" s="5"/>
      <c r="H251" s="2"/>
      <c r="J251" s="2"/>
      <c r="L251" s="93"/>
      <c r="M251" s="96"/>
      <c r="N251" s="93"/>
      <c r="P251" s="93"/>
      <c r="S251" s="2"/>
      <c r="T251" s="2"/>
      <c r="U251" s="2"/>
    </row>
    <row r="252" spans="1:21" ht="12.75">
      <c r="A252" s="34">
        <f t="shared" si="11"/>
        <v>1525</v>
      </c>
      <c r="B252" s="388"/>
      <c r="C252" s="389" t="e">
        <f>'A-G'!#REF!</f>
        <v>#REF!</v>
      </c>
      <c r="D252" s="390" t="e">
        <f>'A-G'!#REF!</f>
        <v>#REF!</v>
      </c>
      <c r="E252" s="1"/>
      <c r="G252" s="5"/>
      <c r="H252" s="2"/>
      <c r="J252" s="2"/>
      <c r="L252" s="93"/>
      <c r="M252" s="96"/>
      <c r="N252" s="93"/>
      <c r="P252" s="93"/>
      <c r="S252" s="2"/>
      <c r="T252" s="2"/>
      <c r="U252" s="2"/>
    </row>
    <row r="253" spans="1:21" ht="12.75">
      <c r="A253" s="34">
        <f t="shared" si="11"/>
        <v>1526</v>
      </c>
      <c r="B253" s="388"/>
      <c r="C253" s="389" t="e">
        <f>'A-G'!#REF!</f>
        <v>#REF!</v>
      </c>
      <c r="D253" s="390" t="e">
        <f>'A-G'!#REF!</f>
        <v>#REF!</v>
      </c>
      <c r="E253" s="1"/>
      <c r="G253" s="5"/>
      <c r="H253" s="2"/>
      <c r="J253" s="2"/>
      <c r="L253" s="93"/>
      <c r="M253" s="96"/>
      <c r="N253" s="93"/>
      <c r="P253" s="93"/>
      <c r="S253" s="2"/>
      <c r="T253" s="2"/>
      <c r="U253" s="2"/>
    </row>
    <row r="254" spans="1:21" ht="12.75">
      <c r="A254" s="34">
        <f t="shared" si="11"/>
        <v>1527</v>
      </c>
      <c r="B254" s="388"/>
      <c r="C254" s="389" t="e">
        <f>'A-G'!#REF!</f>
        <v>#REF!</v>
      </c>
      <c r="D254" s="390" t="e">
        <f>'A-G'!#REF!</f>
        <v>#REF!</v>
      </c>
      <c r="E254" s="1"/>
      <c r="G254" s="5"/>
      <c r="H254" s="2"/>
      <c r="J254" s="2"/>
      <c r="L254" s="93"/>
      <c r="M254" s="96"/>
      <c r="N254" s="93"/>
      <c r="P254" s="93"/>
      <c r="S254" s="2"/>
      <c r="T254" s="2"/>
      <c r="U254" s="2"/>
    </row>
    <row r="255" spans="1:21" ht="12.75">
      <c r="A255" s="34">
        <f t="shared" si="11"/>
        <v>1528</v>
      </c>
      <c r="B255" s="388"/>
      <c r="C255" s="389" t="e">
        <f>'A-G'!#REF!</f>
        <v>#REF!</v>
      </c>
      <c r="D255" s="390" t="e">
        <f>'A-G'!#REF!</f>
        <v>#REF!</v>
      </c>
      <c r="E255" s="1"/>
      <c r="G255" s="5"/>
      <c r="H255" s="2"/>
      <c r="J255" s="2"/>
      <c r="L255" s="93"/>
      <c r="M255" s="96"/>
      <c r="N255" s="93"/>
      <c r="P255" s="93"/>
      <c r="S255" s="2"/>
      <c r="T255" s="2"/>
      <c r="U255" s="2"/>
    </row>
    <row r="256" spans="1:21" ht="12.75">
      <c r="A256" s="34">
        <f t="shared" si="11"/>
        <v>1529</v>
      </c>
      <c r="B256" s="388"/>
      <c r="C256" s="389" t="e">
        <f>'A-G'!#REF!</f>
        <v>#REF!</v>
      </c>
      <c r="D256" s="390" t="e">
        <f>'A-G'!#REF!</f>
        <v>#REF!</v>
      </c>
      <c r="E256" s="1"/>
      <c r="G256" s="5"/>
      <c r="H256" s="2"/>
      <c r="J256" s="2"/>
      <c r="L256" s="93"/>
      <c r="M256" s="96"/>
      <c r="N256" s="93"/>
      <c r="P256" s="93"/>
      <c r="S256" s="2"/>
      <c r="T256" s="2"/>
      <c r="U256" s="2"/>
    </row>
    <row r="257" spans="1:21" ht="12.75">
      <c r="A257" s="34">
        <f t="shared" si="11"/>
        <v>1530</v>
      </c>
      <c r="B257" s="388"/>
      <c r="C257" s="389" t="e">
        <f>'A-G'!#REF!</f>
        <v>#REF!</v>
      </c>
      <c r="D257" s="390" t="e">
        <f>'A-G'!#REF!</f>
        <v>#REF!</v>
      </c>
      <c r="E257" s="1"/>
      <c r="G257" s="5"/>
      <c r="H257" s="2"/>
      <c r="J257" s="2"/>
      <c r="L257" s="93"/>
      <c r="M257" s="96"/>
      <c r="N257" s="93"/>
      <c r="P257" s="93"/>
      <c r="S257" s="2"/>
      <c r="T257" s="2"/>
      <c r="U257" s="2"/>
    </row>
    <row r="258" spans="1:21" ht="12.75">
      <c r="A258" s="34">
        <f t="shared" si="11"/>
        <v>1531</v>
      </c>
      <c r="B258" s="388"/>
      <c r="C258" s="389" t="e">
        <f>'A-G'!#REF!</f>
        <v>#REF!</v>
      </c>
      <c r="D258" s="390" t="e">
        <f>'A-G'!#REF!</f>
        <v>#REF!</v>
      </c>
      <c r="E258" s="1"/>
      <c r="G258" s="5"/>
      <c r="H258" s="2"/>
      <c r="J258" s="2"/>
      <c r="L258" s="93"/>
      <c r="M258" s="96"/>
      <c r="N258" s="93"/>
      <c r="P258" s="93"/>
      <c r="S258" s="2"/>
      <c r="T258" s="2"/>
      <c r="U258" s="2"/>
    </row>
    <row r="259" spans="1:21" ht="12.75">
      <c r="A259" s="35">
        <f t="shared" si="11"/>
        <v>1532</v>
      </c>
      <c r="B259" s="388"/>
      <c r="C259" s="389" t="e">
        <f>'A-G'!#REF!</f>
        <v>#REF!</v>
      </c>
      <c r="D259" s="398"/>
      <c r="E259" s="1"/>
      <c r="G259" s="5"/>
      <c r="H259" s="2"/>
      <c r="J259" s="2"/>
      <c r="L259" s="93"/>
      <c r="M259" s="96"/>
      <c r="N259" s="93"/>
      <c r="P259" s="93"/>
      <c r="S259" s="2"/>
      <c r="T259" s="2"/>
      <c r="U259" s="2"/>
    </row>
    <row r="260" spans="1:21" ht="12.75">
      <c r="A260" s="37">
        <f t="shared" si="11"/>
        <v>1533</v>
      </c>
      <c r="B260" s="38"/>
      <c r="C260" s="292" t="e">
        <f>C245-C246+SUM(C247:C259)</f>
        <v>#REF!</v>
      </c>
      <c r="D260" s="308" t="e">
        <f>SUM(D247:D258)</f>
        <v>#REF!</v>
      </c>
      <c r="E260" s="1"/>
      <c r="G260" s="5"/>
      <c r="H260" s="2"/>
      <c r="J260" s="2"/>
      <c r="L260" s="93"/>
      <c r="M260" s="96"/>
      <c r="N260" s="93"/>
      <c r="P260" s="93"/>
      <c r="S260" s="2"/>
      <c r="T260" s="2"/>
      <c r="U260" s="2"/>
    </row>
    <row r="261" spans="1:7" ht="12.75">
      <c r="A261" s="26"/>
      <c r="B261" s="90"/>
      <c r="C261" s="90"/>
      <c r="D261" s="90"/>
      <c r="E261" s="90"/>
      <c r="F261" s="42"/>
      <c r="G261" s="42"/>
    </row>
    <row r="262" spans="1:7" ht="12.75">
      <c r="A262" s="37">
        <f>A260+1</f>
        <v>1534</v>
      </c>
      <c r="B262" s="59"/>
      <c r="C262" s="399"/>
      <c r="D262" s="400"/>
      <c r="E262" s="399"/>
      <c r="F262" s="401"/>
      <c r="G262" s="402" t="e">
        <f>'A-G'!#REF!</f>
        <v>#REF!</v>
      </c>
    </row>
    <row r="263" spans="1:7" ht="12.75">
      <c r="A263" s="41"/>
      <c r="B263" s="42"/>
      <c r="C263" s="42"/>
      <c r="D263" s="42"/>
      <c r="E263" s="42"/>
      <c r="F263" s="42"/>
      <c r="G263" s="42"/>
    </row>
    <row r="264" spans="1:21" ht="12.75" customHeight="1">
      <c r="A264" s="21"/>
      <c r="B264" s="208"/>
      <c r="C264" s="105" t="s">
        <v>444</v>
      </c>
      <c r="D264" s="105" t="s">
        <v>445</v>
      </c>
      <c r="E264" s="1"/>
      <c r="G264" s="5"/>
      <c r="H264" s="2"/>
      <c r="J264" s="2"/>
      <c r="L264" s="93"/>
      <c r="M264" s="96"/>
      <c r="N264" s="93"/>
      <c r="P264" s="93"/>
      <c r="S264" s="2"/>
      <c r="T264" s="2"/>
      <c r="U264" s="2"/>
    </row>
    <row r="265" spans="1:21" ht="12.75">
      <c r="A265" s="21"/>
      <c r="B265" s="208"/>
      <c r="C265" s="109"/>
      <c r="D265" s="109"/>
      <c r="E265" s="1"/>
      <c r="G265" s="5"/>
      <c r="H265" s="2"/>
      <c r="J265" s="2"/>
      <c r="L265" s="93"/>
      <c r="M265" s="96"/>
      <c r="N265" s="93"/>
      <c r="P265" s="93"/>
      <c r="S265" s="2"/>
      <c r="T265" s="2"/>
      <c r="U265" s="2"/>
    </row>
    <row r="266" spans="1:21" ht="12.75">
      <c r="A266" s="26"/>
      <c r="B266" s="90"/>
      <c r="C266" s="42"/>
      <c r="D266" s="42"/>
      <c r="E266" s="1"/>
      <c r="G266" s="5"/>
      <c r="H266" s="2"/>
      <c r="J266" s="2"/>
      <c r="L266" s="93"/>
      <c r="M266" s="96"/>
      <c r="N266" s="93"/>
      <c r="P266" s="93"/>
      <c r="S266" s="2"/>
      <c r="T266" s="2"/>
      <c r="U266" s="2"/>
    </row>
    <row r="267" spans="1:21" ht="12.75">
      <c r="A267" s="159" t="s">
        <v>11</v>
      </c>
      <c r="B267" s="94" t="s">
        <v>13</v>
      </c>
      <c r="C267" s="387"/>
      <c r="D267" s="95"/>
      <c r="E267" s="1"/>
      <c r="G267" s="5"/>
      <c r="H267" s="2"/>
      <c r="J267" s="2"/>
      <c r="L267" s="93"/>
      <c r="M267" s="96"/>
      <c r="N267" s="93"/>
      <c r="P267" s="93"/>
      <c r="S267" s="2"/>
      <c r="T267" s="2"/>
      <c r="U267" s="2"/>
    </row>
    <row r="268" spans="1:21" ht="12.75">
      <c r="A268" s="31">
        <f>'A-G'!A54</f>
        <v>1601</v>
      </c>
      <c r="B268" s="388"/>
      <c r="C268" s="389">
        <f>'A-G'!C54</f>
        <v>0</v>
      </c>
      <c r="D268" s="390">
        <f>'A-G'!D54</f>
        <v>0</v>
      </c>
      <c r="E268" s="1"/>
      <c r="G268" s="5"/>
      <c r="H268" s="2"/>
      <c r="J268" s="2"/>
      <c r="L268" s="93"/>
      <c r="M268" s="96"/>
      <c r="N268" s="93"/>
      <c r="P268" s="93"/>
      <c r="S268" s="2"/>
      <c r="T268" s="2"/>
      <c r="U268" s="2"/>
    </row>
    <row r="269" spans="1:21" ht="12.75">
      <c r="A269" s="34">
        <f aca="true" t="shared" si="12" ref="A269:A286">A268+1</f>
        <v>1602</v>
      </c>
      <c r="B269" s="388"/>
      <c r="C269" s="389">
        <f>'A-G'!C56</f>
        <v>0</v>
      </c>
      <c r="D269" s="397"/>
      <c r="E269" s="1"/>
      <c r="G269" s="5"/>
      <c r="H269" s="2"/>
      <c r="J269" s="2"/>
      <c r="L269" s="93"/>
      <c r="M269" s="96"/>
      <c r="N269" s="93"/>
      <c r="P269" s="93"/>
      <c r="S269" s="2"/>
      <c r="T269" s="2"/>
      <c r="U269" s="2"/>
    </row>
    <row r="270" spans="1:21" ht="12.75">
      <c r="A270" s="34">
        <f t="shared" si="12"/>
        <v>1603</v>
      </c>
      <c r="B270" s="388"/>
      <c r="C270" s="390">
        <f>'A-G'!C68</f>
        <v>0</v>
      </c>
      <c r="D270" s="397"/>
      <c r="E270" s="1"/>
      <c r="G270" s="5"/>
      <c r="H270" s="2"/>
      <c r="J270" s="2"/>
      <c r="L270" s="93"/>
      <c r="M270" s="96"/>
      <c r="N270" s="93"/>
      <c r="P270" s="93"/>
      <c r="S270" s="2"/>
      <c r="T270" s="2"/>
      <c r="U270" s="2"/>
    </row>
    <row r="271" spans="1:21" ht="12.75">
      <c r="A271" s="34">
        <f t="shared" si="12"/>
        <v>1604</v>
      </c>
      <c r="B271" s="388"/>
      <c r="C271" s="389" t="e">
        <f>'A-G'!#REF!</f>
        <v>#REF!</v>
      </c>
      <c r="D271" s="397"/>
      <c r="E271" s="1"/>
      <c r="G271" s="5"/>
      <c r="H271" s="2"/>
      <c r="J271" s="2"/>
      <c r="L271" s="93"/>
      <c r="M271" s="96"/>
      <c r="N271" s="93"/>
      <c r="P271" s="93"/>
      <c r="S271" s="2"/>
      <c r="T271" s="2"/>
      <c r="U271" s="2"/>
    </row>
    <row r="272" spans="1:21" ht="12.75">
      <c r="A272" s="34">
        <f t="shared" si="12"/>
        <v>1605</v>
      </c>
      <c r="B272" s="388"/>
      <c r="C272" s="389" t="e">
        <f>'A-G'!#REF!</f>
        <v>#REF!</v>
      </c>
      <c r="D272" s="397"/>
      <c r="E272" s="1"/>
      <c r="G272" s="5"/>
      <c r="H272" s="2"/>
      <c r="J272" s="2"/>
      <c r="L272" s="93"/>
      <c r="M272" s="96"/>
      <c r="N272" s="93"/>
      <c r="P272" s="93"/>
      <c r="S272" s="2"/>
      <c r="T272" s="2"/>
      <c r="U272" s="2"/>
    </row>
    <row r="273" spans="1:21" ht="12.75">
      <c r="A273" s="34">
        <f t="shared" si="12"/>
        <v>1606</v>
      </c>
      <c r="B273" s="388"/>
      <c r="C273" s="389" t="e">
        <f>'A-G'!#REF!</f>
        <v>#REF!</v>
      </c>
      <c r="D273" s="397"/>
      <c r="E273" s="1"/>
      <c r="G273" s="5"/>
      <c r="H273" s="2"/>
      <c r="J273" s="2"/>
      <c r="L273" s="93"/>
      <c r="M273" s="96"/>
      <c r="N273" s="93"/>
      <c r="P273" s="93"/>
      <c r="S273" s="2"/>
      <c r="T273" s="2"/>
      <c r="U273" s="2"/>
    </row>
    <row r="274" spans="1:21" ht="12.75">
      <c r="A274" s="34">
        <f t="shared" si="12"/>
        <v>1607</v>
      </c>
      <c r="B274" s="388"/>
      <c r="C274" s="389" t="e">
        <f>'A-G'!#REF!</f>
        <v>#REF!</v>
      </c>
      <c r="D274" s="397"/>
      <c r="E274" s="1"/>
      <c r="G274" s="5"/>
      <c r="H274" s="2"/>
      <c r="J274" s="2"/>
      <c r="L274" s="93"/>
      <c r="M274" s="96"/>
      <c r="N274" s="93"/>
      <c r="P274" s="93"/>
      <c r="S274" s="2"/>
      <c r="T274" s="2"/>
      <c r="U274" s="2"/>
    </row>
    <row r="275" spans="1:21" ht="12.75">
      <c r="A275" s="34">
        <f t="shared" si="12"/>
        <v>1608</v>
      </c>
      <c r="B275" s="388"/>
      <c r="C275" s="389" t="e">
        <f>'A-G'!#REF!</f>
        <v>#REF!</v>
      </c>
      <c r="D275" s="397"/>
      <c r="E275" s="1"/>
      <c r="G275" s="5"/>
      <c r="H275" s="2"/>
      <c r="J275" s="2"/>
      <c r="L275" s="93"/>
      <c r="M275" s="96"/>
      <c r="N275" s="93"/>
      <c r="P275" s="93"/>
      <c r="S275" s="2"/>
      <c r="T275" s="2"/>
      <c r="U275" s="2"/>
    </row>
    <row r="276" spans="1:21" ht="12.75">
      <c r="A276" s="34">
        <f t="shared" si="12"/>
        <v>1609</v>
      </c>
      <c r="B276" s="388"/>
      <c r="C276" s="389" t="e">
        <f>'A-G'!#REF!</f>
        <v>#REF!</v>
      </c>
      <c r="D276" s="397"/>
      <c r="E276" s="1"/>
      <c r="G276" s="5"/>
      <c r="H276" s="2"/>
      <c r="J276" s="2"/>
      <c r="L276" s="93"/>
      <c r="M276" s="96"/>
      <c r="N276" s="93"/>
      <c r="P276" s="93"/>
      <c r="S276" s="2"/>
      <c r="T276" s="2"/>
      <c r="U276" s="2"/>
    </row>
    <row r="277" spans="1:21" ht="12.75">
      <c r="A277" s="34">
        <f t="shared" si="12"/>
        <v>1610</v>
      </c>
      <c r="B277" s="388"/>
      <c r="C277" s="389" t="e">
        <f>'A-G'!#REF!</f>
        <v>#REF!</v>
      </c>
      <c r="D277" s="397"/>
      <c r="E277" s="1"/>
      <c r="G277" s="5"/>
      <c r="H277" s="2"/>
      <c r="J277" s="2"/>
      <c r="L277" s="93"/>
      <c r="M277" s="96"/>
      <c r="N277" s="93"/>
      <c r="P277" s="93"/>
      <c r="S277" s="2"/>
      <c r="T277" s="2"/>
      <c r="U277" s="2"/>
    </row>
    <row r="278" spans="1:21" ht="12.75">
      <c r="A278" s="34">
        <f t="shared" si="12"/>
        <v>1611</v>
      </c>
      <c r="B278" s="388"/>
      <c r="C278" s="389" t="e">
        <f>'A-G'!#REF!</f>
        <v>#REF!</v>
      </c>
      <c r="D278" s="397"/>
      <c r="E278" s="1"/>
      <c r="G278" s="5"/>
      <c r="H278" s="2"/>
      <c r="J278" s="2"/>
      <c r="L278" s="93"/>
      <c r="M278" s="96"/>
      <c r="N278" s="93"/>
      <c r="P278" s="93"/>
      <c r="S278" s="2"/>
      <c r="T278" s="2"/>
      <c r="U278" s="2"/>
    </row>
    <row r="279" spans="1:21" ht="12.75">
      <c r="A279" s="34">
        <f t="shared" si="12"/>
        <v>1612</v>
      </c>
      <c r="B279" s="388"/>
      <c r="C279" s="389" t="e">
        <f>'A-G'!#REF!</f>
        <v>#REF!</v>
      </c>
      <c r="D279" s="397"/>
      <c r="E279" s="1"/>
      <c r="G279" s="5"/>
      <c r="H279" s="2"/>
      <c r="J279" s="2"/>
      <c r="L279" s="93"/>
      <c r="M279" s="96"/>
      <c r="N279" s="93"/>
      <c r="P279" s="93"/>
      <c r="S279" s="2"/>
      <c r="T279" s="2"/>
      <c r="U279" s="2"/>
    </row>
    <row r="280" spans="1:21" ht="12.75">
      <c r="A280" s="34">
        <f t="shared" si="12"/>
        <v>1613</v>
      </c>
      <c r="B280" s="388"/>
      <c r="C280" s="389" t="e">
        <f>'A-G'!#REF!</f>
        <v>#REF!</v>
      </c>
      <c r="D280" s="397"/>
      <c r="E280" s="1"/>
      <c r="G280" s="5"/>
      <c r="H280" s="2"/>
      <c r="J280" s="2"/>
      <c r="L280" s="93"/>
      <c r="M280" s="96"/>
      <c r="N280" s="93"/>
      <c r="P280" s="93"/>
      <c r="S280" s="2"/>
      <c r="T280" s="2"/>
      <c r="U280" s="2"/>
    </row>
    <row r="281" spans="1:21" ht="12.75">
      <c r="A281" s="34">
        <f t="shared" si="12"/>
        <v>1614</v>
      </c>
      <c r="B281" s="388"/>
      <c r="C281" s="389" t="e">
        <f>'A-G'!#REF!</f>
        <v>#REF!</v>
      </c>
      <c r="D281" s="397"/>
      <c r="E281" s="1"/>
      <c r="G281" s="5"/>
      <c r="H281" s="2"/>
      <c r="J281" s="2"/>
      <c r="L281" s="93"/>
      <c r="M281" s="96"/>
      <c r="N281" s="93"/>
      <c r="P281" s="93"/>
      <c r="S281" s="2"/>
      <c r="T281" s="2"/>
      <c r="U281" s="2"/>
    </row>
    <row r="282" spans="1:21" ht="12.75">
      <c r="A282" s="34">
        <f t="shared" si="12"/>
        <v>1615</v>
      </c>
      <c r="B282" s="388"/>
      <c r="C282" s="389" t="e">
        <f>'A-G'!#REF!</f>
        <v>#REF!</v>
      </c>
      <c r="D282" s="397"/>
      <c r="E282" s="1"/>
      <c r="G282" s="5"/>
      <c r="H282" s="2"/>
      <c r="J282" s="2"/>
      <c r="L282" s="93"/>
      <c r="M282" s="96"/>
      <c r="N282" s="93"/>
      <c r="P282" s="93"/>
      <c r="S282" s="2"/>
      <c r="T282" s="2"/>
      <c r="U282" s="2"/>
    </row>
    <row r="283" spans="1:21" ht="12.75">
      <c r="A283" s="34">
        <f t="shared" si="12"/>
        <v>1616</v>
      </c>
      <c r="B283" s="388"/>
      <c r="C283" s="403"/>
      <c r="D283" s="390">
        <f>'A-G'!D69</f>
        <v>0</v>
      </c>
      <c r="E283" s="1"/>
      <c r="G283" s="5"/>
      <c r="H283" s="2"/>
      <c r="J283" s="2"/>
      <c r="L283" s="93"/>
      <c r="M283" s="96"/>
      <c r="N283" s="93"/>
      <c r="P283" s="93"/>
      <c r="S283" s="2"/>
      <c r="T283" s="2"/>
      <c r="U283" s="2"/>
    </row>
    <row r="284" spans="1:21" ht="12.75">
      <c r="A284" s="34">
        <f t="shared" si="12"/>
        <v>1617</v>
      </c>
      <c r="B284" s="388"/>
      <c r="C284" s="390">
        <f>'A-G'!C70</f>
        <v>0</v>
      </c>
      <c r="D284" s="397"/>
      <c r="E284" s="1"/>
      <c r="G284" s="5"/>
      <c r="H284" s="2"/>
      <c r="J284" s="2"/>
      <c r="L284" s="93"/>
      <c r="M284" s="96"/>
      <c r="N284" s="93"/>
      <c r="P284" s="93"/>
      <c r="S284" s="2"/>
      <c r="T284" s="2"/>
      <c r="U284" s="2"/>
    </row>
    <row r="285" spans="1:21" ht="12.75">
      <c r="A285" s="35">
        <f t="shared" si="12"/>
        <v>1618</v>
      </c>
      <c r="B285" s="388"/>
      <c r="C285" s="389" t="e">
        <f>'A-G'!#REF!</f>
        <v>#REF!</v>
      </c>
      <c r="D285" s="398"/>
      <c r="E285" s="1"/>
      <c r="G285" s="5"/>
      <c r="H285" s="2"/>
      <c r="J285" s="2"/>
      <c r="L285" s="93"/>
      <c r="M285" s="96"/>
      <c r="N285" s="93"/>
      <c r="P285" s="93"/>
      <c r="S285" s="2"/>
      <c r="T285" s="2"/>
      <c r="U285" s="2"/>
    </row>
    <row r="286" spans="1:21" ht="12.75">
      <c r="A286" s="37">
        <f t="shared" si="12"/>
        <v>1619</v>
      </c>
      <c r="B286" s="38"/>
      <c r="C286" s="292"/>
      <c r="D286" s="308"/>
      <c r="E286" s="1"/>
      <c r="G286" s="5"/>
      <c r="H286" s="2"/>
      <c r="J286" s="2"/>
      <c r="L286" s="93"/>
      <c r="M286" s="96"/>
      <c r="N286" s="93"/>
      <c r="P286" s="93"/>
      <c r="S286" s="2"/>
      <c r="T286" s="2"/>
      <c r="U286" s="2"/>
    </row>
    <row r="287" spans="4:7" ht="12.75">
      <c r="D287" s="2"/>
      <c r="G287" s="2"/>
    </row>
    <row r="288" spans="1:21" ht="12.75" customHeight="1">
      <c r="A288" s="21"/>
      <c r="B288" s="105" t="s">
        <v>399</v>
      </c>
      <c r="C288" s="404" t="s">
        <v>401</v>
      </c>
      <c r="D288" s="405"/>
      <c r="G288" s="93"/>
      <c r="H288" s="96"/>
      <c r="I288" s="93"/>
      <c r="J288" s="93"/>
      <c r="K288" s="93"/>
      <c r="L288" s="93"/>
      <c r="M288" s="93"/>
      <c r="O288" s="2"/>
      <c r="P288" s="2"/>
      <c r="Q288" s="2"/>
      <c r="R288" s="2"/>
      <c r="S288" s="2"/>
      <c r="T288" s="2"/>
      <c r="U288" s="2"/>
    </row>
    <row r="289" spans="1:21" ht="12.75">
      <c r="A289" s="21"/>
      <c r="B289" s="109" t="s">
        <v>400</v>
      </c>
      <c r="C289" s="406" t="s">
        <v>402</v>
      </c>
      <c r="D289" s="407"/>
      <c r="G289" s="93"/>
      <c r="H289" s="96"/>
      <c r="I289" s="93"/>
      <c r="J289" s="93"/>
      <c r="K289" s="93"/>
      <c r="L289" s="93"/>
      <c r="M289" s="93"/>
      <c r="O289" s="2"/>
      <c r="P289" s="2"/>
      <c r="Q289" s="2"/>
      <c r="R289" s="2"/>
      <c r="S289" s="2"/>
      <c r="T289" s="2"/>
      <c r="U289" s="2"/>
    </row>
    <row r="290" spans="1:21" ht="12.75">
      <c r="A290" s="26"/>
      <c r="B290" s="29"/>
      <c r="C290" s="29"/>
      <c r="D290" s="196"/>
      <c r="G290" s="93"/>
      <c r="H290" s="96"/>
      <c r="I290" s="93"/>
      <c r="J290" s="93"/>
      <c r="K290" s="93"/>
      <c r="L290" s="93"/>
      <c r="M290" s="93"/>
      <c r="O290" s="2"/>
      <c r="P290" s="2"/>
      <c r="Q290" s="2"/>
      <c r="R290" s="2"/>
      <c r="S290" s="2"/>
      <c r="T290" s="2"/>
      <c r="U290" s="2"/>
    </row>
    <row r="291" spans="1:21" ht="12.75">
      <c r="A291" s="159" t="s">
        <v>14</v>
      </c>
      <c r="B291" s="387"/>
      <c r="C291" s="95"/>
      <c r="D291" s="408"/>
      <c r="G291" s="93"/>
      <c r="H291" s="96"/>
      <c r="I291" s="93"/>
      <c r="J291" s="93"/>
      <c r="K291" s="93"/>
      <c r="L291" s="93"/>
      <c r="M291" s="93"/>
      <c r="O291" s="2"/>
      <c r="P291" s="2"/>
      <c r="Q291" s="2"/>
      <c r="R291" s="2"/>
      <c r="S291" s="2"/>
      <c r="T291" s="2"/>
      <c r="U291" s="2"/>
    </row>
    <row r="292" spans="1:21" ht="12.75">
      <c r="A292" s="31" t="e">
        <f>'A-G'!#REF!</f>
        <v>#REF!</v>
      </c>
      <c r="B292" s="389" t="e">
        <f>'A-G'!#REF!</f>
        <v>#REF!</v>
      </c>
      <c r="C292" s="392" t="e">
        <f>'A-G'!#REF!</f>
        <v>#REF!</v>
      </c>
      <c r="D292" s="389" t="e">
        <f>#REF!</f>
        <v>#REF!</v>
      </c>
      <c r="G292" s="93"/>
      <c r="H292" s="96"/>
      <c r="I292" s="93"/>
      <c r="J292" s="93"/>
      <c r="K292" s="93"/>
      <c r="L292" s="93"/>
      <c r="M292" s="93"/>
      <c r="O292" s="2"/>
      <c r="P292" s="2"/>
      <c r="Q292" s="2"/>
      <c r="R292" s="2"/>
      <c r="S292" s="2"/>
      <c r="T292" s="2"/>
      <c r="U292" s="2"/>
    </row>
    <row r="293" spans="1:21" ht="12.75">
      <c r="A293" s="34" t="e">
        <f aca="true" t="shared" si="13" ref="A293:A305">A292+1</f>
        <v>#REF!</v>
      </c>
      <c r="B293" s="389" t="e">
        <f>'A-G'!#REF!</f>
        <v>#REF!</v>
      </c>
      <c r="C293" s="392" t="e">
        <f>'A-G'!#REF!</f>
        <v>#REF!</v>
      </c>
      <c r="D293" s="389" t="e">
        <f>#REF!</f>
        <v>#REF!</v>
      </c>
      <c r="G293" s="93"/>
      <c r="H293" s="96"/>
      <c r="I293" s="93"/>
      <c r="J293" s="93"/>
      <c r="K293" s="93"/>
      <c r="L293" s="93"/>
      <c r="M293" s="93"/>
      <c r="O293" s="2"/>
      <c r="P293" s="2"/>
      <c r="Q293" s="2"/>
      <c r="R293" s="2"/>
      <c r="S293" s="2"/>
      <c r="T293" s="2"/>
      <c r="U293" s="2"/>
    </row>
    <row r="294" spans="1:21" ht="12.75">
      <c r="A294" s="34" t="e">
        <f t="shared" si="13"/>
        <v>#REF!</v>
      </c>
      <c r="B294" s="389" t="e">
        <f>'A-G'!#REF!</f>
        <v>#REF!</v>
      </c>
      <c r="C294" s="392" t="e">
        <f>'A-G'!#REF!</f>
        <v>#REF!</v>
      </c>
      <c r="D294" s="389" t="e">
        <f>#REF!</f>
        <v>#REF!</v>
      </c>
      <c r="G294" s="93"/>
      <c r="H294" s="96"/>
      <c r="I294" s="93"/>
      <c r="J294" s="93"/>
      <c r="K294" s="93"/>
      <c r="L294" s="93"/>
      <c r="M294" s="93"/>
      <c r="O294" s="2"/>
      <c r="P294" s="2"/>
      <c r="Q294" s="2"/>
      <c r="R294" s="2"/>
      <c r="S294" s="2"/>
      <c r="T294" s="2"/>
      <c r="U294" s="2"/>
    </row>
    <row r="295" spans="1:21" ht="12.75">
      <c r="A295" s="34" t="e">
        <f t="shared" si="13"/>
        <v>#REF!</v>
      </c>
      <c r="B295" s="389" t="e">
        <f>'A-G'!#REF!</f>
        <v>#REF!</v>
      </c>
      <c r="C295" s="392" t="e">
        <f>'A-G'!#REF!</f>
        <v>#REF!</v>
      </c>
      <c r="D295" s="389" t="e">
        <f>#REF!</f>
        <v>#REF!</v>
      </c>
      <c r="G295" s="93"/>
      <c r="H295" s="96"/>
      <c r="I295" s="93"/>
      <c r="J295" s="93"/>
      <c r="K295" s="93"/>
      <c r="L295" s="93"/>
      <c r="M295" s="93"/>
      <c r="O295" s="2"/>
      <c r="P295" s="2"/>
      <c r="Q295" s="2"/>
      <c r="R295" s="2"/>
      <c r="S295" s="2"/>
      <c r="T295" s="2"/>
      <c r="U295" s="2"/>
    </row>
    <row r="296" spans="1:21" ht="12.75">
      <c r="A296" s="34" t="e">
        <f t="shared" si="13"/>
        <v>#REF!</v>
      </c>
      <c r="B296" s="389" t="e">
        <f>'A-G'!#REF!</f>
        <v>#REF!</v>
      </c>
      <c r="C296" s="392" t="e">
        <f>'A-G'!#REF!</f>
        <v>#REF!</v>
      </c>
      <c r="D296" s="389" t="e">
        <f>#REF!</f>
        <v>#REF!</v>
      </c>
      <c r="G296" s="93"/>
      <c r="H296" s="96"/>
      <c r="I296" s="93"/>
      <c r="J296" s="93"/>
      <c r="K296" s="93"/>
      <c r="L296" s="93"/>
      <c r="M296" s="93"/>
      <c r="O296" s="2"/>
      <c r="P296" s="2"/>
      <c r="Q296" s="2"/>
      <c r="R296" s="2"/>
      <c r="S296" s="2"/>
      <c r="T296" s="2"/>
      <c r="U296" s="2"/>
    </row>
    <row r="297" spans="1:21" ht="12.75">
      <c r="A297" s="34" t="e">
        <f t="shared" si="13"/>
        <v>#REF!</v>
      </c>
      <c r="B297" s="389" t="e">
        <f>'A-G'!#REF!</f>
        <v>#REF!</v>
      </c>
      <c r="C297" s="392" t="e">
        <f>'A-G'!#REF!</f>
        <v>#REF!</v>
      </c>
      <c r="D297" s="389" t="e">
        <f>#REF!</f>
        <v>#REF!</v>
      </c>
      <c r="G297" s="93"/>
      <c r="H297" s="96"/>
      <c r="I297" s="93"/>
      <c r="J297" s="93"/>
      <c r="K297" s="93"/>
      <c r="L297" s="93"/>
      <c r="M297" s="93"/>
      <c r="O297" s="2"/>
      <c r="P297" s="2"/>
      <c r="Q297" s="2"/>
      <c r="R297" s="2"/>
      <c r="S297" s="2"/>
      <c r="T297" s="2"/>
      <c r="U297" s="2"/>
    </row>
    <row r="298" spans="1:21" ht="12.75">
      <c r="A298" s="34" t="e">
        <f t="shared" si="13"/>
        <v>#REF!</v>
      </c>
      <c r="B298" s="389" t="e">
        <f>'A-G'!#REF!</f>
        <v>#REF!</v>
      </c>
      <c r="C298" s="392" t="e">
        <f>'A-G'!#REF!</f>
        <v>#REF!</v>
      </c>
      <c r="D298" s="389" t="e">
        <f>#REF!</f>
        <v>#REF!</v>
      </c>
      <c r="G298" s="93"/>
      <c r="H298" s="96"/>
      <c r="I298" s="93"/>
      <c r="J298" s="93"/>
      <c r="K298" s="93"/>
      <c r="L298" s="93"/>
      <c r="M298" s="93"/>
      <c r="O298" s="2"/>
      <c r="P298" s="2"/>
      <c r="Q298" s="2"/>
      <c r="R298" s="2"/>
      <c r="S298" s="2"/>
      <c r="T298" s="2"/>
      <c r="U298" s="2"/>
    </row>
    <row r="299" spans="1:21" ht="12.75">
      <c r="A299" s="34" t="e">
        <f t="shared" si="13"/>
        <v>#REF!</v>
      </c>
      <c r="B299" s="389" t="e">
        <f>'A-G'!#REF!</f>
        <v>#REF!</v>
      </c>
      <c r="C299" s="392" t="e">
        <f>'A-G'!#REF!</f>
        <v>#REF!</v>
      </c>
      <c r="D299" s="389" t="e">
        <f>#REF!</f>
        <v>#REF!</v>
      </c>
      <c r="G299" s="93"/>
      <c r="H299" s="96"/>
      <c r="I299" s="93"/>
      <c r="J299" s="93"/>
      <c r="K299" s="93"/>
      <c r="L299" s="93"/>
      <c r="M299" s="93"/>
      <c r="O299" s="2"/>
      <c r="P299" s="2"/>
      <c r="Q299" s="2"/>
      <c r="R299" s="2"/>
      <c r="S299" s="2"/>
      <c r="T299" s="2"/>
      <c r="U299" s="2"/>
    </row>
    <row r="300" spans="1:21" ht="12.75">
      <c r="A300" s="34" t="e">
        <f t="shared" si="13"/>
        <v>#REF!</v>
      </c>
      <c r="B300" s="389" t="e">
        <f>'A-G'!#REF!</f>
        <v>#REF!</v>
      </c>
      <c r="C300" s="392" t="e">
        <f>'A-G'!#REF!</f>
        <v>#REF!</v>
      </c>
      <c r="D300" s="389" t="e">
        <f>#REF!</f>
        <v>#REF!</v>
      </c>
      <c r="G300" s="93"/>
      <c r="H300" s="96"/>
      <c r="I300" s="93"/>
      <c r="J300" s="93"/>
      <c r="K300" s="93"/>
      <c r="L300" s="93"/>
      <c r="M300" s="93"/>
      <c r="O300" s="2"/>
      <c r="P300" s="2"/>
      <c r="Q300" s="2"/>
      <c r="R300" s="2"/>
      <c r="S300" s="2"/>
      <c r="T300" s="2"/>
      <c r="U300" s="2"/>
    </row>
    <row r="301" spans="1:21" ht="12.75">
      <c r="A301" s="34" t="e">
        <f t="shared" si="13"/>
        <v>#REF!</v>
      </c>
      <c r="B301" s="389" t="e">
        <f>'A-G'!#REF!</f>
        <v>#REF!</v>
      </c>
      <c r="C301" s="392" t="e">
        <f>'A-G'!#REF!</f>
        <v>#REF!</v>
      </c>
      <c r="D301" s="389" t="e">
        <f>#REF!</f>
        <v>#REF!</v>
      </c>
      <c r="G301" s="93"/>
      <c r="H301" s="96"/>
      <c r="I301" s="93"/>
      <c r="J301" s="93"/>
      <c r="K301" s="93"/>
      <c r="L301" s="93"/>
      <c r="M301" s="93"/>
      <c r="O301" s="2"/>
      <c r="P301" s="2"/>
      <c r="Q301" s="2"/>
      <c r="R301" s="2"/>
      <c r="S301" s="2"/>
      <c r="T301" s="2"/>
      <c r="U301" s="2"/>
    </row>
    <row r="302" spans="1:21" ht="12.75">
      <c r="A302" s="34" t="e">
        <f t="shared" si="13"/>
        <v>#REF!</v>
      </c>
      <c r="B302" s="389" t="e">
        <f>'A-G'!#REF!</f>
        <v>#REF!</v>
      </c>
      <c r="C302" s="392" t="e">
        <f>'A-G'!#REF!</f>
        <v>#REF!</v>
      </c>
      <c r="D302" s="389" t="e">
        <f>#REF!</f>
        <v>#REF!</v>
      </c>
      <c r="G302" s="93"/>
      <c r="H302" s="96"/>
      <c r="I302" s="93"/>
      <c r="J302" s="93"/>
      <c r="K302" s="93"/>
      <c r="L302" s="93"/>
      <c r="M302" s="93"/>
      <c r="O302" s="2"/>
      <c r="P302" s="2"/>
      <c r="Q302" s="2"/>
      <c r="R302" s="2"/>
      <c r="S302" s="2"/>
      <c r="T302" s="2"/>
      <c r="U302" s="2"/>
    </row>
    <row r="303" spans="1:21" ht="12.75">
      <c r="A303" s="34" t="e">
        <f t="shared" si="13"/>
        <v>#REF!</v>
      </c>
      <c r="B303" s="389" t="e">
        <f>'A-G'!#REF!</f>
        <v>#REF!</v>
      </c>
      <c r="C303" s="392" t="e">
        <f>'A-G'!#REF!</f>
        <v>#REF!</v>
      </c>
      <c r="D303" s="389" t="e">
        <f>#REF!</f>
        <v>#REF!</v>
      </c>
      <c r="G303" s="93"/>
      <c r="H303" s="96"/>
      <c r="I303" s="93"/>
      <c r="J303" s="93"/>
      <c r="K303" s="93"/>
      <c r="L303" s="93"/>
      <c r="M303" s="93"/>
      <c r="O303" s="2"/>
      <c r="P303" s="2"/>
      <c r="Q303" s="2"/>
      <c r="R303" s="2"/>
      <c r="S303" s="2"/>
      <c r="T303" s="2"/>
      <c r="U303" s="2"/>
    </row>
    <row r="304" spans="1:21" ht="12.75">
      <c r="A304" s="35" t="e">
        <f t="shared" si="13"/>
        <v>#REF!</v>
      </c>
      <c r="B304" s="389" t="e">
        <f>'A-G'!#REF!</f>
        <v>#REF!</v>
      </c>
      <c r="C304" s="409" t="e">
        <f>'A-G'!#REF!</f>
        <v>#REF!</v>
      </c>
      <c r="D304" s="389" t="e">
        <f>#REF!</f>
        <v>#REF!</v>
      </c>
      <c r="G304" s="93"/>
      <c r="H304" s="96"/>
      <c r="I304" s="93"/>
      <c r="J304" s="93"/>
      <c r="K304" s="93"/>
      <c r="L304" s="93"/>
      <c r="M304" s="93"/>
      <c r="O304" s="2"/>
      <c r="P304" s="2"/>
      <c r="Q304" s="2"/>
      <c r="R304" s="2"/>
      <c r="S304" s="2"/>
      <c r="T304" s="2"/>
      <c r="U304" s="2"/>
    </row>
    <row r="305" spans="1:21" ht="12.75">
      <c r="A305" s="37" t="e">
        <f t="shared" si="13"/>
        <v>#REF!</v>
      </c>
      <c r="B305" s="292"/>
      <c r="C305" s="329"/>
      <c r="D305" s="329"/>
      <c r="G305" s="93"/>
      <c r="H305" s="96"/>
      <c r="I305" s="93"/>
      <c r="J305" s="93"/>
      <c r="K305" s="93"/>
      <c r="L305" s="93"/>
      <c r="M305" s="93"/>
      <c r="O305" s="2"/>
      <c r="P305" s="2"/>
      <c r="Q305" s="2"/>
      <c r="R305" s="2"/>
      <c r="S305" s="2"/>
      <c r="T305" s="2"/>
      <c r="U305" s="2"/>
    </row>
    <row r="306" spans="1:21" ht="12.75">
      <c r="A306" s="41"/>
      <c r="B306" s="42"/>
      <c r="C306" s="90"/>
      <c r="D306" s="42"/>
      <c r="E306" s="42"/>
      <c r="F306" s="42"/>
      <c r="G306" s="2"/>
      <c r="H306" s="2"/>
      <c r="J306" s="93"/>
      <c r="K306" s="96"/>
      <c r="L306" s="93"/>
      <c r="M306" s="93"/>
      <c r="N306" s="93"/>
      <c r="P306" s="93"/>
      <c r="Q306" s="2"/>
      <c r="R306" s="2"/>
      <c r="S306" s="2"/>
      <c r="T306" s="2"/>
      <c r="U306" s="2"/>
    </row>
    <row r="307" spans="1:21" ht="12.75">
      <c r="A307" s="211"/>
      <c r="B307" s="212" t="s">
        <v>373</v>
      </c>
      <c r="C307" s="25" t="s">
        <v>16</v>
      </c>
      <c r="D307" s="25" t="s">
        <v>26</v>
      </c>
      <c r="G307" s="2"/>
      <c r="H307" s="93"/>
      <c r="I307" s="96"/>
      <c r="J307" s="93"/>
      <c r="K307" s="93"/>
      <c r="L307" s="93"/>
      <c r="M307" s="93"/>
      <c r="N307" s="93"/>
      <c r="O307" s="2"/>
      <c r="P307" s="2"/>
      <c r="Q307" s="2"/>
      <c r="R307" s="2"/>
      <c r="S307" s="2"/>
      <c r="T307" s="2"/>
      <c r="U307" s="2"/>
    </row>
    <row r="308" spans="1:21" ht="12.75">
      <c r="A308" s="14"/>
      <c r="B308" s="29"/>
      <c r="C308" s="42"/>
      <c r="D308" s="161"/>
      <c r="E308" s="90"/>
      <c r="F308" s="90"/>
      <c r="G308" s="29"/>
      <c r="H308" s="42"/>
      <c r="I308" s="161"/>
      <c r="J308" s="2"/>
      <c r="M308" s="93"/>
      <c r="N308" s="96"/>
      <c r="P308" s="93"/>
      <c r="T308" s="2"/>
      <c r="U308" s="2"/>
    </row>
    <row r="309" spans="1:21" ht="12.75">
      <c r="A309" s="41" t="s">
        <v>15</v>
      </c>
      <c r="B309" s="163"/>
      <c r="C309" s="42"/>
      <c r="D309" s="42"/>
      <c r="E309" s="90"/>
      <c r="F309" s="90"/>
      <c r="G309" s="163"/>
      <c r="H309" s="42"/>
      <c r="I309" s="42"/>
      <c r="J309" s="2"/>
      <c r="M309" s="93"/>
      <c r="N309" s="96"/>
      <c r="P309" s="93"/>
      <c r="T309" s="2"/>
      <c r="U309" s="2"/>
    </row>
    <row r="310" spans="1:21" ht="12.75">
      <c r="A310" s="262" t="e">
        <f>A305+1</f>
        <v>#REF!</v>
      </c>
      <c r="B310" s="270">
        <f>'A-G'!F80</f>
        <v>9.5</v>
      </c>
      <c r="C310" s="367"/>
      <c r="D310" s="5"/>
      <c r="E310" s="31" t="e">
        <f>A315+1</f>
        <v>#REF!</v>
      </c>
      <c r="F310" s="270">
        <f>'A-G'!F86</f>
        <v>3.5</v>
      </c>
      <c r="G310" s="2"/>
      <c r="H310" s="2"/>
      <c r="J310" s="93"/>
      <c r="K310" s="96"/>
      <c r="L310" s="93"/>
      <c r="M310" s="93"/>
      <c r="N310" s="93"/>
      <c r="P310" s="93"/>
      <c r="Q310" s="2"/>
      <c r="R310" s="2"/>
      <c r="S310" s="2"/>
      <c r="T310" s="2"/>
      <c r="U310" s="2"/>
    </row>
    <row r="311" spans="1:21" ht="12.75">
      <c r="A311" s="34" t="e">
        <f>A310+1</f>
        <v>#REF!</v>
      </c>
      <c r="B311" s="270">
        <f>'A-G'!F81</f>
        <v>8.5</v>
      </c>
      <c r="C311" s="367"/>
      <c r="D311" s="5"/>
      <c r="E311" s="34" t="e">
        <f>E310+1</f>
        <v>#REF!</v>
      </c>
      <c r="F311" s="270">
        <f>'A-G'!F88</f>
        <v>1.5</v>
      </c>
      <c r="G311" s="2"/>
      <c r="H311" s="2"/>
      <c r="J311" s="93"/>
      <c r="K311" s="96"/>
      <c r="L311" s="93"/>
      <c r="M311" s="93"/>
      <c r="N311" s="93"/>
      <c r="P311" s="93"/>
      <c r="Q311" s="2"/>
      <c r="R311" s="2"/>
      <c r="S311" s="2"/>
      <c r="T311" s="2"/>
      <c r="U311" s="2"/>
    </row>
    <row r="312" spans="1:21" ht="12.75">
      <c r="A312" s="34" t="e">
        <f>A311+1</f>
        <v>#REF!</v>
      </c>
      <c r="B312" s="270">
        <f>'A-G'!F82</f>
        <v>7.5</v>
      </c>
      <c r="C312" s="367"/>
      <c r="D312" s="5"/>
      <c r="E312" s="34" t="e">
        <f>E311+1</f>
        <v>#REF!</v>
      </c>
      <c r="F312" s="270" t="e">
        <f>'A-G'!#REF!</f>
        <v>#REF!</v>
      </c>
      <c r="G312" s="2"/>
      <c r="H312" s="2"/>
      <c r="J312" s="93"/>
      <c r="K312" s="96"/>
      <c r="L312" s="93"/>
      <c r="M312" s="93"/>
      <c r="N312" s="93"/>
      <c r="P312" s="93"/>
      <c r="Q312" s="2"/>
      <c r="R312" s="2"/>
      <c r="S312" s="2"/>
      <c r="T312" s="2"/>
      <c r="U312" s="2"/>
    </row>
    <row r="313" spans="1:21" ht="12.75">
      <c r="A313" s="34" t="e">
        <f>A312+1</f>
        <v>#REF!</v>
      </c>
      <c r="B313" s="270">
        <f>'A-G'!F83</f>
        <v>6.5</v>
      </c>
      <c r="C313" s="367"/>
      <c r="D313" s="5"/>
      <c r="E313" s="34" t="e">
        <f>E312+1</f>
        <v>#REF!</v>
      </c>
      <c r="F313" s="270" t="e">
        <f>'A-G'!#REF!</f>
        <v>#REF!</v>
      </c>
      <c r="G313" s="2"/>
      <c r="H313" s="2"/>
      <c r="J313" s="93"/>
      <c r="K313" s="96"/>
      <c r="L313" s="93"/>
      <c r="M313" s="93"/>
      <c r="N313" s="93"/>
      <c r="P313" s="93"/>
      <c r="Q313" s="2"/>
      <c r="R313" s="2"/>
      <c r="S313" s="2"/>
      <c r="T313" s="2"/>
      <c r="U313" s="2"/>
    </row>
    <row r="314" spans="1:21" ht="12.75">
      <c r="A314" s="54" t="e">
        <f>A312+1</f>
        <v>#REF!</v>
      </c>
      <c r="B314" s="270">
        <f>'A-G'!F84</f>
        <v>5.5</v>
      </c>
      <c r="C314" s="367"/>
      <c r="D314" s="5"/>
      <c r="E314" s="34" t="e">
        <f>E313+1</f>
        <v>#REF!</v>
      </c>
      <c r="F314" s="270">
        <f>'A-G'!F89</f>
        <v>0.5</v>
      </c>
      <c r="G314" s="2"/>
      <c r="H314" s="2"/>
      <c r="J314" s="93"/>
      <c r="K314" s="96"/>
      <c r="L314" s="93"/>
      <c r="M314" s="93"/>
      <c r="N314" s="93"/>
      <c r="P314" s="93"/>
      <c r="Q314" s="2"/>
      <c r="R314" s="2"/>
      <c r="S314" s="2"/>
      <c r="T314" s="2"/>
      <c r="U314" s="2"/>
    </row>
    <row r="315" spans="1:21" ht="12.75">
      <c r="A315" s="54" t="e">
        <f>A313+1</f>
        <v>#REF!</v>
      </c>
      <c r="B315" s="270">
        <f>'A-G'!F85</f>
        <v>4.5</v>
      </c>
      <c r="C315" s="367"/>
      <c r="D315" s="5"/>
      <c r="E315" s="37" t="e">
        <f>E314+1</f>
        <v>#REF!</v>
      </c>
      <c r="F315" s="344"/>
      <c r="G315" s="2"/>
      <c r="H315" s="2"/>
      <c r="J315" s="93"/>
      <c r="K315" s="96"/>
      <c r="L315" s="93"/>
      <c r="M315" s="93"/>
      <c r="N315" s="93"/>
      <c r="P315" s="93"/>
      <c r="Q315" s="2"/>
      <c r="R315" s="2"/>
      <c r="S315" s="2"/>
      <c r="T315" s="2"/>
      <c r="U315" s="2"/>
    </row>
    <row r="316" spans="1:11" ht="12.75">
      <c r="A316" s="162" t="e">
        <f>CONCATENATE("* zie onderbouwing regel 40 laatste rekenstaat ",#REF!,)</f>
        <v>#REF!</v>
      </c>
      <c r="B316" s="132"/>
      <c r="C316" s="328"/>
      <c r="D316" s="345"/>
      <c r="E316" s="328"/>
      <c r="F316" s="5"/>
      <c r="G316" s="165"/>
      <c r="H316" s="87"/>
      <c r="I316" s="87"/>
      <c r="J316" s="87"/>
      <c r="K316" s="87"/>
    </row>
    <row r="317" spans="1:10" ht="12.75">
      <c r="A317" s="166"/>
      <c r="B317" s="163"/>
      <c r="C317" s="163"/>
      <c r="D317" s="163"/>
      <c r="E317" s="164"/>
      <c r="F317" s="165"/>
      <c r="G317" s="165"/>
      <c r="H317" s="119"/>
      <c r="I317" s="119"/>
      <c r="J317" s="2"/>
    </row>
    <row r="318" spans="1:21" ht="12.75">
      <c r="A318" s="41" t="s">
        <v>17</v>
      </c>
      <c r="B318" s="27" t="s">
        <v>25</v>
      </c>
      <c r="D318" s="2"/>
      <c r="G318" s="2"/>
      <c r="H318" s="93"/>
      <c r="I318" s="96"/>
      <c r="J318" s="93"/>
      <c r="K318" s="93"/>
      <c r="L318" s="93"/>
      <c r="M318" s="93"/>
      <c r="N318" s="93"/>
      <c r="O318" s="2"/>
      <c r="P318" s="2"/>
      <c r="Q318" s="2"/>
      <c r="R318" s="2"/>
      <c r="S318" s="2"/>
      <c r="T318" s="2"/>
      <c r="U318" s="2"/>
    </row>
    <row r="319" spans="1:21" ht="12.75">
      <c r="A319" s="37" t="e">
        <f>Uitvoer!E315+1</f>
        <v>#REF!</v>
      </c>
      <c r="B319" s="134"/>
      <c r="C319" s="190"/>
      <c r="D319" s="410">
        <f>Uitvoer!F170</f>
        <v>0</v>
      </c>
      <c r="G319" s="2"/>
      <c r="H319" s="93"/>
      <c r="I319" s="96"/>
      <c r="J319" s="93"/>
      <c r="K319" s="93"/>
      <c r="L319" s="93"/>
      <c r="M319" s="93"/>
      <c r="N319" s="93"/>
      <c r="O319" s="2"/>
      <c r="P319" s="2"/>
      <c r="Q319" s="2"/>
      <c r="R319" s="2"/>
      <c r="S319" s="2"/>
      <c r="T319" s="2"/>
      <c r="U319" s="2"/>
    </row>
    <row r="320" spans="1:21" ht="12.75">
      <c r="A320" s="37" t="e">
        <f>A319+1</f>
        <v>#REF!</v>
      </c>
      <c r="B320" s="191"/>
      <c r="C320" s="192"/>
      <c r="D320" s="295">
        <v>1138502</v>
      </c>
      <c r="G320" s="2"/>
      <c r="H320" s="93"/>
      <c r="I320" s="96"/>
      <c r="J320" s="93"/>
      <c r="K320" s="93"/>
      <c r="L320" s="93"/>
      <c r="M320" s="93"/>
      <c r="N320" s="93"/>
      <c r="O320" s="2"/>
      <c r="P320" s="2"/>
      <c r="Q320" s="2"/>
      <c r="R320" s="2"/>
      <c r="S320" s="2"/>
      <c r="T320" s="2"/>
      <c r="U320" s="2"/>
    </row>
    <row r="321" spans="1:21" ht="12.75">
      <c r="A321" s="37" t="e">
        <f>A320+1</f>
        <v>#REF!</v>
      </c>
      <c r="B321" s="193"/>
      <c r="C321" s="194"/>
      <c r="D321" s="195"/>
      <c r="G321" s="2"/>
      <c r="H321" s="93"/>
      <c r="I321" s="96"/>
      <c r="J321" s="93"/>
      <c r="K321" s="93"/>
      <c r="L321" s="93"/>
      <c r="M321" s="93"/>
      <c r="N321" s="93"/>
      <c r="O321" s="2"/>
      <c r="P321" s="2"/>
      <c r="Q321" s="2"/>
      <c r="R321" s="2"/>
      <c r="S321" s="2"/>
      <c r="T321" s="2"/>
      <c r="U321" s="2"/>
    </row>
    <row r="322" spans="3:10" ht="12.75">
      <c r="C322" s="5"/>
      <c r="D322" s="2"/>
      <c r="G322" s="2"/>
      <c r="H322" s="2"/>
      <c r="J322" s="2"/>
    </row>
    <row r="323" spans="1:21" ht="12.75">
      <c r="A323" s="213"/>
      <c r="B323" s="213"/>
      <c r="C323" s="214" t="s">
        <v>382</v>
      </c>
      <c r="D323" s="215" t="s">
        <v>392</v>
      </c>
      <c r="E323" s="215" t="s">
        <v>393</v>
      </c>
      <c r="F323" s="215" t="s">
        <v>375</v>
      </c>
      <c r="G323" s="411" t="e">
        <f>CONCATENATE("Aflossing ",#REF!)</f>
        <v>#REF!</v>
      </c>
      <c r="H323" s="302"/>
      <c r="I323" s="302"/>
      <c r="J323" s="302"/>
      <c r="K323" s="302"/>
      <c r="L323" s="302"/>
      <c r="M323" s="302"/>
      <c r="N323" s="303"/>
      <c r="O323" s="198" t="s">
        <v>78</v>
      </c>
      <c r="P323" s="93"/>
      <c r="T323" s="2"/>
      <c r="U323" s="2"/>
    </row>
    <row r="324" spans="1:21" ht="12.75">
      <c r="A324" s="216"/>
      <c r="B324" s="216"/>
      <c r="C324" s="217"/>
      <c r="D324" s="217"/>
      <c r="E324" s="217"/>
      <c r="F324" s="218" t="e">
        <f>CONCATENATE("31-12-",#REF!-1," ")</f>
        <v>#REF!</v>
      </c>
      <c r="G324" s="219" t="s">
        <v>394</v>
      </c>
      <c r="H324" s="220" t="s">
        <v>389</v>
      </c>
      <c r="I324" s="411" t="s">
        <v>390</v>
      </c>
      <c r="J324" s="412"/>
      <c r="K324" s="412"/>
      <c r="L324" s="412"/>
      <c r="M324" s="412"/>
      <c r="N324" s="413"/>
      <c r="O324" s="109" t="s">
        <v>79</v>
      </c>
      <c r="P324" s="93"/>
      <c r="Q324" s="2"/>
      <c r="R324" s="2"/>
      <c r="S324" s="2"/>
      <c r="T324" s="2"/>
      <c r="U324" s="2"/>
    </row>
    <row r="325" spans="1:21" ht="12.75">
      <c r="A325" s="169"/>
      <c r="B325" s="169"/>
      <c r="C325" s="92"/>
      <c r="D325" s="92"/>
      <c r="E325" s="92"/>
      <c r="F325" s="92"/>
      <c r="G325" s="92"/>
      <c r="H325" s="92"/>
      <c r="I325" s="92"/>
      <c r="J325" s="91"/>
      <c r="K325" s="92"/>
      <c r="L325" s="92"/>
      <c r="M325" s="92"/>
      <c r="N325" s="92"/>
      <c r="O325" s="92"/>
      <c r="P325" s="93"/>
      <c r="Q325" s="2"/>
      <c r="R325" s="2"/>
      <c r="S325" s="2"/>
      <c r="T325" s="2"/>
      <c r="U325" s="2"/>
    </row>
    <row r="326" spans="1:21" ht="12.75">
      <c r="A326" s="41" t="s">
        <v>28</v>
      </c>
      <c r="B326" s="167"/>
      <c r="C326" s="168"/>
      <c r="D326" s="168"/>
      <c r="E326" s="168"/>
      <c r="F326" s="168"/>
      <c r="G326" s="168"/>
      <c r="H326" s="168"/>
      <c r="I326" s="168"/>
      <c r="J326" s="168"/>
      <c r="K326" s="168"/>
      <c r="L326" s="168"/>
      <c r="M326" s="168"/>
      <c r="N326" s="42"/>
      <c r="P326" s="2"/>
      <c r="Q326" s="2"/>
      <c r="R326" s="2"/>
      <c r="S326" s="2"/>
      <c r="T326" s="2"/>
      <c r="U326" s="2"/>
    </row>
    <row r="327" spans="1:21" ht="12.75">
      <c r="A327" s="31">
        <f>H!A8</f>
        <v>1801</v>
      </c>
      <c r="B327" s="414">
        <f>H!B8</f>
        <v>0</v>
      </c>
      <c r="C327" s="136">
        <f>H!D8</f>
        <v>0</v>
      </c>
      <c r="D327" s="415">
        <f>H!E8</f>
        <v>0</v>
      </c>
      <c r="E327" s="270">
        <f>H!F8</f>
        <v>0</v>
      </c>
      <c r="F327" s="270">
        <f>H!H8</f>
        <v>0</v>
      </c>
      <c r="G327" s="270">
        <f>H!I8</f>
        <v>0</v>
      </c>
      <c r="H327" s="266">
        <f>H!J8</f>
        <v>0</v>
      </c>
      <c r="I327" s="266">
        <f>H!K8</f>
        <v>0</v>
      </c>
      <c r="J327" s="266">
        <f>H!L8</f>
        <v>0</v>
      </c>
      <c r="K327" s="266">
        <f>H!M8</f>
        <v>0</v>
      </c>
      <c r="L327" s="266">
        <f>H!N8</f>
        <v>0</v>
      </c>
      <c r="M327" s="266">
        <f>H!O8</f>
        <v>0</v>
      </c>
      <c r="N327" s="266">
        <f>H!P8</f>
        <v>0</v>
      </c>
      <c r="O327" s="270">
        <f>H!S8</f>
        <v>0</v>
      </c>
      <c r="P327" s="93"/>
      <c r="Q327" s="2"/>
      <c r="R327" s="2"/>
      <c r="S327" s="2"/>
      <c r="T327" s="2"/>
      <c r="U327" s="2"/>
    </row>
    <row r="328" spans="1:21" ht="12.75">
      <c r="A328" s="31">
        <f aca="true" t="shared" si="14" ref="A328:A350">A327+1</f>
        <v>1802</v>
      </c>
      <c r="B328" s="414">
        <f>H!B9</f>
        <v>0</v>
      </c>
      <c r="C328" s="136">
        <f>H!D9</f>
        <v>0</v>
      </c>
      <c r="D328" s="415">
        <f>H!E9</f>
        <v>0</v>
      </c>
      <c r="E328" s="270">
        <f>H!F9</f>
        <v>0</v>
      </c>
      <c r="F328" s="270">
        <f>H!H9</f>
        <v>0</v>
      </c>
      <c r="G328" s="270">
        <f>H!I9</f>
        <v>0</v>
      </c>
      <c r="H328" s="266">
        <f>H!J9</f>
        <v>0</v>
      </c>
      <c r="I328" s="266">
        <f>H!K9</f>
        <v>0</v>
      </c>
      <c r="J328" s="266">
        <f>H!L9</f>
        <v>0</v>
      </c>
      <c r="K328" s="266">
        <f>H!M9</f>
        <v>0</v>
      </c>
      <c r="L328" s="266">
        <f>H!N9</f>
        <v>0</v>
      </c>
      <c r="M328" s="266">
        <f>H!O9</f>
        <v>0</v>
      </c>
      <c r="N328" s="266">
        <f>H!P9</f>
        <v>0</v>
      </c>
      <c r="O328" s="270">
        <f>H!T9</f>
        <v>0</v>
      </c>
      <c r="P328" s="93"/>
      <c r="Q328" s="2"/>
      <c r="R328" s="2"/>
      <c r="S328" s="2"/>
      <c r="T328" s="2"/>
      <c r="U328" s="2"/>
    </row>
    <row r="329" spans="1:21" ht="12.75">
      <c r="A329" s="31">
        <f t="shared" si="14"/>
        <v>1803</v>
      </c>
      <c r="B329" s="414">
        <f>H!B10</f>
        <v>0</v>
      </c>
      <c r="C329" s="136">
        <f>H!D10</f>
        <v>0</v>
      </c>
      <c r="D329" s="415">
        <f>H!E10</f>
        <v>0</v>
      </c>
      <c r="E329" s="270">
        <f>H!F10</f>
        <v>0</v>
      </c>
      <c r="F329" s="270">
        <f>H!H10</f>
        <v>0</v>
      </c>
      <c r="G329" s="270">
        <f>H!I10</f>
        <v>0</v>
      </c>
      <c r="H329" s="266">
        <f>H!J10</f>
        <v>0</v>
      </c>
      <c r="I329" s="266">
        <f>H!K10</f>
        <v>0</v>
      </c>
      <c r="J329" s="266">
        <f>H!L10</f>
        <v>0</v>
      </c>
      <c r="K329" s="266">
        <f>H!M10</f>
        <v>0</v>
      </c>
      <c r="L329" s="266">
        <f>H!N10</f>
        <v>0</v>
      </c>
      <c r="M329" s="266">
        <f>H!O10</f>
        <v>0</v>
      </c>
      <c r="N329" s="266">
        <f>H!P10</f>
        <v>0</v>
      </c>
      <c r="O329" s="270">
        <f>H!T10</f>
        <v>0</v>
      </c>
      <c r="P329" s="93"/>
      <c r="Q329" s="2"/>
      <c r="R329" s="2"/>
      <c r="S329" s="2"/>
      <c r="T329" s="2"/>
      <c r="U329" s="2"/>
    </row>
    <row r="330" spans="1:21" ht="12.75">
      <c r="A330" s="31">
        <f t="shared" si="14"/>
        <v>1804</v>
      </c>
      <c r="B330" s="414">
        <f>H!B11</f>
        <v>0</v>
      </c>
      <c r="C330" s="136">
        <f>H!D11</f>
        <v>0</v>
      </c>
      <c r="D330" s="415">
        <f>H!E11</f>
        <v>0</v>
      </c>
      <c r="E330" s="270">
        <f>H!F11</f>
        <v>0</v>
      </c>
      <c r="F330" s="270">
        <f>H!H11</f>
        <v>0</v>
      </c>
      <c r="G330" s="270">
        <f>H!I11</f>
        <v>0</v>
      </c>
      <c r="H330" s="266">
        <f>H!J11</f>
        <v>0</v>
      </c>
      <c r="I330" s="266">
        <f>H!K11</f>
        <v>0</v>
      </c>
      <c r="J330" s="266">
        <f>H!L11</f>
        <v>0</v>
      </c>
      <c r="K330" s="266">
        <f>H!M11</f>
        <v>0</v>
      </c>
      <c r="L330" s="266">
        <f>H!N11</f>
        <v>0</v>
      </c>
      <c r="M330" s="266">
        <f>H!O11</f>
        <v>0</v>
      </c>
      <c r="N330" s="266">
        <f>H!P11</f>
        <v>0</v>
      </c>
      <c r="O330" s="270">
        <f>H!T11</f>
        <v>0</v>
      </c>
      <c r="P330" s="93"/>
      <c r="Q330" s="2"/>
      <c r="R330" s="2"/>
      <c r="S330" s="2"/>
      <c r="T330" s="2"/>
      <c r="U330" s="2"/>
    </row>
    <row r="331" spans="1:21" ht="12.75">
      <c r="A331" s="31">
        <f t="shared" si="14"/>
        <v>1805</v>
      </c>
      <c r="B331" s="414">
        <f>H!B12</f>
        <v>0</v>
      </c>
      <c r="C331" s="136">
        <f>H!D12</f>
        <v>0</v>
      </c>
      <c r="D331" s="415">
        <f>H!E12</f>
        <v>0</v>
      </c>
      <c r="E331" s="270">
        <f>H!F12</f>
        <v>0</v>
      </c>
      <c r="F331" s="270">
        <f>H!H12</f>
        <v>0</v>
      </c>
      <c r="G331" s="270">
        <f>H!I12</f>
        <v>0</v>
      </c>
      <c r="H331" s="266">
        <f>H!J12</f>
        <v>0</v>
      </c>
      <c r="I331" s="266">
        <f>H!K12</f>
        <v>0</v>
      </c>
      <c r="J331" s="266">
        <f>H!L12</f>
        <v>0</v>
      </c>
      <c r="K331" s="266">
        <f>H!M12</f>
        <v>0</v>
      </c>
      <c r="L331" s="266">
        <f>H!N12</f>
        <v>0</v>
      </c>
      <c r="M331" s="266">
        <f>H!O12</f>
        <v>0</v>
      </c>
      <c r="N331" s="266">
        <f>H!P12</f>
        <v>0</v>
      </c>
      <c r="O331" s="270">
        <f>H!T12</f>
        <v>0</v>
      </c>
      <c r="P331" s="93"/>
      <c r="Q331" s="2"/>
      <c r="R331" s="2"/>
      <c r="S331" s="2"/>
      <c r="T331" s="2"/>
      <c r="U331" s="2"/>
    </row>
    <row r="332" spans="1:21" ht="12.75">
      <c r="A332" s="31">
        <f t="shared" si="14"/>
        <v>1806</v>
      </c>
      <c r="B332" s="414">
        <f>H!B13</f>
        <v>0</v>
      </c>
      <c r="C332" s="136">
        <f>H!D13</f>
        <v>0</v>
      </c>
      <c r="D332" s="415">
        <f>H!E13</f>
        <v>0</v>
      </c>
      <c r="E332" s="270">
        <f>H!F13</f>
        <v>0</v>
      </c>
      <c r="F332" s="270">
        <f>H!H13</f>
        <v>0</v>
      </c>
      <c r="G332" s="270">
        <f>H!I13</f>
        <v>0</v>
      </c>
      <c r="H332" s="266">
        <f>H!J13</f>
        <v>0</v>
      </c>
      <c r="I332" s="266">
        <f>H!K13</f>
        <v>0</v>
      </c>
      <c r="J332" s="266">
        <f>H!L13</f>
        <v>0</v>
      </c>
      <c r="K332" s="266">
        <f>H!M13</f>
        <v>0</v>
      </c>
      <c r="L332" s="266">
        <f>H!N13</f>
        <v>0</v>
      </c>
      <c r="M332" s="266">
        <f>H!O13</f>
        <v>0</v>
      </c>
      <c r="N332" s="266">
        <f>H!P13</f>
        <v>0</v>
      </c>
      <c r="O332" s="270">
        <f>H!T13</f>
        <v>0</v>
      </c>
      <c r="P332" s="93"/>
      <c r="Q332" s="2"/>
      <c r="R332" s="2"/>
      <c r="S332" s="2"/>
      <c r="T332" s="2"/>
      <c r="U332" s="2"/>
    </row>
    <row r="333" spans="1:21" ht="12.75">
      <c r="A333" s="31">
        <f t="shared" si="14"/>
        <v>1807</v>
      </c>
      <c r="B333" s="414">
        <f>H!B14</f>
        <v>0</v>
      </c>
      <c r="C333" s="136">
        <f>H!D14</f>
        <v>0</v>
      </c>
      <c r="D333" s="415">
        <f>H!E14</f>
        <v>0</v>
      </c>
      <c r="E333" s="270">
        <f>H!F14</f>
        <v>0</v>
      </c>
      <c r="F333" s="270">
        <f>H!H14</f>
        <v>0</v>
      </c>
      <c r="G333" s="270">
        <f>H!I14</f>
        <v>0</v>
      </c>
      <c r="H333" s="266">
        <f>H!J14</f>
        <v>0</v>
      </c>
      <c r="I333" s="266">
        <f>H!K14</f>
        <v>0</v>
      </c>
      <c r="J333" s="266">
        <f>H!L14</f>
        <v>0</v>
      </c>
      <c r="K333" s="266">
        <f>H!M14</f>
        <v>0</v>
      </c>
      <c r="L333" s="266">
        <f>H!N14</f>
        <v>0</v>
      </c>
      <c r="M333" s="266">
        <f>H!O14</f>
        <v>0</v>
      </c>
      <c r="N333" s="266">
        <f>H!P14</f>
        <v>0</v>
      </c>
      <c r="O333" s="270">
        <f>H!T14</f>
        <v>0</v>
      </c>
      <c r="P333" s="93"/>
      <c r="Q333" s="2"/>
      <c r="R333" s="2"/>
      <c r="S333" s="2"/>
      <c r="T333" s="2"/>
      <c r="U333" s="2"/>
    </row>
    <row r="334" spans="1:21" ht="12.75">
      <c r="A334" s="31">
        <f t="shared" si="14"/>
        <v>1808</v>
      </c>
      <c r="B334" s="414">
        <f>H!B15</f>
        <v>0</v>
      </c>
      <c r="C334" s="136">
        <f>H!D15</f>
        <v>0</v>
      </c>
      <c r="D334" s="415">
        <f>H!E15</f>
        <v>0</v>
      </c>
      <c r="E334" s="270">
        <f>H!F15</f>
        <v>0</v>
      </c>
      <c r="F334" s="270">
        <f>H!H15</f>
        <v>0</v>
      </c>
      <c r="G334" s="270">
        <f>H!I15</f>
        <v>0</v>
      </c>
      <c r="H334" s="266">
        <f>H!J15</f>
        <v>0</v>
      </c>
      <c r="I334" s="266">
        <f>H!K15</f>
        <v>0</v>
      </c>
      <c r="J334" s="266">
        <f>H!L15</f>
        <v>0</v>
      </c>
      <c r="K334" s="266">
        <f>H!M15</f>
        <v>0</v>
      </c>
      <c r="L334" s="266">
        <f>H!N15</f>
        <v>0</v>
      </c>
      <c r="M334" s="266">
        <f>H!O15</f>
        <v>0</v>
      </c>
      <c r="N334" s="266">
        <f>H!P15</f>
        <v>0</v>
      </c>
      <c r="O334" s="270">
        <f>H!T15</f>
        <v>0</v>
      </c>
      <c r="P334" s="93"/>
      <c r="Q334" s="2"/>
      <c r="R334" s="2"/>
      <c r="S334" s="2"/>
      <c r="T334" s="2"/>
      <c r="U334" s="2"/>
    </row>
    <row r="335" spans="1:21" ht="12.75">
      <c r="A335" s="31">
        <f t="shared" si="14"/>
        <v>1809</v>
      </c>
      <c r="B335" s="414">
        <f>H!B16</f>
        <v>0</v>
      </c>
      <c r="C335" s="136">
        <f>H!D16</f>
        <v>0</v>
      </c>
      <c r="D335" s="415">
        <f>H!E16</f>
        <v>0</v>
      </c>
      <c r="E335" s="270">
        <f>H!F16</f>
        <v>0</v>
      </c>
      <c r="F335" s="270">
        <f>H!H16</f>
        <v>0</v>
      </c>
      <c r="G335" s="270">
        <f>H!I16</f>
        <v>0</v>
      </c>
      <c r="H335" s="266">
        <f>H!J16</f>
        <v>0</v>
      </c>
      <c r="I335" s="266">
        <f>H!K16</f>
        <v>0</v>
      </c>
      <c r="J335" s="266">
        <f>H!L16</f>
        <v>0</v>
      </c>
      <c r="K335" s="266">
        <f>H!M16</f>
        <v>0</v>
      </c>
      <c r="L335" s="266">
        <f>H!N16</f>
        <v>0</v>
      </c>
      <c r="M335" s="266">
        <f>H!O16</f>
        <v>0</v>
      </c>
      <c r="N335" s="266">
        <f>H!P16</f>
        <v>0</v>
      </c>
      <c r="O335" s="270">
        <f>H!T16</f>
        <v>0</v>
      </c>
      <c r="P335" s="93"/>
      <c r="Q335" s="2"/>
      <c r="R335" s="2"/>
      <c r="S335" s="2"/>
      <c r="T335" s="2"/>
      <c r="U335" s="2"/>
    </row>
    <row r="336" spans="1:21" ht="12.75">
      <c r="A336" s="31">
        <f t="shared" si="14"/>
        <v>1810</v>
      </c>
      <c r="B336" s="414">
        <f>H!B17</f>
        <v>0</v>
      </c>
      <c r="C336" s="136">
        <f>H!D17</f>
        <v>0</v>
      </c>
      <c r="D336" s="415">
        <f>H!E17</f>
        <v>0</v>
      </c>
      <c r="E336" s="270">
        <f>H!F17</f>
        <v>0</v>
      </c>
      <c r="F336" s="270">
        <f>H!H17</f>
        <v>0</v>
      </c>
      <c r="G336" s="270">
        <f>H!I17</f>
        <v>0</v>
      </c>
      <c r="H336" s="266">
        <f>H!J17</f>
        <v>0</v>
      </c>
      <c r="I336" s="266">
        <f>H!K17</f>
        <v>0</v>
      </c>
      <c r="J336" s="266">
        <f>H!L17</f>
        <v>0</v>
      </c>
      <c r="K336" s="266">
        <f>H!M17</f>
        <v>0</v>
      </c>
      <c r="L336" s="266">
        <f>H!N17</f>
        <v>0</v>
      </c>
      <c r="M336" s="266">
        <f>H!O17</f>
        <v>0</v>
      </c>
      <c r="N336" s="266">
        <f>H!P17</f>
        <v>0</v>
      </c>
      <c r="O336" s="270">
        <f>H!T17</f>
        <v>0</v>
      </c>
      <c r="P336" s="93"/>
      <c r="Q336" s="2"/>
      <c r="R336" s="2"/>
      <c r="S336" s="2"/>
      <c r="T336" s="2"/>
      <c r="U336" s="2"/>
    </row>
    <row r="337" spans="1:21" ht="12.75">
      <c r="A337" s="31">
        <f t="shared" si="14"/>
        <v>1811</v>
      </c>
      <c r="B337" s="414">
        <f>H!B23</f>
        <v>0</v>
      </c>
      <c r="C337" s="136">
        <f>H!D23</f>
        <v>0</v>
      </c>
      <c r="D337" s="415">
        <f>H!E23</f>
        <v>0</v>
      </c>
      <c r="E337" s="270">
        <f>H!F23</f>
        <v>0</v>
      </c>
      <c r="F337" s="270">
        <f>H!H23</f>
        <v>0</v>
      </c>
      <c r="G337" s="270">
        <f>H!I23</f>
        <v>0</v>
      </c>
      <c r="H337" s="266">
        <f>H!J23</f>
        <v>0</v>
      </c>
      <c r="I337" s="266">
        <f>H!K23</f>
        <v>0</v>
      </c>
      <c r="J337" s="266">
        <f>H!L23</f>
        <v>0</v>
      </c>
      <c r="K337" s="266">
        <f>H!M23</f>
        <v>0</v>
      </c>
      <c r="L337" s="266">
        <f>H!N23</f>
        <v>0</v>
      </c>
      <c r="M337" s="266">
        <f>H!O23</f>
        <v>0</v>
      </c>
      <c r="N337" s="266">
        <f>H!P23</f>
        <v>0</v>
      </c>
      <c r="O337" s="270">
        <f>H!T23</f>
        <v>0</v>
      </c>
      <c r="P337" s="93"/>
      <c r="Q337" s="2"/>
      <c r="R337" s="2"/>
      <c r="S337" s="2"/>
      <c r="T337" s="2"/>
      <c r="U337" s="2"/>
    </row>
    <row r="338" spans="1:21" ht="12.75">
      <c r="A338" s="31">
        <f t="shared" si="14"/>
        <v>1812</v>
      </c>
      <c r="B338" s="414">
        <f>H!B24</f>
        <v>0</v>
      </c>
      <c r="C338" s="136">
        <f>H!D24</f>
        <v>0</v>
      </c>
      <c r="D338" s="415">
        <f>H!E24</f>
        <v>0</v>
      </c>
      <c r="E338" s="270">
        <f>H!F24</f>
        <v>0</v>
      </c>
      <c r="F338" s="270">
        <f>H!H24</f>
        <v>0</v>
      </c>
      <c r="G338" s="270">
        <f>H!I24</f>
        <v>0</v>
      </c>
      <c r="H338" s="266">
        <f>H!J24</f>
        <v>0</v>
      </c>
      <c r="I338" s="266">
        <f>H!K24</f>
        <v>0</v>
      </c>
      <c r="J338" s="266">
        <f>H!L24</f>
        <v>0</v>
      </c>
      <c r="K338" s="266">
        <f>H!M24</f>
        <v>0</v>
      </c>
      <c r="L338" s="266">
        <f>H!N24</f>
        <v>0</v>
      </c>
      <c r="M338" s="266">
        <f>H!O24</f>
        <v>0</v>
      </c>
      <c r="N338" s="266">
        <f>H!P24</f>
        <v>0</v>
      </c>
      <c r="O338" s="270">
        <f>H!T24</f>
        <v>0</v>
      </c>
      <c r="P338" s="93"/>
      <c r="Q338" s="2"/>
      <c r="R338" s="2"/>
      <c r="S338" s="2"/>
      <c r="T338" s="2"/>
      <c r="U338" s="2"/>
    </row>
    <row r="339" spans="1:21" ht="12.75">
      <c r="A339" s="31">
        <f t="shared" si="14"/>
        <v>1813</v>
      </c>
      <c r="B339" s="414">
        <f>H!B25</f>
        <v>0</v>
      </c>
      <c r="C339" s="136">
        <f>H!D25</f>
        <v>0</v>
      </c>
      <c r="D339" s="415">
        <f>H!E25</f>
        <v>0</v>
      </c>
      <c r="E339" s="270">
        <f>H!F25</f>
        <v>0</v>
      </c>
      <c r="F339" s="270">
        <f>H!H25</f>
        <v>0</v>
      </c>
      <c r="G339" s="270">
        <f>H!I25</f>
        <v>0</v>
      </c>
      <c r="H339" s="266">
        <f>H!J25</f>
        <v>0</v>
      </c>
      <c r="I339" s="266">
        <f>H!K25</f>
        <v>0</v>
      </c>
      <c r="J339" s="266">
        <f>H!L25</f>
        <v>0</v>
      </c>
      <c r="K339" s="266">
        <f>H!M25</f>
        <v>0</v>
      </c>
      <c r="L339" s="266">
        <f>H!N25</f>
        <v>0</v>
      </c>
      <c r="M339" s="266">
        <f>H!O25</f>
        <v>0</v>
      </c>
      <c r="N339" s="266">
        <f>H!P25</f>
        <v>0</v>
      </c>
      <c r="O339" s="270">
        <f>H!T25</f>
        <v>0</v>
      </c>
      <c r="P339" s="93"/>
      <c r="Q339" s="2"/>
      <c r="R339" s="2"/>
      <c r="S339" s="2"/>
      <c r="T339" s="2"/>
      <c r="U339" s="2"/>
    </row>
    <row r="340" spans="1:21" ht="12.75">
      <c r="A340" s="31">
        <f t="shared" si="14"/>
        <v>1814</v>
      </c>
      <c r="B340" s="414">
        <f>H!B26</f>
        <v>0</v>
      </c>
      <c r="C340" s="136">
        <f>H!D26</f>
        <v>0</v>
      </c>
      <c r="D340" s="415">
        <f>H!E26</f>
        <v>0</v>
      </c>
      <c r="E340" s="270">
        <f>H!F26</f>
        <v>0</v>
      </c>
      <c r="F340" s="270">
        <f>H!H26</f>
        <v>0</v>
      </c>
      <c r="G340" s="270">
        <f>H!I26</f>
        <v>0</v>
      </c>
      <c r="H340" s="266">
        <f>H!J26</f>
        <v>0</v>
      </c>
      <c r="I340" s="266">
        <f>H!K26</f>
        <v>0</v>
      </c>
      <c r="J340" s="266">
        <f>H!L26</f>
        <v>0</v>
      </c>
      <c r="K340" s="266">
        <f>H!M26</f>
        <v>0</v>
      </c>
      <c r="L340" s="266">
        <f>H!N26</f>
        <v>0</v>
      </c>
      <c r="M340" s="266">
        <f>H!O26</f>
        <v>0</v>
      </c>
      <c r="N340" s="266">
        <f>H!P26</f>
        <v>0</v>
      </c>
      <c r="O340" s="270">
        <f>H!T26</f>
        <v>0</v>
      </c>
      <c r="P340" s="93"/>
      <c r="Q340" s="2"/>
      <c r="R340" s="2"/>
      <c r="S340" s="2"/>
      <c r="T340" s="2"/>
      <c r="U340" s="2"/>
    </row>
    <row r="341" spans="1:21" ht="12.75">
      <c r="A341" s="31">
        <f t="shared" si="14"/>
        <v>1815</v>
      </c>
      <c r="B341" s="414">
        <f>H!B27</f>
        <v>0</v>
      </c>
      <c r="C341" s="136">
        <f>H!D27</f>
        <v>0</v>
      </c>
      <c r="D341" s="415">
        <f>H!E27</f>
        <v>0</v>
      </c>
      <c r="E341" s="270">
        <f>H!F27</f>
        <v>0</v>
      </c>
      <c r="F341" s="270">
        <f>H!H27</f>
        <v>0</v>
      </c>
      <c r="G341" s="270">
        <f>H!I27</f>
        <v>0</v>
      </c>
      <c r="H341" s="266">
        <f>H!J27</f>
        <v>0</v>
      </c>
      <c r="I341" s="266">
        <f>H!K27</f>
        <v>0</v>
      </c>
      <c r="J341" s="266">
        <f>H!L27</f>
        <v>0</v>
      </c>
      <c r="K341" s="266">
        <f>H!M27</f>
        <v>0</v>
      </c>
      <c r="L341" s="266">
        <f>H!N27</f>
        <v>0</v>
      </c>
      <c r="M341" s="266">
        <f>H!O27</f>
        <v>0</v>
      </c>
      <c r="N341" s="266">
        <f>H!P27</f>
        <v>0</v>
      </c>
      <c r="O341" s="270">
        <f>H!T27</f>
        <v>0</v>
      </c>
      <c r="P341" s="93"/>
      <c r="Q341" s="2"/>
      <c r="R341" s="2"/>
      <c r="S341" s="2"/>
      <c r="T341" s="2"/>
      <c r="U341" s="2"/>
    </row>
    <row r="342" spans="1:21" ht="12.75">
      <c r="A342" s="31">
        <f t="shared" si="14"/>
        <v>1816</v>
      </c>
      <c r="B342" s="414">
        <f>H!B28</f>
        <v>0</v>
      </c>
      <c r="C342" s="136">
        <f>H!D28</f>
        <v>0</v>
      </c>
      <c r="D342" s="415">
        <f>H!E28</f>
        <v>0</v>
      </c>
      <c r="E342" s="270">
        <f>H!F28</f>
        <v>0</v>
      </c>
      <c r="F342" s="270">
        <f>H!H28</f>
        <v>0</v>
      </c>
      <c r="G342" s="270">
        <f>H!I28</f>
        <v>0</v>
      </c>
      <c r="H342" s="266">
        <f>H!J28</f>
        <v>0</v>
      </c>
      <c r="I342" s="266">
        <f>H!K28</f>
        <v>0</v>
      </c>
      <c r="J342" s="266">
        <f>H!L28</f>
        <v>0</v>
      </c>
      <c r="K342" s="266">
        <f>H!M28</f>
        <v>0</v>
      </c>
      <c r="L342" s="266">
        <f>H!N28</f>
        <v>0</v>
      </c>
      <c r="M342" s="266">
        <f>H!O28</f>
        <v>0</v>
      </c>
      <c r="N342" s="266">
        <f>H!P28</f>
        <v>0</v>
      </c>
      <c r="O342" s="270">
        <f>H!T28</f>
        <v>0</v>
      </c>
      <c r="P342" s="93"/>
      <c r="Q342" s="2"/>
      <c r="R342" s="2"/>
      <c r="S342" s="2"/>
      <c r="T342" s="2"/>
      <c r="U342" s="2"/>
    </row>
    <row r="343" spans="1:21" ht="12.75">
      <c r="A343" s="31">
        <f t="shared" si="14"/>
        <v>1817</v>
      </c>
      <c r="B343" s="414">
        <f>H!B29</f>
        <v>0</v>
      </c>
      <c r="C343" s="136">
        <f>H!D29</f>
        <v>0</v>
      </c>
      <c r="D343" s="415">
        <f>H!E29</f>
        <v>0</v>
      </c>
      <c r="E343" s="270">
        <f>H!F29</f>
        <v>0</v>
      </c>
      <c r="F343" s="270">
        <f>H!H29</f>
        <v>0</v>
      </c>
      <c r="G343" s="270">
        <f>H!I29</f>
        <v>0</v>
      </c>
      <c r="H343" s="266">
        <f>H!J29</f>
        <v>0</v>
      </c>
      <c r="I343" s="266">
        <f>H!K29</f>
        <v>0</v>
      </c>
      <c r="J343" s="266">
        <f>H!L29</f>
        <v>0</v>
      </c>
      <c r="K343" s="266">
        <f>H!M29</f>
        <v>0</v>
      </c>
      <c r="L343" s="266">
        <f>H!N29</f>
        <v>0</v>
      </c>
      <c r="M343" s="266">
        <f>H!O29</f>
        <v>0</v>
      </c>
      <c r="N343" s="266">
        <f>H!P29</f>
        <v>0</v>
      </c>
      <c r="O343" s="270">
        <f>H!T29</f>
        <v>0</v>
      </c>
      <c r="P343" s="93"/>
      <c r="Q343" s="2"/>
      <c r="R343" s="2"/>
      <c r="S343" s="2"/>
      <c r="T343" s="2"/>
      <c r="U343" s="2"/>
    </row>
    <row r="344" spans="1:21" ht="12.75">
      <c r="A344" s="31">
        <f t="shared" si="14"/>
        <v>1818</v>
      </c>
      <c r="B344" s="414">
        <f>H!B32</f>
        <v>0</v>
      </c>
      <c r="C344" s="136">
        <f>H!D32</f>
        <v>0</v>
      </c>
      <c r="D344" s="415">
        <f>H!E32</f>
        <v>0</v>
      </c>
      <c r="E344" s="270">
        <f>H!F32</f>
        <v>0</v>
      </c>
      <c r="F344" s="270">
        <f>H!H32</f>
        <v>0</v>
      </c>
      <c r="G344" s="270">
        <f>H!I32</f>
        <v>0</v>
      </c>
      <c r="H344" s="266">
        <f>H!J32</f>
        <v>0</v>
      </c>
      <c r="I344" s="266">
        <f>H!K32</f>
        <v>0</v>
      </c>
      <c r="J344" s="266">
        <f>H!L32</f>
        <v>0</v>
      </c>
      <c r="K344" s="266">
        <f>H!M32</f>
        <v>0</v>
      </c>
      <c r="L344" s="266">
        <f>H!N32</f>
        <v>0</v>
      </c>
      <c r="M344" s="266">
        <f>H!O32</f>
        <v>0</v>
      </c>
      <c r="N344" s="266">
        <f>H!P32</f>
        <v>0</v>
      </c>
      <c r="O344" s="270">
        <f>H!T32</f>
        <v>0</v>
      </c>
      <c r="P344" s="93"/>
      <c r="Q344" s="2"/>
      <c r="R344" s="2"/>
      <c r="S344" s="2"/>
      <c r="T344" s="2"/>
      <c r="U344" s="2"/>
    </row>
    <row r="345" spans="1:21" ht="12.75">
      <c r="A345" s="31">
        <f t="shared" si="14"/>
        <v>1819</v>
      </c>
      <c r="B345" s="414">
        <f>H!B33</f>
        <v>0</v>
      </c>
      <c r="C345" s="136">
        <f>H!D33</f>
        <v>0</v>
      </c>
      <c r="D345" s="415">
        <f>H!E33</f>
        <v>0</v>
      </c>
      <c r="E345" s="270">
        <f>H!F33</f>
        <v>0</v>
      </c>
      <c r="F345" s="270">
        <f>H!H33</f>
        <v>0</v>
      </c>
      <c r="G345" s="270">
        <f>H!I33</f>
        <v>0</v>
      </c>
      <c r="H345" s="266">
        <f>H!J33</f>
        <v>0</v>
      </c>
      <c r="I345" s="266">
        <f>H!K33</f>
        <v>0</v>
      </c>
      <c r="J345" s="266">
        <f>H!L33</f>
        <v>0</v>
      </c>
      <c r="K345" s="266">
        <f>H!M33</f>
        <v>0</v>
      </c>
      <c r="L345" s="266">
        <f>H!N33</f>
        <v>0</v>
      </c>
      <c r="M345" s="266">
        <f>H!O33</f>
        <v>0</v>
      </c>
      <c r="N345" s="266">
        <f>H!P33</f>
        <v>0</v>
      </c>
      <c r="O345" s="270">
        <f>H!T33</f>
        <v>0</v>
      </c>
      <c r="P345" s="93"/>
      <c r="Q345" s="2"/>
      <c r="R345" s="2"/>
      <c r="S345" s="2"/>
      <c r="T345" s="2"/>
      <c r="U345" s="2"/>
    </row>
    <row r="346" spans="1:21" ht="12.75">
      <c r="A346" s="31">
        <f t="shared" si="14"/>
        <v>1820</v>
      </c>
      <c r="B346" s="414">
        <f>H!B34</f>
        <v>0</v>
      </c>
      <c r="C346" s="136">
        <f>H!D34</f>
        <v>0</v>
      </c>
      <c r="D346" s="415">
        <f>H!E34</f>
        <v>0</v>
      </c>
      <c r="E346" s="270">
        <f>H!F34</f>
        <v>0</v>
      </c>
      <c r="F346" s="270">
        <f>H!H34</f>
        <v>0</v>
      </c>
      <c r="G346" s="270">
        <f>H!I34</f>
        <v>0</v>
      </c>
      <c r="H346" s="266">
        <f>H!J34</f>
        <v>0</v>
      </c>
      <c r="I346" s="266">
        <f>H!K34</f>
        <v>0</v>
      </c>
      <c r="J346" s="266">
        <f>H!L34</f>
        <v>0</v>
      </c>
      <c r="K346" s="266">
        <f>H!M34</f>
        <v>0</v>
      </c>
      <c r="L346" s="266">
        <f>H!N34</f>
        <v>0</v>
      </c>
      <c r="M346" s="266">
        <f>H!O34</f>
        <v>0</v>
      </c>
      <c r="N346" s="266">
        <f>H!P34</f>
        <v>0</v>
      </c>
      <c r="O346" s="270">
        <f>H!T34</f>
        <v>0</v>
      </c>
      <c r="P346" s="93"/>
      <c r="Q346" s="2"/>
      <c r="R346" s="2"/>
      <c r="S346" s="2"/>
      <c r="T346" s="2"/>
      <c r="U346" s="2"/>
    </row>
    <row r="347" spans="1:21" ht="12.75">
      <c r="A347" s="37">
        <f t="shared" si="14"/>
        <v>1821</v>
      </c>
      <c r="B347" s="289"/>
      <c r="C347" s="60"/>
      <c r="D347" s="61"/>
      <c r="E347" s="292"/>
      <c r="F347" s="292"/>
      <c r="G347" s="292"/>
      <c r="H347" s="416"/>
      <c r="I347" s="416"/>
      <c r="J347" s="417"/>
      <c r="K347" s="417"/>
      <c r="L347" s="417"/>
      <c r="M347" s="417"/>
      <c r="N347" s="417"/>
      <c r="O347" s="292"/>
      <c r="P347" s="93"/>
      <c r="Q347" s="2"/>
      <c r="R347" s="2"/>
      <c r="S347" s="2"/>
      <c r="T347" s="2"/>
      <c r="U347" s="2"/>
    </row>
    <row r="348" spans="1:21" ht="12.75">
      <c r="A348" s="32">
        <f t="shared" si="14"/>
        <v>1822</v>
      </c>
      <c r="B348" s="288"/>
      <c r="C348" s="170"/>
      <c r="D348" s="170"/>
      <c r="E348" s="170"/>
      <c r="F348" s="170"/>
      <c r="G348" s="170"/>
      <c r="H348" s="170"/>
      <c r="I348" s="170"/>
      <c r="J348" s="170"/>
      <c r="K348" s="170"/>
      <c r="L348" s="170"/>
      <c r="M348" s="170"/>
      <c r="N348" s="170"/>
      <c r="O348" s="90"/>
      <c r="P348" s="93"/>
      <c r="Q348" s="2"/>
      <c r="R348" s="2"/>
      <c r="S348" s="2"/>
      <c r="T348" s="2"/>
      <c r="U348" s="2"/>
    </row>
    <row r="349" spans="1:21" ht="12.75">
      <c r="A349" s="35">
        <f t="shared" si="14"/>
        <v>1823</v>
      </c>
      <c r="B349" s="290"/>
      <c r="C349" s="171"/>
      <c r="D349" s="172"/>
      <c r="E349" s="172"/>
      <c r="F349" s="172"/>
      <c r="G349" s="172"/>
      <c r="H349" s="172"/>
      <c r="I349" s="172"/>
      <c r="J349" s="172"/>
      <c r="K349" s="172"/>
      <c r="L349" s="172"/>
      <c r="M349" s="172"/>
      <c r="N349" s="172"/>
      <c r="O349" s="42"/>
      <c r="P349" s="93"/>
      <c r="Q349" s="2"/>
      <c r="R349" s="2"/>
      <c r="S349" s="2"/>
      <c r="T349" s="2"/>
      <c r="U349" s="2"/>
    </row>
    <row r="350" spans="1:21" ht="12.75">
      <c r="A350" s="37">
        <f t="shared" si="14"/>
        <v>1824</v>
      </c>
      <c r="B350" s="289"/>
      <c r="C350" s="173"/>
      <c r="D350" s="173"/>
      <c r="E350" s="173"/>
      <c r="F350" s="173"/>
      <c r="G350" s="173"/>
      <c r="H350" s="173"/>
      <c r="I350" s="173"/>
      <c r="J350" s="173"/>
      <c r="K350" s="173"/>
      <c r="L350" s="173"/>
      <c r="M350" s="173"/>
      <c r="N350" s="173"/>
      <c r="O350" s="47"/>
      <c r="P350" s="93"/>
      <c r="Q350" s="2"/>
      <c r="R350" s="2"/>
      <c r="S350" s="2"/>
      <c r="T350" s="2"/>
      <c r="U350" s="2"/>
    </row>
    <row r="351" spans="3:17" ht="12.75">
      <c r="C351" s="3"/>
      <c r="D351" s="2"/>
      <c r="G351" s="2"/>
      <c r="H351" s="2"/>
      <c r="J351" s="2"/>
      <c r="O351" s="2"/>
      <c r="P351" s="2"/>
      <c r="Q351" s="2"/>
    </row>
    <row r="352" spans="3:17" ht="12.75">
      <c r="C352" s="3"/>
      <c r="D352" s="2"/>
      <c r="G352" s="2"/>
      <c r="H352" s="2"/>
      <c r="J352" s="2"/>
      <c r="O352" s="2"/>
      <c r="P352" s="2"/>
      <c r="Q352" s="2"/>
    </row>
    <row r="353" spans="1:5" ht="12.75">
      <c r="A353" s="21"/>
      <c r="B353" s="222"/>
      <c r="C353" s="223" t="e">
        <f>CONCATENATE("31-12-",#REF!-1," ")</f>
        <v>#REF!</v>
      </c>
      <c r="D353" s="223" t="e">
        <f>CONCATENATE("31-12-",#REF!," ")</f>
        <v>#REF!</v>
      </c>
      <c r="E353" s="223" t="e">
        <f>CONCATENATE("Gemiddeld ",#REF!," ")</f>
        <v>#REF!</v>
      </c>
    </row>
    <row r="354" spans="1:5" ht="12.75">
      <c r="A354" s="26"/>
      <c r="B354" s="42"/>
      <c r="C354" s="175"/>
      <c r="D354" s="42"/>
      <c r="E354" s="42"/>
    </row>
    <row r="355" spans="1:5" ht="12.75">
      <c r="A355" s="41" t="s">
        <v>29</v>
      </c>
      <c r="B355" s="418" t="s">
        <v>30</v>
      </c>
      <c r="C355" s="168"/>
      <c r="D355" s="168"/>
      <c r="E355" s="42"/>
    </row>
    <row r="356" spans="1:5" ht="12.75">
      <c r="A356" s="31">
        <f>'I-J'!A7</f>
        <v>2001</v>
      </c>
      <c r="B356" s="176"/>
      <c r="C356" s="270">
        <f>'I-J'!C7</f>
        <v>0</v>
      </c>
      <c r="D356" s="270">
        <f>'I-J'!D7</f>
        <v>0</v>
      </c>
      <c r="E356" s="367"/>
    </row>
    <row r="357" spans="1:5" ht="12.75">
      <c r="A357" s="34">
        <f aca="true" t="shared" si="15" ref="A357:A369">A356+1</f>
        <v>2002</v>
      </c>
      <c r="B357" s="176"/>
      <c r="C357" s="270">
        <f>'I-J'!C8</f>
        <v>0</v>
      </c>
      <c r="D357" s="270">
        <f>'I-J'!D8</f>
        <v>0</v>
      </c>
      <c r="E357" s="367"/>
    </row>
    <row r="358" spans="1:5" ht="12.75">
      <c r="A358" s="34">
        <f t="shared" si="15"/>
        <v>2003</v>
      </c>
      <c r="B358" s="176"/>
      <c r="C358" s="270">
        <f>'I-J'!C9</f>
        <v>0</v>
      </c>
      <c r="D358" s="270">
        <f>'I-J'!D9</f>
        <v>0</v>
      </c>
      <c r="E358" s="367"/>
    </row>
    <row r="359" spans="1:5" ht="12.75">
      <c r="A359" s="34">
        <f t="shared" si="15"/>
        <v>2004</v>
      </c>
      <c r="B359" s="176"/>
      <c r="C359" s="270">
        <f>'I-J'!C10</f>
        <v>0</v>
      </c>
      <c r="D359" s="270">
        <f>'I-J'!D10</f>
        <v>0</v>
      </c>
      <c r="E359" s="367"/>
    </row>
    <row r="360" spans="1:5" ht="12.75">
      <c r="A360" s="34">
        <f t="shared" si="15"/>
        <v>2005</v>
      </c>
      <c r="B360" s="176"/>
      <c r="C360" s="270">
        <f>'I-J'!C11</f>
        <v>0</v>
      </c>
      <c r="D360" s="270">
        <f>'I-J'!D11</f>
        <v>0</v>
      </c>
      <c r="E360" s="367"/>
    </row>
    <row r="361" spans="1:5" ht="12.75">
      <c r="A361" s="34">
        <f t="shared" si="15"/>
        <v>2006</v>
      </c>
      <c r="B361" s="176"/>
      <c r="C361" s="270">
        <f>'I-J'!C12</f>
        <v>0</v>
      </c>
      <c r="D361" s="270">
        <f>'I-J'!D12</f>
        <v>0</v>
      </c>
      <c r="E361" s="367"/>
    </row>
    <row r="362" spans="1:5" ht="12.75">
      <c r="A362" s="34">
        <f t="shared" si="15"/>
        <v>2007</v>
      </c>
      <c r="B362" s="176"/>
      <c r="C362" s="270">
        <f>'I-J'!C13</f>
        <v>0</v>
      </c>
      <c r="D362" s="270">
        <f>'I-J'!D13</f>
        <v>0</v>
      </c>
      <c r="E362" s="367"/>
    </row>
    <row r="363" spans="1:5" ht="12.75">
      <c r="A363" s="34">
        <f t="shared" si="15"/>
        <v>2008</v>
      </c>
      <c r="B363" s="176"/>
      <c r="C363" s="270">
        <f>'I-J'!C14</f>
        <v>0</v>
      </c>
      <c r="D363" s="270">
        <f>'I-J'!D14</f>
        <v>0</v>
      </c>
      <c r="E363" s="367"/>
    </row>
    <row r="364" spans="1:5" ht="12.75">
      <c r="A364" s="34">
        <f t="shared" si="15"/>
        <v>2009</v>
      </c>
      <c r="B364" s="176"/>
      <c r="C364" s="270">
        <f>'I-J'!C15</f>
        <v>0</v>
      </c>
      <c r="D364" s="270">
        <f>'I-J'!D15</f>
        <v>0</v>
      </c>
      <c r="E364" s="367"/>
    </row>
    <row r="365" spans="1:5" ht="12.75">
      <c r="A365" s="34">
        <f t="shared" si="15"/>
        <v>2010</v>
      </c>
      <c r="B365" s="176"/>
      <c r="C365" s="270">
        <f>'I-J'!C16</f>
        <v>0</v>
      </c>
      <c r="D365" s="270">
        <f>'I-J'!D16</f>
        <v>0</v>
      </c>
      <c r="E365" s="367"/>
    </row>
    <row r="366" spans="1:5" ht="12.75">
      <c r="A366" s="34">
        <f t="shared" si="15"/>
        <v>2011</v>
      </c>
      <c r="B366" s="176"/>
      <c r="C366" s="270">
        <f>'I-J'!C17</f>
        <v>0</v>
      </c>
      <c r="D366" s="270">
        <f>'I-J'!D17</f>
        <v>0</v>
      </c>
      <c r="E366" s="367"/>
    </row>
    <row r="367" spans="1:5" ht="12.75">
      <c r="A367" s="34">
        <f t="shared" si="15"/>
        <v>2012</v>
      </c>
      <c r="B367" s="176"/>
      <c r="C367" s="270" t="e">
        <f>'I-J'!#REF!</f>
        <v>#REF!</v>
      </c>
      <c r="D367" s="270" t="e">
        <f>'I-J'!#REF!</f>
        <v>#REF!</v>
      </c>
      <c r="E367" s="367"/>
    </row>
    <row r="368" spans="1:5" ht="12.75">
      <c r="A368" s="35">
        <f t="shared" si="15"/>
        <v>2013</v>
      </c>
      <c r="B368" s="177"/>
      <c r="C368" s="419">
        <f>'I-J'!C19</f>
        <v>0</v>
      </c>
      <c r="D368" s="419">
        <f>'I-J'!D19</f>
        <v>0</v>
      </c>
      <c r="E368" s="420"/>
    </row>
    <row r="369" spans="1:5" ht="12.75">
      <c r="A369" s="37">
        <f t="shared" si="15"/>
        <v>2014</v>
      </c>
      <c r="B369" s="38"/>
      <c r="C369" s="292"/>
      <c r="D369" s="292"/>
      <c r="E369" s="292"/>
    </row>
    <row r="370" spans="1:5" ht="12.75">
      <c r="A370" s="41"/>
      <c r="B370" s="42"/>
      <c r="C370" s="42"/>
      <c r="D370" s="42"/>
      <c r="E370" s="42"/>
    </row>
    <row r="371" spans="1:5" ht="12.75">
      <c r="A371" s="42"/>
      <c r="B371" s="95"/>
      <c r="C371" s="95"/>
      <c r="D371" s="42"/>
      <c r="E371" s="221" t="s">
        <v>424</v>
      </c>
    </row>
    <row r="372" spans="1:5" ht="12.75">
      <c r="A372" s="178"/>
      <c r="B372" s="179"/>
      <c r="C372" s="179"/>
      <c r="D372" s="178"/>
      <c r="E372" s="123"/>
    </row>
    <row r="373" spans="1:5" ht="12.75">
      <c r="A373" s="41" t="s">
        <v>31</v>
      </c>
      <c r="B373" s="94" t="e">
        <f>CONCATENATE("Rentekosten ten laste van exploitatieresultaat ",#REF!)</f>
        <v>#REF!</v>
      </c>
      <c r="C373" s="95"/>
      <c r="D373" s="42"/>
      <c r="E373" s="42"/>
    </row>
    <row r="374" spans="1:5" ht="12.75">
      <c r="A374" s="31">
        <f>A369+1</f>
        <v>2015</v>
      </c>
      <c r="B374" s="180"/>
      <c r="C374" s="134"/>
      <c r="D374" s="121"/>
      <c r="E374" s="367"/>
    </row>
    <row r="375" spans="1:5" ht="12.75">
      <c r="A375" s="34">
        <f aca="true" t="shared" si="16" ref="A375:A383">A374+1</f>
        <v>2016</v>
      </c>
      <c r="B375" s="181"/>
      <c r="C375" s="134"/>
      <c r="D375" s="121"/>
      <c r="E375" s="270">
        <f>'I-J'!E27</f>
        <v>0</v>
      </c>
    </row>
    <row r="376" spans="1:5" ht="12.75">
      <c r="A376" s="34">
        <f t="shared" si="16"/>
        <v>2017</v>
      </c>
      <c r="B376" s="180"/>
      <c r="C376" s="134"/>
      <c r="D376" s="121"/>
      <c r="E376" s="270">
        <f>'I-J'!E28</f>
        <v>0</v>
      </c>
    </row>
    <row r="377" spans="1:5" ht="12.75">
      <c r="A377" s="35">
        <f t="shared" si="16"/>
        <v>2018</v>
      </c>
      <c r="B377" s="182"/>
      <c r="C377" s="78"/>
      <c r="D377" s="183"/>
      <c r="E377" s="270">
        <f>'I-J'!E30</f>
        <v>0</v>
      </c>
    </row>
    <row r="378" spans="1:5" ht="12.75">
      <c r="A378" s="37">
        <f t="shared" si="16"/>
        <v>2019</v>
      </c>
      <c r="B378" s="38"/>
      <c r="C378" s="60"/>
      <c r="D378" s="60"/>
      <c r="E378" s="263"/>
    </row>
    <row r="379" spans="1:5" ht="12.75">
      <c r="A379" s="34">
        <f t="shared" si="16"/>
        <v>2020</v>
      </c>
      <c r="B379" s="256"/>
      <c r="C379" s="134"/>
      <c r="D379" s="121"/>
      <c r="E379" s="270">
        <f>'I-J'!E34</f>
        <v>0</v>
      </c>
    </row>
    <row r="380" spans="1:5" ht="12.75">
      <c r="A380" s="34">
        <f t="shared" si="16"/>
        <v>2021</v>
      </c>
      <c r="B380" s="257"/>
      <c r="C380" s="134"/>
      <c r="D380" s="121"/>
      <c r="E380" s="270">
        <f>'I-J'!E35</f>
        <v>0</v>
      </c>
    </row>
    <row r="381" spans="1:5" ht="12.75">
      <c r="A381" s="34">
        <f t="shared" si="16"/>
        <v>2022</v>
      </c>
      <c r="B381" s="258"/>
      <c r="C381" s="191"/>
      <c r="D381" s="255"/>
      <c r="E381" s="270">
        <f>'I-J'!E36</f>
        <v>0</v>
      </c>
    </row>
    <row r="382" spans="1:5" ht="12.75">
      <c r="A382" s="34">
        <f t="shared" si="16"/>
        <v>2023</v>
      </c>
      <c r="B382" s="259"/>
      <c r="C382" s="78"/>
      <c r="D382" s="183"/>
      <c r="E382" s="270">
        <f>'I-J'!E37</f>
        <v>0</v>
      </c>
    </row>
    <row r="383" spans="1:5" ht="12.75">
      <c r="A383" s="37">
        <f t="shared" si="16"/>
        <v>2024</v>
      </c>
      <c r="B383" s="421"/>
      <c r="C383" s="60"/>
      <c r="D383" s="60"/>
      <c r="E383" s="263"/>
    </row>
    <row r="384" spans="1:5" ht="12.75">
      <c r="A384" s="41"/>
      <c r="B384" s="42"/>
      <c r="C384" s="42"/>
      <c r="D384" s="42"/>
      <c r="E384" s="42"/>
    </row>
    <row r="385" spans="4:10" ht="12.75">
      <c r="D385" s="2"/>
      <c r="G385" s="2"/>
      <c r="J385" s="2"/>
    </row>
    <row r="386" spans="4:10" ht="12.75">
      <c r="D386" s="2"/>
      <c r="G386" s="2"/>
      <c r="J386" s="2"/>
    </row>
    <row r="387" spans="1:10" ht="12.75">
      <c r="A387" s="64"/>
      <c r="B387" s="366"/>
      <c r="C387" s="118" t="s">
        <v>412</v>
      </c>
      <c r="D387" s="272" t="e">
        <f>CONCATENATE("Rekenstaat ",#REF!," nr. 1 ")</f>
        <v>#REF!</v>
      </c>
      <c r="E387" s="273"/>
      <c r="F387" s="251" t="s">
        <v>95</v>
      </c>
      <c r="G387" s="245" t="s">
        <v>94</v>
      </c>
      <c r="J387" s="2"/>
    </row>
    <row r="388" spans="1:7" ht="12.75">
      <c r="A388" s="64"/>
      <c r="B388" s="366"/>
      <c r="C388" s="118" t="s">
        <v>412</v>
      </c>
      <c r="D388" s="422" t="s">
        <v>363</v>
      </c>
      <c r="E388" s="246" t="s">
        <v>393</v>
      </c>
      <c r="F388" s="247" t="e">
        <f>CONCATENATE("jaarrekening ",#REF!," ")</f>
        <v>#REF!</v>
      </c>
      <c r="G388" s="247" t="s">
        <v>93</v>
      </c>
    </row>
    <row r="389" spans="1:7" ht="12.75">
      <c r="A389" s="83"/>
      <c r="B389" s="325"/>
      <c r="C389" s="156"/>
      <c r="D389" s="162" t="s">
        <v>384</v>
      </c>
      <c r="E389" s="111"/>
      <c r="F389" s="156"/>
      <c r="G389" s="113"/>
    </row>
    <row r="390" spans="1:7" ht="12.75">
      <c r="A390" s="47" t="s">
        <v>91</v>
      </c>
      <c r="B390" s="14" t="s">
        <v>92</v>
      </c>
      <c r="C390" s="147"/>
      <c r="D390" s="147"/>
      <c r="E390" s="90"/>
      <c r="F390" s="90"/>
      <c r="G390" s="90"/>
    </row>
    <row r="391" spans="1:7" ht="12.75">
      <c r="A391" s="31" t="e">
        <f>#REF!</f>
        <v>#REF!</v>
      </c>
      <c r="B391" s="357"/>
      <c r="C391" s="375"/>
      <c r="D391" s="141"/>
      <c r="E391" s="270" t="e">
        <f>#REF!</f>
        <v>#REF!</v>
      </c>
      <c r="F391" s="423"/>
      <c r="G391" s="309"/>
    </row>
    <row r="392" spans="1:7" ht="12.75">
      <c r="A392" s="34" t="e">
        <f>A391+1</f>
        <v>#REF!</v>
      </c>
      <c r="B392" s="357"/>
      <c r="C392" s="375"/>
      <c r="D392" s="141"/>
      <c r="E392" s="270" t="e">
        <f>#REF!</f>
        <v>#REF!</v>
      </c>
      <c r="F392" s="423"/>
      <c r="G392" s="309"/>
    </row>
    <row r="393" spans="1:7" ht="12.75">
      <c r="A393" s="34" t="e">
        <f>A392+1</f>
        <v>#REF!</v>
      </c>
      <c r="B393" s="357"/>
      <c r="C393" s="375"/>
      <c r="D393" s="141"/>
      <c r="E393" s="270" t="e">
        <f>#REF!</f>
        <v>#REF!</v>
      </c>
      <c r="F393" s="423"/>
      <c r="G393" s="309"/>
    </row>
    <row r="394" spans="1:7" ht="12.75">
      <c r="A394" s="35" t="e">
        <f>A393+1</f>
        <v>#REF!</v>
      </c>
      <c r="B394" s="357"/>
      <c r="C394" s="375"/>
      <c r="D394" s="141"/>
      <c r="E394" s="270" t="e">
        <f>#REF!</f>
        <v>#REF!</v>
      </c>
      <c r="F394" s="423"/>
      <c r="G394" s="309"/>
    </row>
    <row r="395" spans="1:7" ht="12.75">
      <c r="A395" s="54" t="e">
        <f>A393+1</f>
        <v>#REF!</v>
      </c>
      <c r="B395" s="357"/>
      <c r="C395" s="248"/>
      <c r="D395" s="142"/>
      <c r="E395" s="367" t="e">
        <f>E404</f>
        <v>#REF!</v>
      </c>
      <c r="F395" s="423"/>
      <c r="G395" s="309"/>
    </row>
    <row r="396" spans="1:7" ht="12.75">
      <c r="A396" s="37" t="e">
        <f>A395+1</f>
        <v>#REF!</v>
      </c>
      <c r="B396" s="362"/>
      <c r="C396" s="154"/>
      <c r="D396" s="154"/>
      <c r="E396" s="263" t="e">
        <f>SUM(E391:E395)</f>
        <v>#REF!</v>
      </c>
      <c r="F396" s="345"/>
      <c r="G396" s="345"/>
    </row>
    <row r="397" spans="1:7" ht="12.75">
      <c r="A397" s="71"/>
      <c r="B397" s="228"/>
      <c r="C397" s="250"/>
      <c r="D397" s="250"/>
      <c r="E397" s="424"/>
      <c r="F397" s="425"/>
      <c r="G397" s="309"/>
    </row>
    <row r="398" spans="1:7" ht="12.75">
      <c r="A398" s="31" t="e">
        <f>A394+1</f>
        <v>#REF!</v>
      </c>
      <c r="B398" s="357"/>
      <c r="C398" s="375"/>
      <c r="D398" s="142"/>
      <c r="E398" s="270" t="e">
        <f>#REF!</f>
        <v>#REF!</v>
      </c>
      <c r="F398" s="270" t="e">
        <f>#REF!</f>
        <v>#REF!</v>
      </c>
      <c r="G398" s="426"/>
    </row>
    <row r="399" spans="1:7" ht="12.75">
      <c r="A399" s="34" t="e">
        <f>A398+1</f>
        <v>#REF!</v>
      </c>
      <c r="B399" s="357"/>
      <c r="C399" s="375"/>
      <c r="D399" s="142"/>
      <c r="E399" s="270" t="e">
        <f>#REF!</f>
        <v>#REF!</v>
      </c>
      <c r="F399" s="270" t="e">
        <f>#REF!</f>
        <v>#REF!</v>
      </c>
      <c r="G399" s="426"/>
    </row>
    <row r="400" spans="1:7" ht="12.75">
      <c r="A400" s="34" t="e">
        <f>A399+1</f>
        <v>#REF!</v>
      </c>
      <c r="B400" s="357"/>
      <c r="C400" s="375"/>
      <c r="D400" s="142"/>
      <c r="E400" s="270" t="e">
        <f>#REF!</f>
        <v>#REF!</v>
      </c>
      <c r="F400" s="270" t="e">
        <f>#REF!</f>
        <v>#REF!</v>
      </c>
      <c r="G400" s="426"/>
    </row>
    <row r="401" spans="1:7" ht="12.75">
      <c r="A401" s="34" t="e">
        <f>A400+1</f>
        <v>#REF!</v>
      </c>
      <c r="B401" s="357"/>
      <c r="C401" s="375"/>
      <c r="D401" s="142"/>
      <c r="E401" s="270" t="e">
        <f>#REF!</f>
        <v>#REF!</v>
      </c>
      <c r="F401" s="270" t="e">
        <f>#REF!</f>
        <v>#REF!</v>
      </c>
      <c r="G401" s="426"/>
    </row>
    <row r="402" spans="1:7" ht="12.75">
      <c r="A402" s="34" t="e">
        <f>A401+1</f>
        <v>#REF!</v>
      </c>
      <c r="B402" s="357"/>
      <c r="C402" s="375"/>
      <c r="D402" s="142"/>
      <c r="E402" s="270" t="e">
        <f>#REF!</f>
        <v>#REF!</v>
      </c>
      <c r="F402" s="270" t="e">
        <f>#REF!</f>
        <v>#REF!</v>
      </c>
      <c r="G402" s="426"/>
    </row>
    <row r="403" spans="1:7" ht="12.75">
      <c r="A403" s="35" t="e">
        <f>A401+1</f>
        <v>#REF!</v>
      </c>
      <c r="B403" s="240"/>
      <c r="C403" s="248"/>
      <c r="D403" s="142"/>
      <c r="E403" s="270" t="e">
        <f>#REF!</f>
        <v>#REF!</v>
      </c>
      <c r="F403" s="270" t="e">
        <f>#REF!</f>
        <v>#REF!</v>
      </c>
      <c r="G403" s="426"/>
    </row>
    <row r="404" spans="1:7" ht="12.75">
      <c r="A404" s="37" t="e">
        <f>A403+1</f>
        <v>#REF!</v>
      </c>
      <c r="B404" s="362"/>
      <c r="C404" s="154"/>
      <c r="D404" s="154"/>
      <c r="E404" s="263" t="e">
        <f>SUM(E398:E403)</f>
        <v>#REF!</v>
      </c>
      <c r="F404" s="427"/>
      <c r="G404" s="345">
        <f>SUM(G391:G394)</f>
        <v>0</v>
      </c>
    </row>
    <row r="405" spans="1:7" ht="12.75">
      <c r="A405" s="37" t="e">
        <f>A404+1</f>
        <v>#REF!</v>
      </c>
      <c r="B405" s="357"/>
      <c r="C405" s="375"/>
      <c r="D405" s="254"/>
      <c r="E405" s="367"/>
      <c r="F405" s="428"/>
      <c r="G405" s="367"/>
    </row>
    <row r="406" spans="1:7" ht="12.75">
      <c r="A406" s="71"/>
      <c r="B406" s="191"/>
      <c r="C406" s="249"/>
      <c r="D406" s="253"/>
      <c r="E406" s="429"/>
      <c r="F406" s="423"/>
      <c r="G406" s="309"/>
    </row>
    <row r="407" spans="1:7" ht="12.75">
      <c r="A407" s="31" t="e">
        <f>A404+1</f>
        <v>#REF!</v>
      </c>
      <c r="B407" s="357"/>
      <c r="C407" s="375"/>
      <c r="D407" s="142"/>
      <c r="E407" s="270" t="e">
        <f>#REF!</f>
        <v>#REF!</v>
      </c>
      <c r="F407" s="430" t="e">
        <f>#REF!</f>
        <v>#REF!</v>
      </c>
      <c r="G407" s="367"/>
    </row>
    <row r="408" spans="1:7" ht="12.75">
      <c r="A408" s="37" t="e">
        <f>A404+1</f>
        <v>#REF!</v>
      </c>
      <c r="B408" s="357"/>
      <c r="C408" s="375"/>
      <c r="D408" s="252"/>
      <c r="E408" s="270" t="e">
        <f>#REF!</f>
        <v>#REF!</v>
      </c>
      <c r="F408" s="270" t="e">
        <f>#REF!</f>
        <v>#REF!</v>
      </c>
      <c r="G408" s="431"/>
    </row>
    <row r="409" spans="1:7" ht="12.75">
      <c r="A409" s="274"/>
      <c r="B409" s="275"/>
      <c r="C409" s="275"/>
      <c r="D409" s="275"/>
      <c r="E409" s="275"/>
      <c r="F409" s="275"/>
      <c r="G409" s="275"/>
    </row>
    <row r="410" spans="1:7" ht="12.75">
      <c r="A410" s="275"/>
      <c r="B410" s="275"/>
      <c r="C410" s="275"/>
      <c r="D410" s="275"/>
      <c r="E410" s="275"/>
      <c r="F410" s="275"/>
      <c r="G410" s="275"/>
    </row>
  </sheetData>
  <conditionalFormatting sqref="F9:F34 B9:B15 D47 B16:C16 B35:C37 D43 D45 D55 D52:D53 B20:B24 C9:C14 B28:C31 B129:B148">
    <cfRule type="expression" priority="1" dxfId="0" stopIfTrue="1">
      <formula>$F$2=TRUE</formula>
    </cfRule>
  </conditionalFormatting>
  <conditionalFormatting sqref="D51 D44">
    <cfRule type="expression" priority="2" dxfId="1" stopIfTrue="1">
      <formula>$J$2=TRUE</formula>
    </cfRule>
  </conditionalFormatting>
  <conditionalFormatting sqref="H80:I85 B64:F73 H64:I73 G75:I75 B80:F85 D95 G92:H112 H114 C92:D94 G118:H122 B310:B315 F310:F314 B292:C304 D320 E391:E394 E407:F408 E398:F403">
    <cfRule type="expression" priority="3" dxfId="0" stopIfTrue="1">
      <formula>$E$2=TRUE</formula>
    </cfRule>
  </conditionalFormatting>
  <conditionalFormatting sqref="G64:G73 G80:G85 C97">
    <cfRule type="expression" priority="4" dxfId="1" stopIfTrue="1">
      <formula>$I$2=TRUE</formula>
    </cfRule>
  </conditionalFormatting>
  <conditionalFormatting sqref="B327:O346">
    <cfRule type="expression" priority="5" dxfId="0" stopIfTrue="1">
      <formula>$G$2=TRUE</formula>
    </cfRule>
  </conditionalFormatting>
  <conditionalFormatting sqref="F170:F171 F182 F157:F166 C157:C162 F193 F206 E195 F196 F200:F204 F211 D213 C178:E178 F176:F178 C176:E176">
    <cfRule type="expression" priority="6" dxfId="1" stopIfTrue="1">
      <formula>$E$2=TRUE</formula>
    </cfRule>
  </conditionalFormatting>
  <conditionalFormatting sqref="C163:C166 F181 E164:E165 E168:F168 E379:E382 E159:E162 C245:C259 G262 D247:D258 C268:C282 C284:C285 D268 D283 C356:D368 E375:E377 D292:D304">
    <cfRule type="expression" priority="7" dxfId="0" stopIfTrue="1">
      <formula>$C$2=TRUE</formula>
    </cfRule>
  </conditionalFormatting>
  <conditionalFormatting sqref="E405 C193:C196 C211:C213 D224:D235 E395 G405 G407:G408">
    <cfRule type="expression" priority="8" dxfId="1" stopIfTrue="1">
      <formula>$F$2=TRUE</formula>
    </cfRule>
  </conditionalFormatting>
  <conditionalFormatting sqref="E194 D200:E203 C204:E204 C207:F207 D211:E211 D212 E224:E235 C223:C235 D223">
    <cfRule type="expression" priority="9" dxfId="0" stopIfTrue="1">
      <formula>$D$2=TRUE</formula>
    </cfRule>
  </conditionalFormatting>
  <conditionalFormatting sqref="C310:C315 D319">
    <cfRule type="expression" priority="10" dxfId="1" stopIfTrue="1">
      <formula>$H$2=TRUE</formula>
    </cfRule>
  </conditionalFormatting>
  <conditionalFormatting sqref="E356:E368 E374">
    <cfRule type="expression" priority="11" dxfId="1" stopIfTrue="1">
      <formula>$D$2=TRUE</formula>
    </cfRule>
  </conditionalFormatting>
  <conditionalFormatting sqref="E157">
    <cfRule type="expression" priority="12" dxfId="0" stopIfTrue="1">
      <formula>$C$2=TRUE</formula>
    </cfRule>
  </conditionalFormatting>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Blad15">
    <pageSetUpPr fitToPage="1"/>
  </sheetPr>
  <dimension ref="A2:R53"/>
  <sheetViews>
    <sheetView showGridLines="0" zoomScale="86" zoomScaleNormal="86" workbookViewId="0" topLeftCell="A1">
      <selection activeCell="B13" sqref="B13"/>
    </sheetView>
  </sheetViews>
  <sheetFormatPr defaultColWidth="9.140625" defaultRowHeight="12.75" customHeight="1"/>
  <cols>
    <col min="1" max="1" width="5.140625" style="880" customWidth="1"/>
    <col min="2" max="2" width="53.00390625" style="880" customWidth="1"/>
    <col min="3" max="7" width="11.7109375" style="880" customWidth="1"/>
    <col min="8" max="9" width="9.140625" style="880" customWidth="1"/>
    <col min="10" max="10" width="3.00390625" style="880" customWidth="1"/>
    <col min="11" max="16384" width="9.140625" style="880" customWidth="1"/>
  </cols>
  <sheetData>
    <row r="2" spans="1:13" ht="12.75" customHeight="1">
      <c r="A2" s="963"/>
      <c r="B2" s="964"/>
      <c r="C2" s="964"/>
      <c r="D2" s="964"/>
      <c r="E2" s="964"/>
      <c r="F2" s="964"/>
      <c r="G2" s="964"/>
      <c r="H2" s="964"/>
      <c r="I2" s="90"/>
      <c r="J2" s="571"/>
      <c r="K2" s="42"/>
      <c r="L2" s="42"/>
      <c r="M2" s="457"/>
    </row>
    <row r="3" spans="1:18" ht="12.75" customHeight="1">
      <c r="A3" s="805" t="str">
        <f>Inhoud!$A$2</f>
        <v>Nacalculatieformulier 2004</v>
      </c>
      <c r="B3" s="804"/>
      <c r="C3" s="803" t="b">
        <f>Voorblad!$D$30</f>
        <v>1</v>
      </c>
      <c r="D3" s="804"/>
      <c r="E3" s="804"/>
      <c r="F3" s="803" t="b">
        <f>Voorblad!D30</f>
        <v>1</v>
      </c>
      <c r="G3" s="803"/>
      <c r="H3" s="636"/>
      <c r="I3" s="596">
        <f>Instandhouding!J2+1</f>
        <v>12</v>
      </c>
      <c r="K3" s="571"/>
      <c r="L3" s="619"/>
      <c r="M3" s="42"/>
      <c r="N3" s="42"/>
      <c r="O3" s="42"/>
      <c r="P3" s="42"/>
      <c r="Q3" s="42"/>
      <c r="R3" s="457"/>
    </row>
    <row r="4" spans="1:11" ht="12.75" customHeight="1">
      <c r="A4" s="619"/>
      <c r="B4" s="42"/>
      <c r="C4" s="42"/>
      <c r="D4" s="42"/>
      <c r="E4" s="42"/>
      <c r="F4" s="42"/>
      <c r="G4" s="42"/>
      <c r="H4" s="42"/>
      <c r="I4" s="42"/>
      <c r="J4" s="571"/>
      <c r="K4" s="502"/>
    </row>
    <row r="5" spans="1:4" ht="12.75" customHeight="1">
      <c r="A5" s="939" t="s">
        <v>136</v>
      </c>
      <c r="B5" s="939" t="s">
        <v>71</v>
      </c>
      <c r="C5" s="939"/>
      <c r="D5" s="939"/>
    </row>
    <row r="6" spans="1:7" ht="12.75" customHeight="1">
      <c r="A6" s="939"/>
      <c r="B6" s="939"/>
      <c r="C6" s="939"/>
      <c r="D6" s="939"/>
      <c r="E6" s="939"/>
      <c r="F6" s="939"/>
      <c r="G6" s="939"/>
    </row>
    <row r="7" spans="1:9" ht="12.75" customHeight="1">
      <c r="A7" s="733">
        <f>(100*I3)+1</f>
        <v>1201</v>
      </c>
      <c r="B7" s="1295" t="s">
        <v>467</v>
      </c>
      <c r="C7" s="1295"/>
      <c r="D7" s="1295"/>
      <c r="E7" s="1295"/>
      <c r="F7" s="1295"/>
      <c r="G7" s="1068"/>
      <c r="H7" s="939"/>
      <c r="I7" s="939"/>
    </row>
    <row r="8" spans="1:9" ht="12.75" customHeight="1">
      <c r="A8" s="733">
        <f>+A7+1</f>
        <v>1202</v>
      </c>
      <c r="B8" s="1296" t="s">
        <v>5</v>
      </c>
      <c r="C8" s="1296"/>
      <c r="D8" s="1296"/>
      <c r="E8" s="1296"/>
      <c r="F8" s="1296"/>
      <c r="G8" s="967">
        <f>+G7*1.0216</f>
        <v>0</v>
      </c>
      <c r="H8" s="939"/>
      <c r="I8" s="939"/>
    </row>
    <row r="9" spans="1:13" s="939" customFormat="1" ht="12.75" customHeight="1">
      <c r="A9" s="733">
        <f>+A8+1</f>
        <v>1203</v>
      </c>
      <c r="B9" s="1242" t="s">
        <v>7</v>
      </c>
      <c r="C9" s="1294"/>
      <c r="D9" s="1294"/>
      <c r="E9" s="1294"/>
      <c r="F9" s="1243"/>
      <c r="G9" s="1068"/>
      <c r="H9" s="880"/>
      <c r="I9" s="880"/>
      <c r="J9" s="880"/>
      <c r="K9" s="880"/>
      <c r="L9" s="880"/>
      <c r="M9" s="880"/>
    </row>
    <row r="10" spans="1:10" ht="12.75" customHeight="1">
      <c r="A10" s="733">
        <f>+A9+1</f>
        <v>1204</v>
      </c>
      <c r="B10" s="1244" t="s">
        <v>72</v>
      </c>
      <c r="C10" s="1244"/>
      <c r="D10" s="1244"/>
      <c r="E10" s="1244"/>
      <c r="F10" s="1244"/>
      <c r="G10" s="1043">
        <f>+IF(G9&lt;G8,(G9-G8),G8-G7)</f>
        <v>0</v>
      </c>
      <c r="J10" s="939"/>
    </row>
    <row r="11" spans="1:10" ht="12.75" customHeight="1">
      <c r="A11" s="965"/>
      <c r="B11" s="966"/>
      <c r="C11" s="966"/>
      <c r="D11" s="966"/>
      <c r="E11" s="966"/>
      <c r="F11" s="966"/>
      <c r="G11" s="1017"/>
      <c r="J11" s="939"/>
    </row>
    <row r="12" spans="1:6" ht="12.75" customHeight="1">
      <c r="A12"/>
      <c r="B12"/>
      <c r="C12"/>
      <c r="D12"/>
      <c r="E12"/>
      <c r="F12"/>
    </row>
    <row r="13" spans="1:7" ht="12.75" customHeight="1">
      <c r="A13"/>
      <c r="B13"/>
      <c r="C13"/>
      <c r="D13"/>
      <c r="E13"/>
      <c r="F13"/>
      <c r="G13"/>
    </row>
    <row r="14" spans="1:13" ht="12.75" customHeight="1">
      <c r="A14"/>
      <c r="B14"/>
      <c r="C14"/>
      <c r="D14"/>
      <c r="E14"/>
      <c r="F14"/>
      <c r="G14"/>
      <c r="K14" s="939"/>
      <c r="L14" s="939"/>
      <c r="M14" s="939"/>
    </row>
    <row r="15" spans="1:7" ht="12.75" customHeight="1">
      <c r="A15"/>
      <c r="B15"/>
      <c r="C15"/>
      <c r="D15"/>
      <c r="E15"/>
      <c r="F15"/>
      <c r="G15"/>
    </row>
    <row r="16" spans="1:7" ht="12.75" customHeight="1">
      <c r="A16"/>
      <c r="B16"/>
      <c r="C16"/>
      <c r="D16"/>
      <c r="E16"/>
      <c r="F16"/>
      <c r="G16"/>
    </row>
    <row r="17" spans="1:7" ht="12.75" customHeight="1">
      <c r="A17"/>
      <c r="B17"/>
      <c r="C17"/>
      <c r="D17"/>
      <c r="E17"/>
      <c r="F17"/>
      <c r="G17"/>
    </row>
    <row r="18" spans="1:7" ht="12.75" customHeight="1">
      <c r="A18"/>
      <c r="B18"/>
      <c r="C18"/>
      <c r="D18"/>
      <c r="E18"/>
      <c r="F18"/>
      <c r="G18"/>
    </row>
    <row r="19" spans="1:7" ht="12.75" customHeight="1">
      <c r="A19"/>
      <c r="B19"/>
      <c r="C19"/>
      <c r="D19"/>
      <c r="E19"/>
      <c r="F19"/>
      <c r="G19"/>
    </row>
    <row r="20" spans="1:7" ht="12.75" customHeight="1">
      <c r="A20"/>
      <c r="B20"/>
      <c r="C20"/>
      <c r="D20"/>
      <c r="E20"/>
      <c r="F20"/>
      <c r="G20"/>
    </row>
    <row r="21" spans="1:7" ht="12.75" customHeight="1">
      <c r="A21"/>
      <c r="B21"/>
      <c r="C21"/>
      <c r="D21"/>
      <c r="E21"/>
      <c r="F21"/>
      <c r="G21"/>
    </row>
    <row r="22" spans="1:8" s="939" customFormat="1" ht="12.75" customHeight="1">
      <c r="A22"/>
      <c r="B22"/>
      <c r="C22"/>
      <c r="D22"/>
      <c r="E22"/>
      <c r="F22"/>
      <c r="G22"/>
      <c r="H22" s="880"/>
    </row>
    <row r="23" spans="1:7" ht="12.75" customHeight="1">
      <c r="A23"/>
      <c r="B23"/>
      <c r="C23"/>
      <c r="D23"/>
      <c r="E23"/>
      <c r="F23"/>
      <c r="G23"/>
    </row>
    <row r="24" spans="1:7" ht="12.75" customHeight="1">
      <c r="A24"/>
      <c r="B24"/>
      <c r="C24"/>
      <c r="D24"/>
      <c r="E24"/>
      <c r="F24"/>
      <c r="G24"/>
    </row>
    <row r="25" spans="1:13" ht="12.75" customHeight="1">
      <c r="A25"/>
      <c r="B25"/>
      <c r="C25"/>
      <c r="D25"/>
      <c r="E25"/>
      <c r="F25"/>
      <c r="G25"/>
      <c r="K25" s="939"/>
      <c r="L25" s="939"/>
      <c r="M25" s="939"/>
    </row>
    <row r="26" spans="1:7" ht="12.75" customHeight="1">
      <c r="A26"/>
      <c r="B26"/>
      <c r="C26"/>
      <c r="D26"/>
      <c r="E26"/>
      <c r="F26"/>
      <c r="G26"/>
    </row>
    <row r="27" spans="1:7" ht="12.75" customHeight="1">
      <c r="A27"/>
      <c r="B27"/>
      <c r="C27"/>
      <c r="D27"/>
      <c r="E27"/>
      <c r="F27"/>
      <c r="G27"/>
    </row>
    <row r="28" spans="1:7" ht="12.75" customHeight="1">
      <c r="A28"/>
      <c r="B28"/>
      <c r="C28"/>
      <c r="D28"/>
      <c r="E28"/>
      <c r="F28"/>
      <c r="G28"/>
    </row>
    <row r="29" spans="1:8" ht="12.75" customHeight="1">
      <c r="A29"/>
      <c r="B29"/>
      <c r="C29"/>
      <c r="D29"/>
      <c r="E29"/>
      <c r="F29"/>
      <c r="G29"/>
      <c r="H29" s="939"/>
    </row>
    <row r="30" spans="1:7" ht="12.75" customHeight="1">
      <c r="A30"/>
      <c r="B30"/>
      <c r="C30"/>
      <c r="D30"/>
      <c r="E30"/>
      <c r="F30"/>
      <c r="G30"/>
    </row>
    <row r="31" spans="1:7" ht="12.75" customHeight="1">
      <c r="A31"/>
      <c r="B31"/>
      <c r="C31"/>
      <c r="D31"/>
      <c r="E31"/>
      <c r="F31"/>
      <c r="G31"/>
    </row>
    <row r="34" spans="1:6" s="939" customFormat="1" ht="12.75" customHeight="1">
      <c r="A34" s="880"/>
      <c r="B34" s="880"/>
      <c r="C34" s="880"/>
      <c r="D34" s="880"/>
      <c r="E34" s="880"/>
      <c r="F34" s="880"/>
    </row>
    <row r="35" spans="3:6" ht="12.75" customHeight="1">
      <c r="C35" s="939"/>
      <c r="D35" s="939"/>
      <c r="E35" s="939"/>
      <c r="F35" s="939"/>
    </row>
    <row r="37" spans="4:6" ht="12.75" customHeight="1">
      <c r="D37" s="939"/>
      <c r="E37" s="939"/>
      <c r="F37" s="939"/>
    </row>
    <row r="46" ht="12.75" customHeight="1">
      <c r="H46" s="962"/>
    </row>
    <row r="47" ht="12.75" customHeight="1">
      <c r="H47" s="962"/>
    </row>
    <row r="48" ht="12.75" customHeight="1">
      <c r="H48" s="962"/>
    </row>
    <row r="49" ht="12.75" customHeight="1">
      <c r="I49" s="939"/>
    </row>
    <row r="50" spans="1:13" s="939" customFormat="1" ht="12.75" customHeight="1">
      <c r="A50" s="880"/>
      <c r="B50" s="880"/>
      <c r="C50" s="880"/>
      <c r="D50" s="880"/>
      <c r="E50" s="880"/>
      <c r="F50" s="880"/>
      <c r="G50" s="880"/>
      <c r="H50" s="880"/>
      <c r="I50" s="880"/>
      <c r="J50" s="880"/>
      <c r="K50" s="880"/>
      <c r="L50" s="880"/>
      <c r="M50" s="880"/>
    </row>
    <row r="51" ht="12.75" customHeight="1">
      <c r="J51" s="939"/>
    </row>
    <row r="53" spans="11:13" ht="12.75" customHeight="1">
      <c r="K53" s="939"/>
      <c r="L53" s="939"/>
      <c r="M53" s="939"/>
    </row>
  </sheetData>
  <sheetProtection password="CFAD" sheet="1" objects="1" scenarios="1"/>
  <mergeCells count="4">
    <mergeCell ref="B9:F9"/>
    <mergeCell ref="B7:F7"/>
    <mergeCell ref="B8:F8"/>
    <mergeCell ref="B10:F10"/>
  </mergeCells>
  <conditionalFormatting sqref="G7">
    <cfRule type="expression" priority="1" dxfId="0" stopIfTrue="1">
      <formula>C3=TRUE</formula>
    </cfRule>
  </conditionalFormatting>
  <conditionalFormatting sqref="G9">
    <cfRule type="expression" priority="2" dxfId="0" stopIfTrue="1">
      <formula>C3=TRUE</formula>
    </cfRule>
  </conditionalFormatting>
  <conditionalFormatting sqref="G8">
    <cfRule type="expression" priority="3" dxfId="2" stopIfTrue="1">
      <formula>C3=TRUE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sheetPr codeName="Blad16">
    <pageSetUpPr fitToPage="1"/>
  </sheetPr>
  <dimension ref="A1:L30"/>
  <sheetViews>
    <sheetView showGridLines="0" zoomScale="86" zoomScaleNormal="86" workbookViewId="0" topLeftCell="A1">
      <selection activeCell="B29" sqref="B29"/>
    </sheetView>
  </sheetViews>
  <sheetFormatPr defaultColWidth="9.140625" defaultRowHeight="12.75"/>
  <cols>
    <col min="1" max="1" width="5.00390625" style="887" customWidth="1"/>
    <col min="2" max="2" width="75.7109375" style="565" customWidth="1"/>
    <col min="3" max="4" width="15.7109375" style="565" customWidth="1"/>
    <col min="5" max="5" width="15.7109375" style="937" customWidth="1"/>
    <col min="6" max="6" width="2.7109375" style="565" customWidth="1"/>
    <col min="7" max="7" width="12.7109375" style="938" customWidth="1"/>
    <col min="8" max="8" width="2.7109375" style="565" customWidth="1"/>
    <col min="9" max="16384" width="9.140625" style="565" customWidth="1"/>
  </cols>
  <sheetData>
    <row r="1" spans="1:12" s="457" customFormat="1" ht="15.75" customHeight="1">
      <c r="A1" s="41"/>
      <c r="B1" s="42"/>
      <c r="C1" s="43"/>
      <c r="D1" s="42"/>
      <c r="E1" s="90"/>
      <c r="F1" s="45"/>
      <c r="G1" s="45"/>
      <c r="H1" s="26"/>
      <c r="I1" s="42"/>
      <c r="L1" s="455"/>
    </row>
    <row r="2" spans="1:12" s="502" customFormat="1" ht="15.75" customHeight="1">
      <c r="A2" s="599" t="str">
        <f>CONCATENATE("Nacalculatieformulier ",Voorblad!D3)</f>
        <v>Nacalculatieformulier 2004</v>
      </c>
      <c r="B2" s="597"/>
      <c r="C2" s="600" t="b">
        <f>Voorblad!D30</f>
        <v>1</v>
      </c>
      <c r="D2" s="599"/>
      <c r="E2" s="596">
        <f>'Afschr.inventaris'!I3+1</f>
        <v>13</v>
      </c>
      <c r="F2" s="592"/>
      <c r="G2" s="592"/>
      <c r="H2" s="592"/>
      <c r="L2" s="503"/>
    </row>
    <row r="3" spans="1:12" s="457" customFormat="1" ht="12">
      <c r="A3" s="41"/>
      <c r="B3" s="42"/>
      <c r="C3" s="43"/>
      <c r="D3" s="42"/>
      <c r="E3" s="42"/>
      <c r="F3" s="45"/>
      <c r="G3" s="45"/>
      <c r="H3" s="26"/>
      <c r="I3" s="42"/>
      <c r="L3" s="455"/>
    </row>
    <row r="4" spans="1:9" s="457" customFormat="1" ht="12.75" customHeight="1">
      <c r="A4" s="14" t="s">
        <v>137</v>
      </c>
      <c r="B4" s="95"/>
      <c r="C4" s="387"/>
      <c r="D4" s="90"/>
      <c r="E4" s="587"/>
      <c r="F4" s="587"/>
      <c r="G4" s="95"/>
      <c r="H4" s="95"/>
      <c r="I4" s="455"/>
    </row>
    <row r="5" ht="12">
      <c r="E5" s="938"/>
    </row>
    <row r="6" spans="3:11" ht="12">
      <c r="C6" s="969" t="s">
        <v>250</v>
      </c>
      <c r="D6" s="997" t="s">
        <v>371</v>
      </c>
      <c r="E6" s="970" t="s">
        <v>146</v>
      </c>
      <c r="F6" s="880"/>
      <c r="G6" s="880"/>
      <c r="H6" s="880"/>
      <c r="I6" s="880"/>
      <c r="J6" s="880"/>
      <c r="K6" s="880"/>
    </row>
    <row r="7" spans="1:11" ht="12">
      <c r="A7" s="887" t="s">
        <v>441</v>
      </c>
      <c r="B7" s="887" t="s">
        <v>249</v>
      </c>
      <c r="C7" s="971" t="s">
        <v>251</v>
      </c>
      <c r="D7" s="998"/>
      <c r="E7" s="972"/>
      <c r="F7" s="880"/>
      <c r="G7" s="880"/>
      <c r="H7" s="880"/>
      <c r="I7" s="880"/>
      <c r="J7" s="880"/>
      <c r="K7" s="880"/>
    </row>
    <row r="8" spans="2:11" ht="12">
      <c r="B8" s="887"/>
      <c r="C8" s="973"/>
      <c r="D8" s="973"/>
      <c r="E8" s="974"/>
      <c r="F8" s="880"/>
      <c r="G8" s="880"/>
      <c r="H8" s="880"/>
      <c r="I8" s="880"/>
      <c r="J8" s="880"/>
      <c r="K8" s="880"/>
    </row>
    <row r="9" spans="1:11" ht="12.75" customHeight="1">
      <c r="A9" s="916">
        <f>(100*E2)+1</f>
        <v>1301</v>
      </c>
      <c r="B9" s="926" t="s">
        <v>323</v>
      </c>
      <c r="C9" s="1297"/>
      <c r="D9" s="1297"/>
      <c r="E9" s="1002">
        <f>+Productie!H19</f>
        <v>0</v>
      </c>
      <c r="F9" s="961"/>
      <c r="G9" s="961"/>
      <c r="H9" s="961"/>
      <c r="I9" s="961"/>
      <c r="J9" s="961"/>
      <c r="K9" s="880"/>
    </row>
    <row r="10" spans="1:11" ht="12">
      <c r="A10" s="916">
        <f>+A9+1</f>
        <v>1302</v>
      </c>
      <c r="B10" s="869" t="s">
        <v>281</v>
      </c>
      <c r="C10" s="1091">
        <f>+Productie!E27</f>
        <v>0</v>
      </c>
      <c r="D10" s="1091">
        <f>+Productie!F27</f>
        <v>0</v>
      </c>
      <c r="E10" s="1091">
        <f>C10-D10</f>
        <v>0</v>
      </c>
      <c r="F10" s="961"/>
      <c r="G10" s="1084"/>
      <c r="H10" s="961"/>
      <c r="I10" s="961"/>
      <c r="J10" s="961"/>
      <c r="K10" s="880"/>
    </row>
    <row r="11" spans="1:7" ht="12">
      <c r="A11" s="916">
        <f aca="true" t="shared" si="0" ref="A11:A21">+A10+1</f>
        <v>1303</v>
      </c>
      <c r="B11" s="869" t="str">
        <f>Afschrijvingen!B6</f>
        <v>Nacalculeerbare afschrijvingskosten (normale en verkorte procedures)</v>
      </c>
      <c r="C11" s="993">
        <f>Afschrijvingen!G19</f>
        <v>0</v>
      </c>
      <c r="D11" s="1016"/>
      <c r="E11" s="967">
        <f>C11-D11</f>
        <v>0</v>
      </c>
      <c r="G11" s="565"/>
    </row>
    <row r="12" spans="1:7" ht="12">
      <c r="A12" s="916">
        <f t="shared" si="0"/>
        <v>1304</v>
      </c>
      <c r="B12" s="869" t="s">
        <v>320</v>
      </c>
      <c r="C12" s="1017"/>
      <c r="D12" s="1017"/>
      <c r="E12" s="967">
        <f>Instandhouding!H28</f>
        <v>0</v>
      </c>
      <c r="G12" s="565"/>
    </row>
    <row r="13" spans="1:7" ht="12">
      <c r="A13" s="916">
        <f t="shared" si="0"/>
        <v>1305</v>
      </c>
      <c r="B13" s="869" t="s">
        <v>321</v>
      </c>
      <c r="C13" s="1018"/>
      <c r="D13" s="1018"/>
      <c r="E13" s="967">
        <f>+'Afschr.inventaris'!G10</f>
        <v>0</v>
      </c>
      <c r="G13" s="565"/>
    </row>
    <row r="14" spans="1:7" ht="12">
      <c r="A14" s="916">
        <f t="shared" si="0"/>
        <v>1306</v>
      </c>
      <c r="B14" s="869" t="s">
        <v>145</v>
      </c>
      <c r="C14" s="572"/>
      <c r="D14" s="572"/>
      <c r="E14" s="967">
        <f>C14-D14</f>
        <v>0</v>
      </c>
      <c r="G14" s="565"/>
    </row>
    <row r="15" spans="1:7" ht="12">
      <c r="A15" s="916">
        <f t="shared" si="0"/>
        <v>1307</v>
      </c>
      <c r="B15" s="1092" t="s">
        <v>12</v>
      </c>
      <c r="C15" s="1086" t="s">
        <v>412</v>
      </c>
      <c r="D15" s="1013"/>
      <c r="E15" s="1011">
        <f>-D15</f>
        <v>0</v>
      </c>
      <c r="G15" s="565"/>
    </row>
    <row r="16" spans="1:7" ht="12">
      <c r="A16" s="916">
        <f t="shared" si="0"/>
        <v>1308</v>
      </c>
      <c r="B16" s="869" t="s">
        <v>347</v>
      </c>
      <c r="C16" s="1085"/>
      <c r="D16" s="925"/>
      <c r="E16" s="1013"/>
      <c r="G16" s="565"/>
    </row>
    <row r="17" spans="1:7" ht="12">
      <c r="A17" s="916">
        <f t="shared" si="0"/>
        <v>1309</v>
      </c>
      <c r="B17" s="943" t="s">
        <v>456</v>
      </c>
      <c r="C17" s="978"/>
      <c r="D17" s="978"/>
      <c r="E17" s="944">
        <f>SUM(E9:E16)</f>
        <v>0</v>
      </c>
      <c r="G17" s="565"/>
    </row>
    <row r="18" spans="1:7" ht="12">
      <c r="A18" s="916">
        <f t="shared" si="0"/>
        <v>1310</v>
      </c>
      <c r="B18" s="1088" t="str">
        <f>CONCATENATE("Aanvaardbare kosten op kasbasis volgens laatste rekenstaat ",Voorblad!$D$3)</f>
        <v>Aanvaardbare kosten op kasbasis volgens laatste rekenstaat 2004</v>
      </c>
      <c r="C18" s="1147"/>
      <c r="D18" s="1090"/>
      <c r="E18" s="1013"/>
      <c r="G18" s="565"/>
    </row>
    <row r="19" spans="1:7" ht="12">
      <c r="A19" s="916">
        <f t="shared" si="0"/>
        <v>1311</v>
      </c>
      <c r="B19" s="1022" t="str">
        <f>CONCATENATE("Subtotaal (regel ",A17," + ",A18,")")</f>
        <v>Subtotaal (regel 1309 + 1310)</v>
      </c>
      <c r="C19" s="1089"/>
      <c r="D19" s="1089"/>
      <c r="E19" s="967">
        <f>E17+E18</f>
        <v>0</v>
      </c>
      <c r="G19" s="565"/>
    </row>
    <row r="20" spans="1:7" ht="12">
      <c r="A20" s="916">
        <f t="shared" si="0"/>
        <v>1312</v>
      </c>
      <c r="B20" s="999" t="s">
        <v>322</v>
      </c>
      <c r="C20" s="1087">
        <f>'Rentecalc.'!E31</f>
        <v>0</v>
      </c>
      <c r="D20" s="1013"/>
      <c r="E20" s="1015">
        <f>C20-D20</f>
        <v>0</v>
      </c>
      <c r="G20" s="565"/>
    </row>
    <row r="21" spans="1:7" ht="12">
      <c r="A21" s="916">
        <f t="shared" si="0"/>
        <v>1313</v>
      </c>
      <c r="B21" s="1021" t="str">
        <f>CONCATENATE("Definitief aanvaardbare kosten ",Voorblad!D3," (regel ",A19," + ",A20,")")</f>
        <v>Definitief aanvaardbare kosten 2004 (regel 1311 + 1312)</v>
      </c>
      <c r="C21" s="1019"/>
      <c r="D21" s="1019"/>
      <c r="E21" s="1028">
        <f>E19+E20</f>
        <v>0</v>
      </c>
      <c r="G21" s="565"/>
    </row>
    <row r="22" spans="1:7" ht="12">
      <c r="A22" s="932"/>
      <c r="C22" s="887"/>
      <c r="E22" s="938"/>
      <c r="G22" s="565"/>
    </row>
    <row r="23" spans="1:7" ht="12">
      <c r="A23" s="887" t="s">
        <v>32</v>
      </c>
      <c r="B23" s="887" t="str">
        <f>CONCATENATE("Opbrengstverrekening ",Voorblad!D3,)</f>
        <v>Opbrengstverrekening 2004</v>
      </c>
      <c r="E23" s="938"/>
      <c r="G23" s="565"/>
    </row>
    <row r="24" spans="1:7" ht="12">
      <c r="A24" s="565"/>
      <c r="B24" s="887"/>
      <c r="E24" s="938"/>
      <c r="G24" s="565"/>
    </row>
    <row r="25" spans="1:7" ht="12">
      <c r="A25" s="916">
        <f>+A21+1</f>
        <v>1314</v>
      </c>
      <c r="B25" s="1242" t="s">
        <v>304</v>
      </c>
      <c r="C25" s="1294"/>
      <c r="D25" s="1243"/>
      <c r="E25" s="572"/>
      <c r="G25" s="565"/>
    </row>
    <row r="26" spans="1:7" ht="12">
      <c r="A26" s="916">
        <f>A25+1</f>
        <v>1315</v>
      </c>
      <c r="B26" s="1242" t="str">
        <f>CONCATENATE("Werkelijke opbrengsten ",Voorblad!D3," (regel 1738 van pagina ",Opbrengsten!J2,")")</f>
        <v>Werkelijke opbrengsten 2004 (regel 1738 van pagina 7)</v>
      </c>
      <c r="C26" s="1294"/>
      <c r="D26" s="1243"/>
      <c r="E26" s="967">
        <f>Opbrengsten!J24</f>
        <v>0</v>
      </c>
      <c r="G26" s="565"/>
    </row>
    <row r="27" spans="1:5" ht="12">
      <c r="A27" s="916">
        <f>A26+1</f>
        <v>1316</v>
      </c>
      <c r="B27" s="1298" t="str">
        <f>CONCATENATE("Nog te verrekenen opbrengsten m.b.t. ",Voorblad!D3,"")</f>
        <v>Nog te verrekenen opbrengsten m.b.t. 2004</v>
      </c>
      <c r="C27" s="1299"/>
      <c r="D27" s="1300"/>
      <c r="E27" s="944">
        <f>E25-E26</f>
        <v>0</v>
      </c>
    </row>
    <row r="28" spans="1:5" ht="12">
      <c r="A28" s="966"/>
      <c r="B28" s="932"/>
      <c r="C28" s="932"/>
      <c r="D28" s="932"/>
      <c r="E28" s="975"/>
    </row>
    <row r="30" ht="12">
      <c r="G30" s="968"/>
    </row>
  </sheetData>
  <sheetProtection password="CFAD" sheet="1" objects="1" scenarios="1"/>
  <mergeCells count="4">
    <mergeCell ref="C9:D9"/>
    <mergeCell ref="B26:D26"/>
    <mergeCell ref="B27:D27"/>
    <mergeCell ref="B25:D25"/>
  </mergeCells>
  <conditionalFormatting sqref="E25 E18 D20 D15 E16 C14:D14 D11">
    <cfRule type="expression" priority="1" dxfId="0" stopIfTrue="1">
      <formula>$C$2=TRUE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2"/>
  <ignoredErrors>
    <ignoredError sqref="E20" formula="1"/>
    <ignoredError sqref="E15" unlockedFormula="1"/>
  </ignoredErrors>
  <drawing r:id="rId1"/>
</worksheet>
</file>

<file path=xl/worksheets/sheet12.xml><?xml version="1.0" encoding="utf-8"?>
<worksheet xmlns="http://schemas.openxmlformats.org/spreadsheetml/2006/main" xmlns:r="http://schemas.openxmlformats.org/officeDocument/2006/relationships">
  <sheetPr codeName="Blad17">
    <pageSetUpPr fitToPage="1"/>
  </sheetPr>
  <dimension ref="A1:K33"/>
  <sheetViews>
    <sheetView showGridLines="0" zoomScale="86" zoomScaleNormal="86" workbookViewId="0" topLeftCell="A1">
      <selection activeCell="C33" sqref="C33"/>
    </sheetView>
  </sheetViews>
  <sheetFormatPr defaultColWidth="9.140625" defaultRowHeight="12.75"/>
  <cols>
    <col min="1" max="1" width="5.7109375" style="466" customWidth="1"/>
    <col min="2" max="2" width="25.7109375" style="457" customWidth="1"/>
    <col min="3" max="3" width="43.8515625" style="485" customWidth="1"/>
    <col min="4" max="4" width="16.7109375" style="459" customWidth="1"/>
    <col min="5" max="5" width="16.7109375" style="457" customWidth="1"/>
    <col min="6" max="6" width="15.8515625" style="457" customWidth="1"/>
    <col min="7" max="7" width="3.421875" style="457" customWidth="1"/>
    <col min="8" max="8" width="9.00390625" style="467" bestFit="1" customWidth="1"/>
    <col min="9" max="16384" width="9.140625" style="457" customWidth="1"/>
  </cols>
  <sheetData>
    <row r="1" spans="1:11" ht="15.75" customHeight="1">
      <c r="A1" s="41"/>
      <c r="B1" s="42"/>
      <c r="C1" s="42"/>
      <c r="D1" s="43"/>
      <c r="E1" s="589" t="b">
        <f>+Voorblad!D30</f>
        <v>1</v>
      </c>
      <c r="F1" s="1114"/>
      <c r="G1" s="1117"/>
      <c r="H1" s="459"/>
      <c r="K1" s="455"/>
    </row>
    <row r="2" spans="1:11" s="502" customFormat="1" ht="15.75" customHeight="1">
      <c r="A2" s="584" t="str">
        <f>Inhoud!$A$2</f>
        <v>Nacalculatieformulier 2004</v>
      </c>
      <c r="B2" s="597"/>
      <c r="C2" s="599"/>
      <c r="D2" s="600" t="b">
        <f>Voorblad!D30</f>
        <v>1</v>
      </c>
      <c r="E2" s="600"/>
      <c r="F2" s="537"/>
      <c r="G2" s="596">
        <f>Mutaties!E2+1</f>
        <v>14</v>
      </c>
      <c r="K2" s="503"/>
    </row>
    <row r="3" spans="1:11" ht="12">
      <c r="A3" s="41"/>
      <c r="B3" s="42"/>
      <c r="C3" s="42"/>
      <c r="D3" s="43"/>
      <c r="E3" s="42"/>
      <c r="F3" s="45"/>
      <c r="G3" s="458"/>
      <c r="H3" s="459"/>
      <c r="K3" s="455"/>
    </row>
    <row r="4" spans="2:9" ht="12.75" customHeight="1">
      <c r="B4" s="95"/>
      <c r="C4" s="95"/>
      <c r="D4" s="387"/>
      <c r="E4" s="90"/>
      <c r="F4" s="587"/>
      <c r="G4" s="489"/>
      <c r="H4" s="489"/>
      <c r="I4" s="455"/>
    </row>
    <row r="5" spans="1:8" ht="12.75" customHeight="1">
      <c r="A5" s="41"/>
      <c r="B5" s="95"/>
      <c r="C5" s="95"/>
      <c r="D5" s="95"/>
      <c r="E5" s="163"/>
      <c r="F5" s="165"/>
      <c r="G5" s="499"/>
      <c r="H5" s="499"/>
    </row>
    <row r="6" spans="1:8" ht="12.75" customHeight="1">
      <c r="A6" s="14" t="s">
        <v>176</v>
      </c>
      <c r="B6"/>
      <c r="C6"/>
      <c r="D6"/>
      <c r="E6"/>
      <c r="F6"/>
      <c r="G6" s="475"/>
      <c r="H6" s="484"/>
    </row>
    <row r="7" spans="1:8" s="486" customFormat="1" ht="12.75" customHeight="1">
      <c r="A7"/>
      <c r="B7"/>
      <c r="C7"/>
      <c r="D7"/>
      <c r="E7"/>
      <c r="F7"/>
      <c r="G7" s="475"/>
      <c r="H7" s="484"/>
    </row>
    <row r="8" spans="1:6" ht="12.75" customHeight="1">
      <c r="A8" s="26"/>
      <c r="B8" s="132"/>
      <c r="C8"/>
      <c r="E8" s="477" t="s">
        <v>424</v>
      </c>
      <c r="F8"/>
    </row>
    <row r="9" spans="1:6" ht="12.75" customHeight="1">
      <c r="A9" s="619"/>
      <c r="B9" s="1039" t="s">
        <v>434</v>
      </c>
      <c r="C9" s="632"/>
      <c r="E9" s="472"/>
      <c r="F9"/>
    </row>
    <row r="10" spans="1:6" ht="12.75" customHeight="1">
      <c r="A10" s="733">
        <f>(G2*100)+1</f>
        <v>1401</v>
      </c>
      <c r="B10" s="1040" t="str">
        <f>CONCATENATE('A-G'!B8," (regel ",'A-G'!A23," bijlage ",LEFT('A-G'!A8,1),")")</f>
        <v>Boekwaarde investeringen waarvoor vergunning is verleend (regel 1515 bijlage A)</v>
      </c>
      <c r="C10" s="836"/>
      <c r="D10" s="1041"/>
      <c r="E10" s="432">
        <f>'A-G'!G23</f>
        <v>0</v>
      </c>
      <c r="F10"/>
    </row>
    <row r="11" spans="1:6" ht="12.75" customHeight="1">
      <c r="A11" s="737">
        <f aca="true" t="shared" si="0" ref="A11:A16">A10+1</f>
        <v>1402</v>
      </c>
      <c r="B11" s="558" t="str">
        <f>CONCATENATE('A-G'!B31," (regel ",'A-G'!A45," bijlage ",LEFT('A-G'!A31,1),")")</f>
        <v>Onderhanden bouwprojecten  met WZV vergunning (geen investeringen meldingsregeling) (regel 1531 bijlage B)</v>
      </c>
      <c r="C11" s="558"/>
      <c r="D11" s="621"/>
      <c r="E11" s="432">
        <f>'A-G'!G45</f>
        <v>0</v>
      </c>
      <c r="F11"/>
    </row>
    <row r="12" spans="1:6" ht="12.75" customHeight="1">
      <c r="A12" s="737">
        <f t="shared" si="0"/>
        <v>1403</v>
      </c>
      <c r="B12" s="558" t="str">
        <f>CONCATENATE('A-G'!B53," (regel ",'A-G'!A71," bijlage ",LEFT('A-G'!A53,1),")")</f>
        <v>Werkelijke boekwaarde instandhoudingsinvesteringen (inclusief onderhanden werk) (regel 1618 bijlage C)</v>
      </c>
      <c r="C12" s="558"/>
      <c r="D12" s="621"/>
      <c r="E12" s="432">
        <f>'A-G'!G71</f>
        <v>0</v>
      </c>
      <c r="F12"/>
    </row>
    <row r="13" spans="1:6" ht="12.75" customHeight="1">
      <c r="A13" s="737">
        <f t="shared" si="0"/>
        <v>1404</v>
      </c>
      <c r="B13" s="558" t="str">
        <f>CONCATENATE('A-G'!B79," (regel ",'A-G'!A91," bijlage ",LEFT('A-G'!A79,1),")")</f>
        <v>Werkelijke boekwaarde medische en overige inventarissen (regel 1630 bijlage D)</v>
      </c>
      <c r="C13" s="558"/>
      <c r="D13" s="621"/>
      <c r="E13" s="432">
        <f>'A-G'!G91</f>
        <v>0</v>
      </c>
      <c r="F13"/>
    </row>
    <row r="14" spans="1:6" ht="12.75" customHeight="1">
      <c r="A14" s="737">
        <f>+A13+1</f>
        <v>1405</v>
      </c>
      <c r="B14" s="558" t="str">
        <f>CONCATENATE('A-G'!B94," (regel ",'A-G'!A97," bijlage ",LEFT('A-G'!A94,1),")")</f>
        <v>Normatief werkkapitaal (regel 1633 bijlage F)</v>
      </c>
      <c r="C14" s="616"/>
      <c r="D14" s="766"/>
      <c r="E14" s="762">
        <f>'A-G'!G97</f>
        <v>0</v>
      </c>
      <c r="F14"/>
    </row>
    <row r="15" spans="1:6" ht="12.75" customHeight="1">
      <c r="A15" s="737">
        <f t="shared" si="0"/>
        <v>1406</v>
      </c>
      <c r="B15" s="558" t="str">
        <f>CONCATENATE('A-G'!B102," (regel ",'A-G'!A123," of ",'A-G'!A125," bijlage ",LEFT('A-G'!A102,1),")")</f>
        <v>Nog in tarieven te verrekenen kosten/opbrengsten (regel 1718 of 1720 bijlage G)</v>
      </c>
      <c r="C15" s="616"/>
      <c r="D15" s="766"/>
      <c r="E15" s="762">
        <f>IF('A-G'!G123&gt;'A-G'!G125,'A-G'!G125,'A-G'!G123)</f>
        <v>0</v>
      </c>
      <c r="F15"/>
    </row>
    <row r="16" spans="1:6" ht="12.75" customHeight="1">
      <c r="A16" s="737">
        <f t="shared" si="0"/>
        <v>1407</v>
      </c>
      <c r="B16" s="764" t="str">
        <f>CONCATENATE("Totaal in aanmerking te nemen activa (regel ",A10," t/m ",A15,")")</f>
        <v>Totaal in aanmerking te nemen activa (regel 1401 t/m 1406)</v>
      </c>
      <c r="C16" s="773"/>
      <c r="D16" s="761"/>
      <c r="E16" s="763">
        <f>SUM(E10:E15)</f>
        <v>0</v>
      </c>
      <c r="F16"/>
    </row>
    <row r="17" spans="1:6" ht="12.75" customHeight="1">
      <c r="A17" s="631"/>
      <c r="B17" s="1039" t="s">
        <v>435</v>
      </c>
      <c r="C17" s="634"/>
      <c r="D17" s="634"/>
      <c r="E17" s="479"/>
      <c r="F17"/>
    </row>
    <row r="18" spans="1:6" ht="12.75" customHeight="1">
      <c r="A18" s="737">
        <f>A16+1</f>
        <v>1408</v>
      </c>
      <c r="B18" s="1040" t="str">
        <f>CONCATENATE(H!B7," (regel ",H!A46," bijlage ",LEFT(H!A7,1),")")</f>
        <v>Langlopende leningen (incl. langlopende leasecontracten) (regel 1839 bijlage H)</v>
      </c>
      <c r="C18" s="836"/>
      <c r="D18" s="1041"/>
      <c r="E18" s="432">
        <f>H!R46</f>
        <v>0</v>
      </c>
      <c r="F18"/>
    </row>
    <row r="19" spans="1:6" ht="12.75" customHeight="1">
      <c r="A19" s="737">
        <f>A18+1</f>
        <v>1409</v>
      </c>
      <c r="B19" s="740" t="str">
        <f>CONCATENATE('I-J'!B6," (regel ",'I-J'!A21," bijlage ",LEFT('I-J'!A6,1),")")</f>
        <v>Eigen vermogen (regel 2015 bijlage I)</v>
      </c>
      <c r="C19" s="740"/>
      <c r="D19" s="759"/>
      <c r="E19" s="762">
        <f>'I-J'!E21</f>
        <v>0</v>
      </c>
      <c r="F19"/>
    </row>
    <row r="20" spans="1:6" ht="12.75" customHeight="1">
      <c r="A20" s="737">
        <f>A19+1</f>
        <v>1410</v>
      </c>
      <c r="B20" s="760" t="str">
        <f>CONCATENATE("Totaal in aanmerking te nemen passiva (regel ",A18," + ",A19,")")</f>
        <v>Totaal in aanmerking te nemen passiva (regel 1408 + 1409)</v>
      </c>
      <c r="C20" s="770"/>
      <c r="D20" s="761"/>
      <c r="E20" s="765">
        <f>E18+E19</f>
        <v>0</v>
      </c>
      <c r="F20"/>
    </row>
    <row r="21" spans="1:6" ht="12.75" customHeight="1">
      <c r="A21" s="614"/>
      <c r="B21" s="614"/>
      <c r="C21" s="634"/>
      <c r="D21" s="634"/>
      <c r="E21" s="479"/>
      <c r="F21"/>
    </row>
    <row r="22" spans="1:6" ht="12.75" customHeight="1">
      <c r="A22" s="737">
        <f>A20+1</f>
        <v>1411</v>
      </c>
      <c r="B22" s="739" t="str">
        <f>CONCATENATE("Verschil tussen activa en passiva (regel ",A16," -/- ",A20,")")</f>
        <v>Verschil tussen activa en passiva (regel 1407 -/- 1410)</v>
      </c>
      <c r="C22" s="770"/>
      <c r="D22" s="761"/>
      <c r="E22" s="763">
        <f>E16-E20</f>
        <v>0</v>
      </c>
      <c r="F22"/>
    </row>
    <row r="23" spans="1:6" ht="12.75" customHeight="1">
      <c r="A23" s="737">
        <f>A22+1</f>
        <v>1412</v>
      </c>
      <c r="B23" s="638" t="s">
        <v>169</v>
      </c>
      <c r="C23" s="767"/>
      <c r="D23" s="767"/>
      <c r="E23" s="1054">
        <f>IF(E19&gt;E14,80%*(E10+SUM(E12:E14)-E19),0.8*(E10+SUM(E12:E13)))</f>
        <v>0</v>
      </c>
      <c r="F23" s="829"/>
    </row>
    <row r="24" spans="1:6" ht="12.75" customHeight="1">
      <c r="A24" s="737">
        <f>A23+1</f>
        <v>1413</v>
      </c>
      <c r="B24" s="738" t="s">
        <v>130</v>
      </c>
      <c r="C24" s="770"/>
      <c r="D24" s="761"/>
      <c r="E24" s="769">
        <f>IF(E23&gt;E18,E23-E18,0)</f>
        <v>0</v>
      </c>
      <c r="F24" s="829"/>
    </row>
    <row r="25" spans="1:6" ht="12.75" customHeight="1">
      <c r="A25" s="737">
        <f>A24+1</f>
        <v>1414</v>
      </c>
      <c r="B25" s="1040" t="s">
        <v>121</v>
      </c>
      <c r="C25" s="615"/>
      <c r="D25" s="768"/>
      <c r="E25" s="555"/>
      <c r="F25" s="1082"/>
    </row>
    <row r="26" spans="1:6" ht="12.75">
      <c r="A26" s="571"/>
      <c r="B26" s="1042" t="s">
        <v>420</v>
      </c>
      <c r="C26" s="614"/>
      <c r="D26" s="571"/>
      <c r="F26"/>
    </row>
    <row r="27" spans="1:5" ht="12">
      <c r="A27" s="737">
        <f>A25+1</f>
        <v>1415</v>
      </c>
      <c r="B27" s="558" t="str">
        <f>CONCATENATE('I-J'!B25," (regel ",'I-J'!A31," bijlage ",LEFT('I-J'!A25,1),")")</f>
        <v>Rentekosten langlopende leningen (regel 2021 bijlage J)</v>
      </c>
      <c r="C27" s="836"/>
      <c r="D27" s="633"/>
      <c r="E27" s="432">
        <f>'I-J'!E31</f>
        <v>0</v>
      </c>
    </row>
    <row r="28" spans="1:6" ht="12">
      <c r="A28" s="737">
        <f>A27+1</f>
        <v>1416</v>
      </c>
      <c r="B28" s="558" t="str">
        <f>CONCATENATE("Normrente over verschil activa en passiva (2,83% van regel ",A22,")")</f>
        <v>Normrente over verschil activa en passiva (2,83% van regel 1411)</v>
      </c>
      <c r="C28" s="558"/>
      <c r="D28" s="621"/>
      <c r="E28" s="432">
        <f>0.0283*(E22)</f>
        <v>0</v>
      </c>
      <c r="F28" s="467"/>
    </row>
    <row r="29" spans="1:6" ht="12">
      <c r="A29" s="737">
        <f>A28+1</f>
        <v>1417</v>
      </c>
      <c r="B29" s="740" t="str">
        <f>CONCATENATE("Rentekorting 1,5% over verschil tussen regel ",A24," en regel ",A25)</f>
        <v>Rentekorting 1,5% over verschil tussen regel 1413 en regel 1414</v>
      </c>
      <c r="C29" s="740"/>
      <c r="D29" s="759"/>
      <c r="E29" s="1107">
        <f>IF((E24-E25)&gt;0,-0.015*(E24-E25),0)</f>
        <v>0</v>
      </c>
      <c r="F29" s="467"/>
    </row>
    <row r="30" spans="1:6" ht="12">
      <c r="A30" s="737">
        <f>A29+1</f>
        <v>1418</v>
      </c>
      <c r="B30" s="740" t="str">
        <f>CONCATENATE("Inflatievergoeding over eigen vermogen 0,78% over regel ",'I-J'!A21," bijlage ",LEFT('I-J'!A6,1)," (exclusief instandhoudingsreserve)")</f>
        <v>Inflatievergoeding over eigen vermogen 0,78% over regel 2015 bijlage I (exclusief instandhoudingsreserve)</v>
      </c>
      <c r="C30" s="615"/>
      <c r="D30" s="768"/>
      <c r="E30" s="1101">
        <f>IF(('I-J'!E21-'I-J'!E13)&gt;0,0.78%*('I-J'!E21-'I-J'!E13),0)</f>
        <v>0</v>
      </c>
      <c r="F30" s="467"/>
    </row>
    <row r="31" spans="1:5" ht="12">
      <c r="A31" s="737">
        <f>A30+1</f>
        <v>1419</v>
      </c>
      <c r="B31" s="760" t="str">
        <f>CONCATENATE("Totaal aanvaardbare rentekosten (regel ",A27," tot en met ",A30,")")</f>
        <v>Totaal aanvaardbare rentekosten (regel 1415 tot en met 1418)</v>
      </c>
      <c r="C31" s="770"/>
      <c r="D31" s="761"/>
      <c r="E31" s="763">
        <f>E27+E28+E29+E30</f>
        <v>0</v>
      </c>
    </row>
    <row r="33" spans="1:4" ht="12">
      <c r="A33" s="1103"/>
      <c r="B33" s="1104"/>
      <c r="C33" s="1105"/>
      <c r="D33" s="1106"/>
    </row>
  </sheetData>
  <sheetProtection password="CFAD" sheet="1" objects="1" scenarios="1"/>
  <conditionalFormatting sqref="G9:G13">
    <cfRule type="expression" priority="1" dxfId="1" stopIfTrue="1">
      <formula>$G$2=TRUE</formula>
    </cfRule>
  </conditionalFormatting>
  <conditionalFormatting sqref="E25">
    <cfRule type="expression" priority="2" dxfId="0" stopIfTrue="1">
      <formula>$E$1=TRUE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sheetPr codeName="Blad18"/>
  <dimension ref="A1:L136"/>
  <sheetViews>
    <sheetView showGridLines="0" zoomScale="86" zoomScaleNormal="86" workbookViewId="0" topLeftCell="A91">
      <selection activeCell="C129" sqref="C129"/>
    </sheetView>
  </sheetViews>
  <sheetFormatPr defaultColWidth="9.140625" defaultRowHeight="12.75"/>
  <cols>
    <col min="1" max="1" width="5.7109375" style="466" customWidth="1"/>
    <col min="2" max="2" width="37.00390625" style="457" customWidth="1"/>
    <col min="3" max="3" width="18.8515625" style="459" customWidth="1"/>
    <col min="4" max="4" width="13.7109375" style="459" customWidth="1"/>
    <col min="5" max="5" width="16.7109375" style="459" customWidth="1"/>
    <col min="6" max="6" width="17.7109375" style="459" customWidth="1"/>
    <col min="7" max="7" width="17.7109375" style="457" customWidth="1"/>
    <col min="8" max="8" width="1.7109375" style="457" customWidth="1"/>
    <col min="9" max="9" width="10.7109375" style="457" customWidth="1"/>
    <col min="10" max="10" width="10.7109375" style="455" customWidth="1"/>
    <col min="11" max="15" width="10.7109375" style="457" customWidth="1"/>
    <col min="16" max="23" width="9.140625" style="457" customWidth="1"/>
    <col min="24" max="24" width="1.7109375" style="457" customWidth="1"/>
    <col min="25" max="16384" width="9.140625" style="457" customWidth="1"/>
  </cols>
  <sheetData>
    <row r="1" ht="27" customHeight="1">
      <c r="G1" s="455"/>
    </row>
    <row r="2" spans="1:10" s="502" customFormat="1" ht="15.75" customHeight="1">
      <c r="A2" s="584" t="str">
        <f>Inhoud!$A$2</f>
        <v>Nacalculatieformulier 2004</v>
      </c>
      <c r="B2" s="597"/>
      <c r="C2" s="599"/>
      <c r="D2" s="599"/>
      <c r="E2" s="600" t="b">
        <f>Voorblad!D30</f>
        <v>1</v>
      </c>
      <c r="F2" s="600"/>
      <c r="G2" s="596">
        <f>'Rentecalc.'!G2+1</f>
        <v>15</v>
      </c>
      <c r="J2" s="503"/>
    </row>
    <row r="3" spans="1:7" ht="12.75" customHeight="1">
      <c r="A3" s="619"/>
      <c r="B3" s="571"/>
      <c r="C3" s="42"/>
      <c r="D3" s="42"/>
      <c r="E3" s="42"/>
      <c r="F3" s="42"/>
      <c r="G3" s="571"/>
    </row>
    <row r="4" spans="1:7" ht="12.75" customHeight="1">
      <c r="A4" s="14" t="s">
        <v>177</v>
      </c>
      <c r="B4" s="571"/>
      <c r="C4" s="42"/>
      <c r="D4" s="42"/>
      <c r="E4" s="42"/>
      <c r="F4" s="42"/>
      <c r="G4" s="571"/>
    </row>
    <row r="5" spans="1:10" ht="12.75" customHeight="1">
      <c r="A5" s="592"/>
      <c r="B5" s="641"/>
      <c r="C5" s="613" t="s">
        <v>444</v>
      </c>
      <c r="D5" s="1069" t="s">
        <v>407</v>
      </c>
      <c r="E5" s="613" t="s">
        <v>406</v>
      </c>
      <c r="F5" s="1307" t="s">
        <v>372</v>
      </c>
      <c r="G5" s="1308"/>
      <c r="H5" s="502"/>
      <c r="I5" s="502"/>
      <c r="J5" s="502"/>
    </row>
    <row r="6" spans="1:7" s="502" customFormat="1" ht="12.75" customHeight="1">
      <c r="A6" s="592"/>
      <c r="B6" s="641"/>
      <c r="C6" s="618"/>
      <c r="D6" s="618"/>
      <c r="E6" s="618"/>
      <c r="F6" s="642" t="s">
        <v>398</v>
      </c>
      <c r="G6" s="617" t="s">
        <v>393</v>
      </c>
    </row>
    <row r="7" spans="1:10" s="502" customFormat="1" ht="12" customHeight="1">
      <c r="A7" s="640"/>
      <c r="B7" s="643"/>
      <c r="C7" s="29"/>
      <c r="D7" s="29"/>
      <c r="E7" s="30"/>
      <c r="F7" s="644"/>
      <c r="G7" s="30"/>
      <c r="H7" s="455"/>
      <c r="I7" s="455"/>
      <c r="J7" s="455"/>
    </row>
    <row r="8" spans="1:10" s="455" customFormat="1" ht="12" customHeight="1">
      <c r="A8" s="14" t="s">
        <v>449</v>
      </c>
      <c r="B8" s="622" t="s">
        <v>36</v>
      </c>
      <c r="C8" s="645"/>
      <c r="D8" s="632"/>
      <c r="E8" s="95"/>
      <c r="F8" s="587"/>
      <c r="G8" s="632"/>
      <c r="I8" s="457"/>
      <c r="J8" s="457"/>
    </row>
    <row r="9" spans="1:10" ht="12" customHeight="1">
      <c r="A9" s="733">
        <f>(100*G2)+1</f>
        <v>1501</v>
      </c>
      <c r="B9" s="620" t="str">
        <f>CONCATENATE("Stand per 31-12-",Voorblad!D3-1)</f>
        <v>Stand per 31-12-2003</v>
      </c>
      <c r="C9" s="490"/>
      <c r="D9" s="493"/>
      <c r="E9" s="492">
        <f>C9-D9</f>
        <v>0</v>
      </c>
      <c r="F9" s="841">
        <v>1</v>
      </c>
      <c r="G9" s="482">
        <f>E9*F9</f>
        <v>0</v>
      </c>
      <c r="J9" s="457"/>
    </row>
    <row r="10" spans="1:10" ht="12" customHeight="1">
      <c r="A10" s="733">
        <f aca="true" t="shared" si="0" ref="A10:A25">A9+1</f>
        <v>1502</v>
      </c>
      <c r="B10" s="620" t="str">
        <f>CONCATENATE("Geheel afgeschreven in ",Voorblad!D3)</f>
        <v>Geheel afgeschreven in 2004</v>
      </c>
      <c r="C10" s="491"/>
      <c r="D10" s="490"/>
      <c r="E10" s="492">
        <f aca="true" t="shared" si="1" ref="E10:E22">C10-D10</f>
        <v>0</v>
      </c>
      <c r="F10" s="837"/>
      <c r="G10" s="482"/>
      <c r="J10" s="457"/>
    </row>
    <row r="11" spans="1:10" ht="12" customHeight="1">
      <c r="A11" s="733">
        <f t="shared" si="0"/>
        <v>1503</v>
      </c>
      <c r="B11" s="620" t="s">
        <v>183</v>
      </c>
      <c r="C11" s="490"/>
      <c r="D11" s="493"/>
      <c r="E11" s="492">
        <f t="shared" si="1"/>
        <v>0</v>
      </c>
      <c r="F11" s="841">
        <v>0.9583</v>
      </c>
      <c r="G11" s="482">
        <f aca="true" t="shared" si="2" ref="G11:G21">E11*F11</f>
        <v>0</v>
      </c>
      <c r="J11" s="457"/>
    </row>
    <row r="12" spans="1:10" ht="12" customHeight="1">
      <c r="A12" s="733">
        <f t="shared" si="0"/>
        <v>1504</v>
      </c>
      <c r="B12" s="620" t="s">
        <v>184</v>
      </c>
      <c r="C12" s="490"/>
      <c r="D12" s="493"/>
      <c r="E12" s="492">
        <f t="shared" si="1"/>
        <v>0</v>
      </c>
      <c r="F12" s="841">
        <v>0.875</v>
      </c>
      <c r="G12" s="482">
        <f t="shared" si="2"/>
        <v>0</v>
      </c>
      <c r="J12" s="457"/>
    </row>
    <row r="13" spans="1:10" ht="12" customHeight="1">
      <c r="A13" s="733">
        <f t="shared" si="0"/>
        <v>1505</v>
      </c>
      <c r="B13" s="620" t="s">
        <v>185</v>
      </c>
      <c r="C13" s="490"/>
      <c r="D13" s="493"/>
      <c r="E13" s="492">
        <f t="shared" si="1"/>
        <v>0</v>
      </c>
      <c r="F13" s="841">
        <v>0.7917</v>
      </c>
      <c r="G13" s="482">
        <f>E13*F13</f>
        <v>0</v>
      </c>
      <c r="J13" s="457"/>
    </row>
    <row r="14" spans="1:10" ht="12" customHeight="1">
      <c r="A14" s="733">
        <f t="shared" si="0"/>
        <v>1506</v>
      </c>
      <c r="B14" s="620" t="s">
        <v>186</v>
      </c>
      <c r="C14" s="490"/>
      <c r="D14" s="493"/>
      <c r="E14" s="492">
        <f t="shared" si="1"/>
        <v>0</v>
      </c>
      <c r="F14" s="841">
        <v>0.7083</v>
      </c>
      <c r="G14" s="482">
        <f t="shared" si="2"/>
        <v>0</v>
      </c>
      <c r="J14" s="457"/>
    </row>
    <row r="15" spans="1:10" ht="12" customHeight="1">
      <c r="A15" s="733">
        <f t="shared" si="0"/>
        <v>1507</v>
      </c>
      <c r="B15" s="620" t="s">
        <v>187</v>
      </c>
      <c r="C15" s="490"/>
      <c r="D15" s="493"/>
      <c r="E15" s="492">
        <f t="shared" si="1"/>
        <v>0</v>
      </c>
      <c r="F15" s="841">
        <v>0.625</v>
      </c>
      <c r="G15" s="482">
        <f t="shared" si="2"/>
        <v>0</v>
      </c>
      <c r="J15" s="457"/>
    </row>
    <row r="16" spans="1:10" ht="12" customHeight="1">
      <c r="A16" s="733">
        <f t="shared" si="0"/>
        <v>1508</v>
      </c>
      <c r="B16" s="620" t="s">
        <v>188</v>
      </c>
      <c r="C16" s="490"/>
      <c r="D16" s="493"/>
      <c r="E16" s="492">
        <f>C16-D16</f>
        <v>0</v>
      </c>
      <c r="F16" s="841">
        <v>0.5417</v>
      </c>
      <c r="G16" s="482">
        <f t="shared" si="2"/>
        <v>0</v>
      </c>
      <c r="J16" s="457"/>
    </row>
    <row r="17" spans="1:10" ht="12" customHeight="1">
      <c r="A17" s="733">
        <f t="shared" si="0"/>
        <v>1509</v>
      </c>
      <c r="B17" s="620" t="s">
        <v>189</v>
      </c>
      <c r="C17" s="490"/>
      <c r="D17" s="493"/>
      <c r="E17" s="492">
        <f t="shared" si="1"/>
        <v>0</v>
      </c>
      <c r="F17" s="841">
        <v>0.4583</v>
      </c>
      <c r="G17" s="482">
        <f t="shared" si="2"/>
        <v>0</v>
      </c>
      <c r="J17" s="457"/>
    </row>
    <row r="18" spans="1:10" ht="12" customHeight="1">
      <c r="A18" s="733">
        <f t="shared" si="0"/>
        <v>1510</v>
      </c>
      <c r="B18" s="620" t="s">
        <v>190</v>
      </c>
      <c r="C18" s="490"/>
      <c r="D18" s="493"/>
      <c r="E18" s="492">
        <f t="shared" si="1"/>
        <v>0</v>
      </c>
      <c r="F18" s="841">
        <v>0.375</v>
      </c>
      <c r="G18" s="482">
        <f t="shared" si="2"/>
        <v>0</v>
      </c>
      <c r="J18" s="457"/>
    </row>
    <row r="19" spans="1:10" ht="12" customHeight="1">
      <c r="A19" s="733">
        <f t="shared" si="0"/>
        <v>1511</v>
      </c>
      <c r="B19" s="620" t="s">
        <v>191</v>
      </c>
      <c r="C19" s="490"/>
      <c r="D19" s="493"/>
      <c r="E19" s="492">
        <f t="shared" si="1"/>
        <v>0</v>
      </c>
      <c r="F19" s="841">
        <v>0.2917</v>
      </c>
      <c r="G19" s="482">
        <f t="shared" si="2"/>
        <v>0</v>
      </c>
      <c r="J19" s="457"/>
    </row>
    <row r="20" spans="1:10" ht="12" customHeight="1">
      <c r="A20" s="733">
        <f t="shared" si="0"/>
        <v>1512</v>
      </c>
      <c r="B20" s="620" t="s">
        <v>192</v>
      </c>
      <c r="C20" s="490"/>
      <c r="D20" s="493"/>
      <c r="E20" s="492">
        <f t="shared" si="1"/>
        <v>0</v>
      </c>
      <c r="F20" s="841">
        <v>0.2083</v>
      </c>
      <c r="G20" s="482">
        <f t="shared" si="2"/>
        <v>0</v>
      </c>
      <c r="J20" s="457"/>
    </row>
    <row r="21" spans="1:10" ht="12" customHeight="1">
      <c r="A21" s="733">
        <f t="shared" si="0"/>
        <v>1513</v>
      </c>
      <c r="B21" s="620" t="s">
        <v>193</v>
      </c>
      <c r="C21" s="490"/>
      <c r="D21" s="493"/>
      <c r="E21" s="492">
        <f t="shared" si="1"/>
        <v>0</v>
      </c>
      <c r="F21" s="841">
        <v>0.125</v>
      </c>
      <c r="G21" s="482">
        <f t="shared" si="2"/>
        <v>0</v>
      </c>
      <c r="J21" s="457"/>
    </row>
    <row r="22" spans="1:10" ht="12" customHeight="1">
      <c r="A22" s="733">
        <f t="shared" si="0"/>
        <v>1514</v>
      </c>
      <c r="B22" s="646" t="s">
        <v>194</v>
      </c>
      <c r="C22" s="741"/>
      <c r="D22" s="493"/>
      <c r="E22" s="842">
        <f t="shared" si="1"/>
        <v>0</v>
      </c>
      <c r="F22" s="843">
        <v>0.0417</v>
      </c>
      <c r="G22" s="755">
        <f>E22*F22</f>
        <v>0</v>
      </c>
      <c r="J22" s="457"/>
    </row>
    <row r="23" spans="1:7" ht="12" customHeight="1">
      <c r="A23" s="733">
        <f t="shared" si="0"/>
        <v>1515</v>
      </c>
      <c r="B23" s="748" t="str">
        <f>CONCATENATE("Stand per 31-12-",Voorblad!$D$3," (",A9," t/m ",A22,")")</f>
        <v>Stand per 31-12-2004 (1501 t/m 1514)</v>
      </c>
      <c r="C23" s="757">
        <f>C9-C10+SUM(C11:C22)</f>
        <v>0</v>
      </c>
      <c r="D23" s="827">
        <f>D9-D10+SUM(D11:D22)</f>
        <v>0</v>
      </c>
      <c r="E23" s="771">
        <f>SUM(E9:E22)</f>
        <v>0</v>
      </c>
      <c r="F23" s="772"/>
      <c r="G23" s="735">
        <f>SUM(G9:G22)</f>
        <v>0</v>
      </c>
    </row>
    <row r="24" spans="1:10" ht="12" customHeight="1">
      <c r="A24" s="733">
        <f t="shared" si="0"/>
        <v>1516</v>
      </c>
      <c r="B24" s="775" t="s">
        <v>475</v>
      </c>
      <c r="C24" s="1005"/>
      <c r="D24" s="967">
        <f>Afschrijvingen!G19+D9-D10</f>
        <v>0</v>
      </c>
      <c r="E24" s="467"/>
      <c r="F24" s="467"/>
      <c r="G24" s="467"/>
      <c r="H24" s="476"/>
      <c r="I24" s="467"/>
      <c r="J24" s="457"/>
    </row>
    <row r="25" spans="1:9" s="467" customFormat="1" ht="12" customHeight="1">
      <c r="A25" s="733">
        <f t="shared" si="0"/>
        <v>1517</v>
      </c>
      <c r="B25" s="748" t="s">
        <v>109</v>
      </c>
      <c r="C25" s="1006"/>
      <c r="D25" s="1020">
        <f>D23-D24</f>
        <v>0</v>
      </c>
      <c r="E25" s="459"/>
      <c r="F25" s="457"/>
      <c r="G25" s="457"/>
      <c r="H25" s="457"/>
      <c r="I25" s="455"/>
    </row>
    <row r="26" spans="1:7" ht="12" customHeight="1">
      <c r="A26" s="571"/>
      <c r="F26" s="562"/>
      <c r="G26" s="1003"/>
    </row>
    <row r="27" spans="1:7" ht="12">
      <c r="A27" s="592"/>
      <c r="B27" s="641"/>
      <c r="C27" s="613" t="s">
        <v>197</v>
      </c>
      <c r="D27" s="654" t="s">
        <v>401</v>
      </c>
      <c r="E27" s="1310" t="s">
        <v>375</v>
      </c>
      <c r="F27" s="1311"/>
      <c r="G27" s="1312"/>
    </row>
    <row r="28" spans="1:7" ht="12">
      <c r="A28" s="592"/>
      <c r="B28" s="641"/>
      <c r="C28" s="626" t="s">
        <v>210</v>
      </c>
      <c r="D28" s="1004" t="s">
        <v>404</v>
      </c>
      <c r="E28" s="1313"/>
      <c r="F28" s="1314"/>
      <c r="G28" s="1315"/>
    </row>
    <row r="29" spans="1:7" ht="12">
      <c r="A29" s="592"/>
      <c r="B29" s="641"/>
      <c r="C29" s="618" t="s">
        <v>405</v>
      </c>
      <c r="D29" s="956" t="s">
        <v>409</v>
      </c>
      <c r="E29" s="642" t="s">
        <v>195</v>
      </c>
      <c r="F29" s="642" t="s">
        <v>196</v>
      </c>
      <c r="G29" s="1055" t="s">
        <v>393</v>
      </c>
    </row>
    <row r="30" spans="1:7" ht="12">
      <c r="A30" s="640"/>
      <c r="B30" s="643"/>
      <c r="C30" s="29"/>
      <c r="D30" s="29"/>
      <c r="E30" s="30"/>
      <c r="F30" s="644"/>
      <c r="G30" s="30"/>
    </row>
    <row r="31" spans="1:7" ht="12">
      <c r="A31" s="14" t="s">
        <v>450</v>
      </c>
      <c r="B31" s="643" t="s">
        <v>171</v>
      </c>
      <c r="C31" s="645"/>
      <c r="D31" s="632"/>
      <c r="E31" s="632"/>
      <c r="F31" s="587"/>
      <c r="G31" s="632"/>
    </row>
    <row r="32" spans="1:7" ht="12.75">
      <c r="A32" s="733">
        <f>A25+1</f>
        <v>1518</v>
      </c>
      <c r="B32" s="620" t="str">
        <f>CONCATENATE("Stand per 31-12-",Voorblad!D3-1)</f>
        <v>Stand per 31-12-2003</v>
      </c>
      <c r="C32" s="490"/>
      <c r="D32"/>
      <c r="E32" s="844">
        <v>1</v>
      </c>
      <c r="F32" s="838"/>
      <c r="G32" s="482">
        <f>C32*E32</f>
        <v>0</v>
      </c>
    </row>
    <row r="33" spans="1:7" ht="12">
      <c r="A33" s="733">
        <f>A32+1</f>
        <v>1519</v>
      </c>
      <c r="B33" s="620" t="s">
        <v>198</v>
      </c>
      <c r="C33" s="490"/>
      <c r="D33" s="493"/>
      <c r="E33" s="844">
        <f>10.5/12</f>
        <v>0.875</v>
      </c>
      <c r="F33" s="844">
        <v>0.9583</v>
      </c>
      <c r="G33" s="482">
        <f>C33*E33-D33*F33</f>
        <v>0</v>
      </c>
    </row>
    <row r="34" spans="1:7" ht="12">
      <c r="A34" s="733">
        <f aca="true" t="shared" si="3" ref="A34:A45">A33+1</f>
        <v>1520</v>
      </c>
      <c r="B34" s="620" t="s">
        <v>199</v>
      </c>
      <c r="C34" s="490"/>
      <c r="D34" s="493"/>
      <c r="E34" s="844">
        <f>9.5/12</f>
        <v>0.7916666666666666</v>
      </c>
      <c r="F34" s="844">
        <v>0.875</v>
      </c>
      <c r="G34" s="482">
        <f aca="true" t="shared" si="4" ref="G34:G44">C34*E34-D34*F34</f>
        <v>0</v>
      </c>
    </row>
    <row r="35" spans="1:7" ht="12">
      <c r="A35" s="733">
        <f t="shared" si="3"/>
        <v>1521</v>
      </c>
      <c r="B35" s="620" t="s">
        <v>200</v>
      </c>
      <c r="C35" s="490"/>
      <c r="D35" s="493"/>
      <c r="E35" s="844">
        <f>8.5/12</f>
        <v>0.7083333333333334</v>
      </c>
      <c r="F35" s="844">
        <v>0.7917</v>
      </c>
      <c r="G35" s="482">
        <f t="shared" si="4"/>
        <v>0</v>
      </c>
    </row>
    <row r="36" spans="1:7" ht="12">
      <c r="A36" s="733">
        <f t="shared" si="3"/>
        <v>1522</v>
      </c>
      <c r="B36" s="620" t="s">
        <v>201</v>
      </c>
      <c r="C36" s="490"/>
      <c r="D36" s="493"/>
      <c r="E36" s="844">
        <f>7.5/12</f>
        <v>0.625</v>
      </c>
      <c r="F36" s="844">
        <v>0.7083</v>
      </c>
      <c r="G36" s="482">
        <f t="shared" si="4"/>
        <v>0</v>
      </c>
    </row>
    <row r="37" spans="1:7" ht="12">
      <c r="A37" s="733">
        <f t="shared" si="3"/>
        <v>1523</v>
      </c>
      <c r="B37" s="620" t="s">
        <v>202</v>
      </c>
      <c r="C37" s="490"/>
      <c r="D37" s="493"/>
      <c r="E37" s="844">
        <f>6.5/12</f>
        <v>0.5416666666666666</v>
      </c>
      <c r="F37" s="844">
        <v>0.625</v>
      </c>
      <c r="G37" s="482">
        <f t="shared" si="4"/>
        <v>0</v>
      </c>
    </row>
    <row r="38" spans="1:7" ht="12">
      <c r="A38" s="733">
        <f t="shared" si="3"/>
        <v>1524</v>
      </c>
      <c r="B38" s="620" t="s">
        <v>203</v>
      </c>
      <c r="C38" s="490"/>
      <c r="D38" s="493"/>
      <c r="E38" s="844">
        <f>5.5/12</f>
        <v>0.4583333333333333</v>
      </c>
      <c r="F38" s="844">
        <v>0.5417</v>
      </c>
      <c r="G38" s="482">
        <f t="shared" si="4"/>
        <v>0</v>
      </c>
    </row>
    <row r="39" spans="1:7" ht="12">
      <c r="A39" s="733">
        <f t="shared" si="3"/>
        <v>1525</v>
      </c>
      <c r="B39" s="620" t="s">
        <v>204</v>
      </c>
      <c r="C39" s="490"/>
      <c r="D39" s="493"/>
      <c r="E39" s="844">
        <f>4.5/12</f>
        <v>0.375</v>
      </c>
      <c r="F39" s="844">
        <v>0.4583</v>
      </c>
      <c r="G39" s="482">
        <f t="shared" si="4"/>
        <v>0</v>
      </c>
    </row>
    <row r="40" spans="1:7" ht="12">
      <c r="A40" s="733">
        <f t="shared" si="3"/>
        <v>1526</v>
      </c>
      <c r="B40" s="620" t="s">
        <v>205</v>
      </c>
      <c r="C40" s="490"/>
      <c r="D40" s="493"/>
      <c r="E40" s="844">
        <f>3.5/12</f>
        <v>0.2916666666666667</v>
      </c>
      <c r="F40" s="844">
        <v>0.375</v>
      </c>
      <c r="G40" s="482">
        <f t="shared" si="4"/>
        <v>0</v>
      </c>
    </row>
    <row r="41" spans="1:7" ht="12">
      <c r="A41" s="733">
        <f t="shared" si="3"/>
        <v>1527</v>
      </c>
      <c r="B41" s="620" t="s">
        <v>206</v>
      </c>
      <c r="C41" s="490"/>
      <c r="D41" s="493"/>
      <c r="E41" s="844">
        <f>2.5/12</f>
        <v>0.20833333333333334</v>
      </c>
      <c r="F41" s="844">
        <v>0.2917</v>
      </c>
      <c r="G41" s="482">
        <f t="shared" si="4"/>
        <v>0</v>
      </c>
    </row>
    <row r="42" spans="1:7" ht="12">
      <c r="A42" s="733">
        <f t="shared" si="3"/>
        <v>1528</v>
      </c>
      <c r="B42" s="620" t="s">
        <v>207</v>
      </c>
      <c r="C42" s="490"/>
      <c r="D42" s="493"/>
      <c r="E42" s="844">
        <f>1.5/12</f>
        <v>0.125</v>
      </c>
      <c r="F42" s="844">
        <v>0.2083</v>
      </c>
      <c r="G42" s="482">
        <f t="shared" si="4"/>
        <v>0</v>
      </c>
    </row>
    <row r="43" spans="1:7" ht="12">
      <c r="A43" s="733">
        <f t="shared" si="3"/>
        <v>1529</v>
      </c>
      <c r="B43" s="620" t="s">
        <v>208</v>
      </c>
      <c r="C43" s="490"/>
      <c r="D43" s="493"/>
      <c r="E43" s="844">
        <f>0.5/12</f>
        <v>0.041666666666666664</v>
      </c>
      <c r="F43" s="844">
        <v>0.125</v>
      </c>
      <c r="G43" s="482">
        <f t="shared" si="4"/>
        <v>0</v>
      </c>
    </row>
    <row r="44" spans="1:7" ht="12">
      <c r="A44" s="733">
        <f t="shared" si="3"/>
        <v>1530</v>
      </c>
      <c r="B44" s="620" t="s">
        <v>209</v>
      </c>
      <c r="C44" s="490"/>
      <c r="D44" s="493"/>
      <c r="E44" s="845">
        <f>-0.5/12</f>
        <v>-0.041666666666666664</v>
      </c>
      <c r="F44" s="844">
        <v>0.0417</v>
      </c>
      <c r="G44" s="482">
        <f t="shared" si="4"/>
        <v>0</v>
      </c>
    </row>
    <row r="45" spans="1:7" ht="12.75">
      <c r="A45" s="733">
        <f t="shared" si="3"/>
        <v>1531</v>
      </c>
      <c r="B45" s="748" t="str">
        <f>CONCATENATE("Stand per 31-12-",Voorblad!$D$3," (",A32," t/m ",A44,")")</f>
        <v>Stand per 31-12-2004 (1518 t/m 1530)</v>
      </c>
      <c r="C45" s="743">
        <f>SUM(C32:C44)</f>
        <v>0</v>
      </c>
      <c r="D45" s="827">
        <f>SUM(D33:D44)</f>
        <v>0</v>
      </c>
      <c r="E45"/>
      <c r="F45"/>
      <c r="G45" s="743">
        <f>SUM(G32:G44)</f>
        <v>0</v>
      </c>
    </row>
    <row r="46" spans="1:5" ht="12.75">
      <c r="A46" s="733">
        <f>A45+1</f>
        <v>1532</v>
      </c>
      <c r="B46" s="748" t="str">
        <f>CONCATENATE("Saldo per 31-12-",Voorblad!$D$3,)</f>
        <v>Saldo per 31-12-2004</v>
      </c>
      <c r="C46" s="743">
        <f>C45-D45</f>
        <v>0</v>
      </c>
      <c r="D46"/>
      <c r="E46" s="468"/>
    </row>
    <row r="47" spans="1:5" ht="12">
      <c r="A47" s="480"/>
      <c r="B47" s="455"/>
      <c r="C47" s="468"/>
      <c r="D47" s="468"/>
      <c r="E47" s="468"/>
    </row>
    <row r="48" spans="1:7" ht="12">
      <c r="A48" s="584" t="str">
        <f>Inhoud!$A$2</f>
        <v>Nacalculatieformulier 2004</v>
      </c>
      <c r="B48" s="597"/>
      <c r="C48" s="599"/>
      <c r="D48" s="599"/>
      <c r="E48" s="600" t="b">
        <f>Voorblad!D30</f>
        <v>1</v>
      </c>
      <c r="F48" s="600">
        <f>Voorblad!I30</f>
        <v>0</v>
      </c>
      <c r="G48" s="596">
        <f>G2+1</f>
        <v>16</v>
      </c>
    </row>
    <row r="49" spans="1:7" ht="12.75">
      <c r="A49" s="619"/>
      <c r="B49" s="632"/>
      <c r="C49" s="632"/>
      <c r="D49" s="632"/>
      <c r="E49"/>
      <c r="F49" s="587"/>
      <c r="G49" s="632"/>
    </row>
    <row r="50" spans="1:7" ht="12">
      <c r="A50" s="592"/>
      <c r="B50" s="641"/>
      <c r="C50" s="613" t="s">
        <v>444</v>
      </c>
      <c r="D50" s="613" t="s">
        <v>445</v>
      </c>
      <c r="E50" s="1056" t="s">
        <v>406</v>
      </c>
      <c r="F50" s="1309" t="s">
        <v>372</v>
      </c>
      <c r="G50" s="1308"/>
    </row>
    <row r="51" spans="1:7" ht="12">
      <c r="A51" s="592"/>
      <c r="B51" s="641"/>
      <c r="C51" s="618"/>
      <c r="D51" s="647"/>
      <c r="E51" s="618"/>
      <c r="F51" s="648" t="s">
        <v>398</v>
      </c>
      <c r="G51" s="1055" t="s">
        <v>393</v>
      </c>
    </row>
    <row r="52" spans="1:7" ht="12">
      <c r="A52" s="640"/>
      <c r="B52" s="614"/>
      <c r="C52" s="42"/>
      <c r="D52" s="42"/>
      <c r="E52" s="42"/>
      <c r="F52" s="42"/>
      <c r="G52" s="571"/>
    </row>
    <row r="53" spans="1:7" ht="12">
      <c r="A53" s="14" t="s">
        <v>11</v>
      </c>
      <c r="B53" s="622" t="s">
        <v>172</v>
      </c>
      <c r="C53" s="645"/>
      <c r="D53" s="632"/>
      <c r="E53" s="632"/>
      <c r="F53" s="587"/>
      <c r="G53" s="632"/>
    </row>
    <row r="54" spans="1:7" ht="13.5" customHeight="1">
      <c r="A54" s="733">
        <f>G48*100+1</f>
        <v>1601</v>
      </c>
      <c r="B54" s="620" t="str">
        <f>CONCATENATE("Geactiveerd per 31-12-",Voorblad!D3-1)</f>
        <v>Geactiveerd per 31-12-2003</v>
      </c>
      <c r="C54" s="490"/>
      <c r="D54" s="491"/>
      <c r="E54" s="495">
        <f>C54-D54</f>
        <v>0</v>
      </c>
      <c r="F54" s="649">
        <v>1</v>
      </c>
      <c r="G54" s="482">
        <f>E54*F54</f>
        <v>0</v>
      </c>
    </row>
    <row r="55" spans="1:7" ht="12">
      <c r="A55" s="733">
        <f aca="true" t="shared" si="5" ref="A55:A71">A54+1</f>
        <v>1602</v>
      </c>
      <c r="B55" s="620" t="str">
        <f>CONCATENATE("Geheel afgeschreven in ",Voorblad!D3-1)</f>
        <v>Geheel afgeschreven in 2003</v>
      </c>
      <c r="C55" s="491"/>
      <c r="D55" s="490"/>
      <c r="E55" s="492">
        <f>C55-D55</f>
        <v>0</v>
      </c>
      <c r="F55" s="649"/>
      <c r="G55" s="482"/>
    </row>
    <row r="56" spans="1:7" ht="12.75">
      <c r="A56" s="733">
        <f t="shared" si="5"/>
        <v>1603</v>
      </c>
      <c r="B56" s="620" t="str">
        <f>CONCATENATE("Onderhanden werk per  31-12-",Voorblad!D3-1)</f>
        <v>Onderhanden werk per  31-12-2003</v>
      </c>
      <c r="C56" s="490"/>
      <c r="D56"/>
      <c r="E56" s="495">
        <f>C56</f>
        <v>0</v>
      </c>
      <c r="F56" s="649">
        <v>1</v>
      </c>
      <c r="G56" s="482">
        <f>E56*F56</f>
        <v>0</v>
      </c>
    </row>
    <row r="57" spans="1:7" ht="12" customHeight="1">
      <c r="A57" s="733">
        <f t="shared" si="5"/>
        <v>1604</v>
      </c>
      <c r="B57" s="620" t="s">
        <v>286</v>
      </c>
      <c r="C57" s="490"/>
      <c r="D57"/>
      <c r="E57" s="495">
        <f aca="true" t="shared" si="6" ref="E57:E68">C57</f>
        <v>0</v>
      </c>
      <c r="F57" s="844">
        <f>10.5/12</f>
        <v>0.875</v>
      </c>
      <c r="G57" s="482">
        <f aca="true" t="shared" si="7" ref="G57:G67">E57*F57</f>
        <v>0</v>
      </c>
    </row>
    <row r="58" spans="1:7" ht="12" customHeight="1">
      <c r="A58" s="733">
        <f t="shared" si="5"/>
        <v>1605</v>
      </c>
      <c r="B58" s="620" t="s">
        <v>287</v>
      </c>
      <c r="C58" s="490"/>
      <c r="D58"/>
      <c r="E58" s="495">
        <f t="shared" si="6"/>
        <v>0</v>
      </c>
      <c r="F58" s="844">
        <f>9.5/12</f>
        <v>0.7916666666666666</v>
      </c>
      <c r="G58" s="482">
        <f t="shared" si="7"/>
        <v>0</v>
      </c>
    </row>
    <row r="59" spans="1:7" ht="12" customHeight="1">
      <c r="A59" s="733">
        <f t="shared" si="5"/>
        <v>1606</v>
      </c>
      <c r="B59" s="620" t="s">
        <v>288</v>
      </c>
      <c r="C59" s="490"/>
      <c r="D59"/>
      <c r="E59" s="495">
        <f t="shared" si="6"/>
        <v>0</v>
      </c>
      <c r="F59" s="844">
        <f>8.5/12</f>
        <v>0.7083333333333334</v>
      </c>
      <c r="G59" s="482">
        <f t="shared" si="7"/>
        <v>0</v>
      </c>
    </row>
    <row r="60" spans="1:7" ht="12" customHeight="1">
      <c r="A60" s="733">
        <f t="shared" si="5"/>
        <v>1607</v>
      </c>
      <c r="B60" s="620" t="s">
        <v>293</v>
      </c>
      <c r="C60" s="490"/>
      <c r="D60"/>
      <c r="E60" s="495">
        <f t="shared" si="6"/>
        <v>0</v>
      </c>
      <c r="F60" s="844">
        <f>7.5/12</f>
        <v>0.625</v>
      </c>
      <c r="G60" s="482">
        <f>E60*F60</f>
        <v>0</v>
      </c>
    </row>
    <row r="61" spans="1:7" ht="12" customHeight="1">
      <c r="A61" s="733">
        <f t="shared" si="5"/>
        <v>1608</v>
      </c>
      <c r="B61" s="620" t="s">
        <v>294</v>
      </c>
      <c r="C61" s="490"/>
      <c r="D61"/>
      <c r="E61" s="495">
        <f t="shared" si="6"/>
        <v>0</v>
      </c>
      <c r="F61" s="844">
        <f>6.5/12</f>
        <v>0.5416666666666666</v>
      </c>
      <c r="G61" s="482">
        <f t="shared" si="7"/>
        <v>0</v>
      </c>
    </row>
    <row r="62" spans="1:7" ht="12" customHeight="1">
      <c r="A62" s="733">
        <f t="shared" si="5"/>
        <v>1609</v>
      </c>
      <c r="B62" s="620" t="s">
        <v>295</v>
      </c>
      <c r="C62" s="490"/>
      <c r="D62"/>
      <c r="E62" s="495">
        <f t="shared" si="6"/>
        <v>0</v>
      </c>
      <c r="F62" s="844">
        <f>5.5/12</f>
        <v>0.4583333333333333</v>
      </c>
      <c r="G62" s="482">
        <f t="shared" si="7"/>
        <v>0</v>
      </c>
    </row>
    <row r="63" spans="1:7" ht="12" customHeight="1">
      <c r="A63" s="733">
        <f t="shared" si="5"/>
        <v>1610</v>
      </c>
      <c r="B63" s="620" t="s">
        <v>296</v>
      </c>
      <c r="C63" s="490"/>
      <c r="D63"/>
      <c r="E63" s="495">
        <f t="shared" si="6"/>
        <v>0</v>
      </c>
      <c r="F63" s="844">
        <f>4.5/12</f>
        <v>0.375</v>
      </c>
      <c r="G63" s="482">
        <f t="shared" si="7"/>
        <v>0</v>
      </c>
    </row>
    <row r="64" spans="1:7" ht="12" customHeight="1">
      <c r="A64" s="733">
        <f t="shared" si="5"/>
        <v>1611</v>
      </c>
      <c r="B64" s="620" t="s">
        <v>297</v>
      </c>
      <c r="C64" s="490"/>
      <c r="D64"/>
      <c r="E64" s="495">
        <f t="shared" si="6"/>
        <v>0</v>
      </c>
      <c r="F64" s="844">
        <f>3.5/12</f>
        <v>0.2916666666666667</v>
      </c>
      <c r="G64" s="482">
        <f t="shared" si="7"/>
        <v>0</v>
      </c>
    </row>
    <row r="65" spans="1:7" ht="12" customHeight="1">
      <c r="A65" s="733">
        <f t="shared" si="5"/>
        <v>1612</v>
      </c>
      <c r="B65" s="620" t="s">
        <v>299</v>
      </c>
      <c r="C65" s="490"/>
      <c r="D65"/>
      <c r="E65" s="495">
        <f t="shared" si="6"/>
        <v>0</v>
      </c>
      <c r="F65" s="844">
        <f>2.5/12</f>
        <v>0.20833333333333334</v>
      </c>
      <c r="G65" s="482">
        <f t="shared" si="7"/>
        <v>0</v>
      </c>
    </row>
    <row r="66" spans="1:7" ht="12" customHeight="1">
      <c r="A66" s="733">
        <f t="shared" si="5"/>
        <v>1613</v>
      </c>
      <c r="B66" s="620" t="s">
        <v>300</v>
      </c>
      <c r="C66" s="490"/>
      <c r="D66"/>
      <c r="E66" s="495">
        <f t="shared" si="6"/>
        <v>0</v>
      </c>
      <c r="F66" s="844">
        <f>1.5/12</f>
        <v>0.125</v>
      </c>
      <c r="G66" s="482">
        <f t="shared" si="7"/>
        <v>0</v>
      </c>
    </row>
    <row r="67" spans="1:9" ht="12" customHeight="1">
      <c r="A67" s="733">
        <f t="shared" si="5"/>
        <v>1614</v>
      </c>
      <c r="B67" s="620" t="s">
        <v>301</v>
      </c>
      <c r="C67" s="490"/>
      <c r="D67"/>
      <c r="E67" s="495">
        <f t="shared" si="6"/>
        <v>0</v>
      </c>
      <c r="F67" s="844">
        <f>0.5/12</f>
        <v>0.041666666666666664</v>
      </c>
      <c r="G67" s="482">
        <f t="shared" si="7"/>
        <v>0</v>
      </c>
      <c r="I67" s="455"/>
    </row>
    <row r="68" spans="1:9" ht="12" customHeight="1">
      <c r="A68" s="733">
        <f t="shared" si="5"/>
        <v>1615</v>
      </c>
      <c r="B68" s="620" t="s">
        <v>302</v>
      </c>
      <c r="C68" s="490"/>
      <c r="D68"/>
      <c r="E68" s="495">
        <f t="shared" si="6"/>
        <v>0</v>
      </c>
      <c r="F68" s="845">
        <f>-0.5/12</f>
        <v>-0.041666666666666664</v>
      </c>
      <c r="G68" s="482">
        <f>E68*F68</f>
        <v>0</v>
      </c>
      <c r="I68" s="565"/>
    </row>
    <row r="69" spans="1:9" ht="12" customHeight="1">
      <c r="A69" s="733">
        <f t="shared" si="5"/>
        <v>1616</v>
      </c>
      <c r="B69" s="620" t="str">
        <f>CONCATENATE("Afschrijving ",Voorblad!D3)</f>
        <v>Afschrijving 2004</v>
      </c>
      <c r="C69"/>
      <c r="D69" s="491"/>
      <c r="E69" s="496">
        <f>D69</f>
        <v>0</v>
      </c>
      <c r="F69" s="649">
        <v>0.5</v>
      </c>
      <c r="G69" s="496">
        <f>E69*F69</f>
        <v>0</v>
      </c>
      <c r="I69" s="565"/>
    </row>
    <row r="70" spans="1:7" ht="12" customHeight="1">
      <c r="A70" s="733">
        <f t="shared" si="5"/>
        <v>1617</v>
      </c>
      <c r="B70" s="620" t="str">
        <f>CONCATENATE("Onderhanden werk per  31-12-",Voorblad!D3)</f>
        <v>Onderhanden werk per  31-12-2004</v>
      </c>
      <c r="C70" s="491">
        <v>0</v>
      </c>
      <c r="D70"/>
      <c r="E70" s="496">
        <f>C70</f>
        <v>0</v>
      </c>
      <c r="F70"/>
      <c r="G70"/>
    </row>
    <row r="71" spans="1:9" ht="12" customHeight="1">
      <c r="A71" s="733">
        <f t="shared" si="5"/>
        <v>1618</v>
      </c>
      <c r="B71" s="748" t="str">
        <f>CONCATENATE("Geactiveerd per 31-12-",Voorblad!D3," (",A54," t/m ",A70,")")</f>
        <v>Geactiveerd per 31-12-2004 (1601 t/m 1617)</v>
      </c>
      <c r="C71" s="743">
        <f>C54-C55+SUM(C56:C68)-C70</f>
        <v>0</v>
      </c>
      <c r="D71" s="746">
        <f>D54-D55+D69</f>
        <v>0</v>
      </c>
      <c r="E71" s="743">
        <f>E54+SUM(E56:E68)-E69-E70</f>
        <v>0</v>
      </c>
      <c r="F71"/>
      <c r="G71" s="743">
        <f>SUM(G54:G68)-G69</f>
        <v>0</v>
      </c>
      <c r="I71" s="459"/>
    </row>
    <row r="72" spans="1:5" ht="12" customHeight="1">
      <c r="A72" s="965"/>
      <c r="B72" s="1083"/>
      <c r="C72" s="1034"/>
      <c r="D72" s="1035"/>
      <c r="E72" s="1034"/>
    </row>
    <row r="73" spans="1:6" ht="12" customHeight="1">
      <c r="A73" s="965"/>
      <c r="B73" s="1036"/>
      <c r="C73" s="1037"/>
      <c r="D73" s="1035"/>
      <c r="E73" s="1037"/>
      <c r="F73" s="457"/>
    </row>
    <row r="74" spans="1:7" ht="12">
      <c r="A74" s="828"/>
      <c r="B74" s="680"/>
      <c r="C74" s="562"/>
      <c r="D74" s="562"/>
      <c r="E74" s="562"/>
      <c r="F74" s="562"/>
      <c r="G74" s="680"/>
    </row>
    <row r="75" spans="1:7" ht="12">
      <c r="A75" s="457"/>
      <c r="C75" s="457"/>
      <c r="D75" s="457"/>
      <c r="E75" s="457"/>
      <c r="F75" s="457"/>
      <c r="G75" s="680"/>
    </row>
    <row r="76" spans="1:12" ht="12">
      <c r="A76" s="653"/>
      <c r="B76" s="571"/>
      <c r="C76" s="654" t="s">
        <v>78</v>
      </c>
      <c r="D76" s="654" t="s">
        <v>263</v>
      </c>
      <c r="E76" s="654" t="s">
        <v>262</v>
      </c>
      <c r="F76" s="654" t="s">
        <v>373</v>
      </c>
      <c r="G76" s="654" t="s">
        <v>460</v>
      </c>
      <c r="I76" s="681"/>
      <c r="J76" s="567"/>
      <c r="K76" s="486"/>
      <c r="L76" s="455"/>
    </row>
    <row r="77" spans="1:12" ht="12" customHeight="1">
      <c r="A77" s="653"/>
      <c r="B77" s="571"/>
      <c r="C77" s="655" t="s">
        <v>113</v>
      </c>
      <c r="D77" s="655"/>
      <c r="E77" s="655" t="s">
        <v>461</v>
      </c>
      <c r="F77" s="655"/>
      <c r="G77" s="655" t="s">
        <v>114</v>
      </c>
      <c r="I77" s="681"/>
      <c r="J77" s="567"/>
      <c r="K77" s="486"/>
      <c r="L77" s="455"/>
    </row>
    <row r="78" spans="1:12" ht="12" customHeight="1">
      <c r="A78" s="14"/>
      <c r="B78" s="656"/>
      <c r="C78" s="29"/>
      <c r="D78" s="29"/>
      <c r="E78" s="29"/>
      <c r="F78" s="571"/>
      <c r="G78" s="161"/>
      <c r="I78" s="681"/>
      <c r="J78" s="567"/>
      <c r="K78" s="486"/>
      <c r="L78" s="455"/>
    </row>
    <row r="79" spans="1:12" ht="12" customHeight="1">
      <c r="A79" s="41" t="s">
        <v>267</v>
      </c>
      <c r="B79" s="47" t="s">
        <v>458</v>
      </c>
      <c r="C79" s="163"/>
      <c r="D79" s="163"/>
      <c r="E79" s="163"/>
      <c r="F79" s="42"/>
      <c r="G79" s="42"/>
      <c r="I79" s="681"/>
      <c r="J79" s="567"/>
      <c r="K79" s="486"/>
      <c r="L79" s="455"/>
    </row>
    <row r="80" spans="1:12" ht="12" customHeight="1">
      <c r="A80" s="733">
        <f>A71+1</f>
        <v>1619</v>
      </c>
      <c r="B80" s="189">
        <f>Voorblad!D$3</f>
        <v>2004</v>
      </c>
      <c r="C80" s="433"/>
      <c r="D80" s="1048">
        <f aca="true" t="shared" si="8" ref="D80:D88">D81+1</f>
        <v>2014</v>
      </c>
      <c r="E80" s="433"/>
      <c r="F80" s="1062">
        <v>9.5</v>
      </c>
      <c r="G80" s="482">
        <f>(C80+E80)*F80</f>
        <v>0</v>
      </c>
      <c r="I80" s="681"/>
      <c r="J80" s="567"/>
      <c r="K80" s="486"/>
      <c r="L80" s="455"/>
    </row>
    <row r="81" spans="1:12" ht="12" customHeight="1">
      <c r="A81" s="733">
        <f>A80+1</f>
        <v>1620</v>
      </c>
      <c r="B81" s="189">
        <f>Voorblad!D$3-1</f>
        <v>2003</v>
      </c>
      <c r="C81" s="433"/>
      <c r="D81" s="1048">
        <f t="shared" si="8"/>
        <v>2013</v>
      </c>
      <c r="E81" s="433"/>
      <c r="F81" s="1062">
        <v>8.5</v>
      </c>
      <c r="G81" s="482">
        <f aca="true" t="shared" si="9" ref="G81:G89">(C81+E81)*F81</f>
        <v>0</v>
      </c>
      <c r="I81" s="681"/>
      <c r="J81" s="567"/>
      <c r="K81" s="486"/>
      <c r="L81" s="455"/>
    </row>
    <row r="82" spans="1:12" ht="12" customHeight="1">
      <c r="A82" s="733">
        <f>A81+1</f>
        <v>1621</v>
      </c>
      <c r="B82" s="189">
        <f>Voorblad!D$3-2</f>
        <v>2002</v>
      </c>
      <c r="C82" s="433"/>
      <c r="D82" s="1048">
        <f t="shared" si="8"/>
        <v>2012</v>
      </c>
      <c r="E82" s="433"/>
      <c r="F82" s="1062">
        <v>7.5</v>
      </c>
      <c r="G82" s="482">
        <f t="shared" si="9"/>
        <v>0</v>
      </c>
      <c r="I82" s="681"/>
      <c r="J82" s="567"/>
      <c r="K82" s="486"/>
      <c r="L82" s="455"/>
    </row>
    <row r="83" spans="1:12" ht="12" customHeight="1">
      <c r="A83" s="733">
        <f>A82+1</f>
        <v>1622</v>
      </c>
      <c r="B83" s="189">
        <f>Voorblad!D$3-3</f>
        <v>2001</v>
      </c>
      <c r="C83" s="433"/>
      <c r="D83" s="1048">
        <f t="shared" si="8"/>
        <v>2011</v>
      </c>
      <c r="E83" s="433"/>
      <c r="F83" s="1062">
        <v>6.5</v>
      </c>
      <c r="G83" s="482">
        <f t="shared" si="9"/>
        <v>0</v>
      </c>
      <c r="I83" s="681"/>
      <c r="J83" s="567"/>
      <c r="K83" s="486"/>
      <c r="L83" s="455"/>
    </row>
    <row r="84" spans="1:12" ht="12" customHeight="1">
      <c r="A84" s="733">
        <f aca="true" t="shared" si="10" ref="A84:A90">A83+1</f>
        <v>1623</v>
      </c>
      <c r="B84" s="189">
        <f>Voorblad!D$3-4</f>
        <v>2000</v>
      </c>
      <c r="C84" s="433"/>
      <c r="D84" s="1048">
        <f t="shared" si="8"/>
        <v>2010</v>
      </c>
      <c r="E84" s="433"/>
      <c r="F84" s="1062">
        <v>5.5</v>
      </c>
      <c r="G84" s="482">
        <f t="shared" si="9"/>
        <v>0</v>
      </c>
      <c r="I84" s="680"/>
      <c r="J84" s="457"/>
      <c r="K84" s="455"/>
      <c r="L84" s="455"/>
    </row>
    <row r="85" spans="1:12" ht="12" customHeight="1">
      <c r="A85" s="733">
        <f t="shared" si="10"/>
        <v>1624</v>
      </c>
      <c r="B85" s="189">
        <f>Voorblad!D$3-5</f>
        <v>1999</v>
      </c>
      <c r="C85" s="433"/>
      <c r="D85" s="1048">
        <f t="shared" si="8"/>
        <v>2009</v>
      </c>
      <c r="E85" s="433"/>
      <c r="F85" s="1062">
        <v>4.5</v>
      </c>
      <c r="G85" s="482">
        <f t="shared" si="9"/>
        <v>0</v>
      </c>
      <c r="I85" s="680"/>
      <c r="J85" s="459"/>
      <c r="K85" s="468"/>
      <c r="L85" s="455"/>
    </row>
    <row r="86" spans="1:12" ht="12" customHeight="1">
      <c r="A86" s="733">
        <f t="shared" si="10"/>
        <v>1625</v>
      </c>
      <c r="B86" s="189">
        <f>Voorblad!D$3-6</f>
        <v>1998</v>
      </c>
      <c r="C86" s="433"/>
      <c r="D86" s="1048">
        <f t="shared" si="8"/>
        <v>2008</v>
      </c>
      <c r="E86" s="433"/>
      <c r="F86" s="1062">
        <v>3.5</v>
      </c>
      <c r="G86" s="482">
        <f t="shared" si="9"/>
        <v>0</v>
      </c>
      <c r="I86" s="680"/>
      <c r="J86" s="459"/>
      <c r="K86" s="468"/>
      <c r="L86" s="455"/>
    </row>
    <row r="87" spans="1:12" ht="12" customHeight="1">
      <c r="A87" s="733">
        <f t="shared" si="10"/>
        <v>1626</v>
      </c>
      <c r="B87" s="189">
        <f>Voorblad!D$3-7</f>
        <v>1997</v>
      </c>
      <c r="C87" s="433"/>
      <c r="D87" s="1048">
        <f t="shared" si="8"/>
        <v>2007</v>
      </c>
      <c r="E87" s="433"/>
      <c r="F87" s="1062">
        <v>2.5</v>
      </c>
      <c r="G87" s="482">
        <f t="shared" si="9"/>
        <v>0</v>
      </c>
      <c r="I87" s="680"/>
      <c r="J87" s="457"/>
      <c r="K87" s="455"/>
      <c r="L87" s="455"/>
    </row>
    <row r="88" spans="1:12" ht="12" customHeight="1">
      <c r="A88" s="733">
        <f t="shared" si="10"/>
        <v>1627</v>
      </c>
      <c r="B88" s="189">
        <f>Voorblad!D$3-8</f>
        <v>1996</v>
      </c>
      <c r="C88" s="433"/>
      <c r="D88" s="1048">
        <f t="shared" si="8"/>
        <v>2006</v>
      </c>
      <c r="E88" s="433"/>
      <c r="F88" s="1062">
        <v>1.5</v>
      </c>
      <c r="G88" s="482">
        <f t="shared" si="9"/>
        <v>0</v>
      </c>
      <c r="I88" s="680"/>
      <c r="J88" s="457"/>
      <c r="K88" s="455"/>
      <c r="L88" s="455"/>
    </row>
    <row r="89" spans="1:12" ht="12" customHeight="1">
      <c r="A89" s="733">
        <f t="shared" si="10"/>
        <v>1628</v>
      </c>
      <c r="B89" s="253">
        <f>Voorblad!D$3-9</f>
        <v>1995</v>
      </c>
      <c r="C89" s="734"/>
      <c r="D89" s="1049">
        <f>Voorblad!D3+1</f>
        <v>2005</v>
      </c>
      <c r="E89" s="734"/>
      <c r="F89" s="1063">
        <v>0.5</v>
      </c>
      <c r="G89" s="482">
        <f t="shared" si="9"/>
        <v>0</v>
      </c>
      <c r="I89" s="680"/>
      <c r="J89" s="457"/>
      <c r="K89" s="455"/>
      <c r="L89" s="455"/>
    </row>
    <row r="90" spans="1:9" ht="12" customHeight="1">
      <c r="A90" s="733">
        <f t="shared" si="10"/>
        <v>1629</v>
      </c>
      <c r="B90" s="1316" t="s">
        <v>477</v>
      </c>
      <c r="C90" s="1317"/>
      <c r="D90" s="1317"/>
      <c r="E90" s="1317"/>
      <c r="F90" s="1318"/>
      <c r="G90" s="979">
        <f>0.27*10*C80</f>
        <v>0</v>
      </c>
      <c r="I90" s="455"/>
    </row>
    <row r="91" spans="1:9" ht="12" customHeight="1">
      <c r="A91" s="733">
        <f>A90+1</f>
        <v>1630</v>
      </c>
      <c r="B91" s="1044" t="str">
        <f>CONCATENATE("Totaal (regel ",A80," t/m ",A90,")")</f>
        <v>Totaal (regel 1619 t/m 1629)</v>
      </c>
      <c r="C91" s="1045">
        <f>SUM(C80:C89)</f>
        <v>0</v>
      </c>
      <c r="D91" s="1046"/>
      <c r="E91" s="1045">
        <f>SUM(E80:E90)</f>
        <v>0</v>
      </c>
      <c r="F91" s="1047"/>
      <c r="G91" s="1066">
        <f>SUM(G80:G90)</f>
        <v>0</v>
      </c>
      <c r="I91" s="455"/>
    </row>
    <row r="92" spans="1:9" ht="12" customHeight="1">
      <c r="A92" s="166" t="s">
        <v>459</v>
      </c>
      <c r="C92" s="457"/>
      <c r="D92" s="457"/>
      <c r="E92" s="457"/>
      <c r="F92" s="457"/>
      <c r="G92"/>
      <c r="I92" s="455"/>
    </row>
    <row r="93" spans="1:10" ht="12" customHeight="1">
      <c r="A93" s="595"/>
      <c r="B93" s="91"/>
      <c r="C93" s="592"/>
      <c r="D93" s="592"/>
      <c r="E93" s="1050"/>
      <c r="F93" s="593"/>
      <c r="G93" s="594"/>
      <c r="H93" s="502"/>
      <c r="I93" s="502"/>
      <c r="J93" s="503"/>
    </row>
    <row r="94" spans="1:10" ht="12" customHeight="1">
      <c r="A94" s="592" t="s">
        <v>268</v>
      </c>
      <c r="B94" s="980" t="s">
        <v>25</v>
      </c>
      <c r="C94" s="592"/>
      <c r="D94" s="592"/>
      <c r="E94" s="1050"/>
      <c r="F94" s="593"/>
      <c r="G94" s="594"/>
      <c r="H94" s="502"/>
      <c r="I94" s="502"/>
      <c r="J94" s="503"/>
    </row>
    <row r="95" spans="1:7" ht="12" customHeight="1">
      <c r="A95" s="774">
        <f>+A91+1</f>
        <v>1631</v>
      </c>
      <c r="B95" s="1051" t="s">
        <v>478</v>
      </c>
      <c r="C95" s="1052"/>
      <c r="D95" s="1052"/>
      <c r="E95" s="351"/>
      <c r="F95" s="1053"/>
      <c r="G95" s="1064">
        <f>Mutaties!E19</f>
        <v>0</v>
      </c>
    </row>
    <row r="96" spans="1:7" ht="12" customHeight="1">
      <c r="A96" s="774">
        <f>A95+1</f>
        <v>1632</v>
      </c>
      <c r="B96" s="191" t="s">
        <v>74</v>
      </c>
      <c r="C96" s="650"/>
      <c r="D96" s="650"/>
      <c r="E96" s="651"/>
      <c r="F96" s="652"/>
      <c r="G96" s="1013"/>
    </row>
    <row r="97" spans="1:9" ht="12" customHeight="1">
      <c r="A97" s="774">
        <f>A96+1</f>
        <v>1633</v>
      </c>
      <c r="B97" s="977" t="str">
        <f>+CONCATENATE("Normatief werkapitaal regel (2713) +",I97," regel (2712)*")</f>
        <v>Normatief werkapitaal regel (2713) +-4,8% regel (2712)*</v>
      </c>
      <c r="C97" s="981"/>
      <c r="D97" s="981"/>
      <c r="E97" s="742"/>
      <c r="F97" s="982"/>
      <c r="G97" s="1014">
        <f>+IF(Voorblad!F33=2010,0.068,-0.048)*G95</f>
        <v>0</v>
      </c>
      <c r="I97" s="1116" t="str">
        <f>+IF(Voorblad!F33=2010,"6,8%","-4,8%")</f>
        <v>-4,8%</v>
      </c>
    </row>
    <row r="98" spans="1:6" ht="12" customHeight="1">
      <c r="A98" s="457"/>
      <c r="B98" s="486" t="s">
        <v>463</v>
      </c>
      <c r="C98" s="457"/>
      <c r="D98" s="457"/>
      <c r="E98" s="457"/>
      <c r="F98" s="457"/>
    </row>
    <row r="99" spans="1:7" ht="12" customHeight="1">
      <c r="A99" s="619"/>
      <c r="B99" s="571"/>
      <c r="C99" s="42"/>
      <c r="D99" s="42"/>
      <c r="E99" s="42"/>
      <c r="F99" s="42"/>
      <c r="G99" s="571"/>
    </row>
    <row r="100" spans="1:10" ht="12" customHeight="1">
      <c r="A100" s="584" t="str">
        <f>Inhoud!$A$2</f>
        <v>Nacalculatieformulier 2004</v>
      </c>
      <c r="B100" s="597"/>
      <c r="C100" s="599"/>
      <c r="D100" s="599"/>
      <c r="E100" s="600">
        <f>Voorblad!D149</f>
        <v>0</v>
      </c>
      <c r="F100" s="600"/>
      <c r="G100" s="596">
        <f>+G48+1</f>
        <v>17</v>
      </c>
      <c r="H100" s="502"/>
      <c r="I100" s="502"/>
      <c r="J100" s="503"/>
    </row>
    <row r="101" spans="1:10" ht="12" customHeight="1">
      <c r="A101" s="595"/>
      <c r="B101" s="91"/>
      <c r="C101" s="592"/>
      <c r="D101" s="592"/>
      <c r="E101" s="593"/>
      <c r="F101" s="593"/>
      <c r="G101" s="594"/>
      <c r="H101" s="502"/>
      <c r="I101" s="502"/>
      <c r="J101" s="503"/>
    </row>
    <row r="102" spans="1:2" ht="12">
      <c r="A102" s="466" t="s">
        <v>28</v>
      </c>
      <c r="B102" s="467" t="s">
        <v>269</v>
      </c>
    </row>
    <row r="103" spans="1:6" ht="12">
      <c r="A103" s="565"/>
      <c r="B103" s="565"/>
      <c r="C103" s="1070" t="str">
        <f>CONCATENATE("saldo voor ",Voorblad!D3-2)</f>
        <v>saldo voor 2002</v>
      </c>
      <c r="D103" s="1071">
        <f>Voorblad!D3-2</f>
        <v>2002</v>
      </c>
      <c r="E103" s="1072">
        <f>Voorblad!D3-1</f>
        <v>2003</v>
      </c>
      <c r="F103" s="1071" t="str">
        <f>CONCATENATE("t/m ",Voorblad!D3-1)</f>
        <v>t/m 2003</v>
      </c>
    </row>
    <row r="104" spans="1:6" ht="12">
      <c r="A104" s="916">
        <f>(100*G100)+1</f>
        <v>1701</v>
      </c>
      <c r="B104" s="869" t="s">
        <v>154</v>
      </c>
      <c r="C104" s="734"/>
      <c r="D104" s="734"/>
      <c r="E104" s="734"/>
      <c r="F104" s="1012">
        <f>C104+D104+E104</f>
        <v>0</v>
      </c>
    </row>
    <row r="105" spans="1:6" ht="12">
      <c r="A105" s="916">
        <f>A104+1</f>
        <v>1702</v>
      </c>
      <c r="B105" s="869" t="s">
        <v>333</v>
      </c>
      <c r="C105" s="1057"/>
      <c r="D105" s="734"/>
      <c r="E105" s="734"/>
      <c r="F105" s="1000">
        <f>C105+D105+E105</f>
        <v>0</v>
      </c>
    </row>
    <row r="106" spans="1:6" ht="12">
      <c r="A106" s="916">
        <f>A105+1</f>
        <v>1703</v>
      </c>
      <c r="B106" s="943" t="s">
        <v>334</v>
      </c>
      <c r="C106" s="988">
        <f>C104-C105</f>
        <v>0</v>
      </c>
      <c r="D106" s="988">
        <f>D104-D105</f>
        <v>0</v>
      </c>
      <c r="E106" s="988">
        <f>E104-E105</f>
        <v>0</v>
      </c>
      <c r="F106" s="1001">
        <f>F104-F105</f>
        <v>0</v>
      </c>
    </row>
    <row r="107" spans="1:6" ht="12">
      <c r="A107" s="565"/>
      <c r="B107" s="565"/>
      <c r="C107" s="895"/>
      <c r="D107" s="895"/>
      <c r="E107" s="895"/>
      <c r="F107" s="895"/>
    </row>
    <row r="108" spans="1:8" ht="12">
      <c r="A108" s="939"/>
      <c r="B108" s="983"/>
      <c r="C108" s="994" t="s">
        <v>271</v>
      </c>
      <c r="D108" s="995" t="s">
        <v>272</v>
      </c>
      <c r="E108" s="995" t="s">
        <v>440</v>
      </c>
      <c r="F108" s="995" t="s">
        <v>373</v>
      </c>
      <c r="G108" s="996" t="s">
        <v>98</v>
      </c>
      <c r="H108" s="880"/>
    </row>
    <row r="109" spans="1:8" ht="12.75" customHeight="1">
      <c r="A109" s="976">
        <f>A106+1</f>
        <v>1704</v>
      </c>
      <c r="B109" s="991" t="str">
        <f>CONCATENATE("Nog te verrekenen per 31-12-",Voorblad!D3-1)</f>
        <v>Nog te verrekenen per 31-12-2003</v>
      </c>
      <c r="C109" s="1301"/>
      <c r="D109" s="1302"/>
      <c r="E109" s="1302"/>
      <c r="F109" s="1303"/>
      <c r="G109" s="993">
        <f>F106</f>
        <v>0</v>
      </c>
      <c r="H109" s="897"/>
    </row>
    <row r="110" spans="1:8" ht="12.75" customHeight="1">
      <c r="A110" s="976">
        <f>A109+1</f>
        <v>1705</v>
      </c>
      <c r="B110" s="992" t="s">
        <v>270</v>
      </c>
      <c r="C110" s="1304"/>
      <c r="D110" s="1305"/>
      <c r="E110" s="1305"/>
      <c r="F110" s="1306"/>
      <c r="G110" s="734"/>
      <c r="H110" s="880"/>
    </row>
    <row r="111" spans="1:10" ht="12">
      <c r="A111" s="976">
        <f>A110+1</f>
        <v>1706</v>
      </c>
      <c r="B111" s="991" t="s">
        <v>335</v>
      </c>
      <c r="C111" s="990">
        <f>G$95/12</f>
        <v>0</v>
      </c>
      <c r="D111" s="734"/>
      <c r="E111" s="967">
        <f aca="true" t="shared" si="11" ref="E111:E122">C111-D111</f>
        <v>0</v>
      </c>
      <c r="F111" s="989">
        <v>0.9583</v>
      </c>
      <c r="G111" s="967">
        <f>ROUND(E111*F111,0)</f>
        <v>0</v>
      </c>
      <c r="H111" s="880"/>
      <c r="J111" s="457"/>
    </row>
    <row r="112" spans="1:10" ht="12">
      <c r="A112" s="976">
        <f aca="true" t="shared" si="12" ref="A112:A124">A111+1</f>
        <v>1707</v>
      </c>
      <c r="B112" s="991" t="s">
        <v>336</v>
      </c>
      <c r="C112" s="990">
        <f aca="true" t="shared" si="13" ref="C112:C122">G$95/12</f>
        <v>0</v>
      </c>
      <c r="D112" s="734"/>
      <c r="E112" s="967">
        <f t="shared" si="11"/>
        <v>0</v>
      </c>
      <c r="F112" s="989">
        <v>0.875</v>
      </c>
      <c r="G112" s="967">
        <f aca="true" t="shared" si="14" ref="G112:G122">ROUND(E112*F112,0)</f>
        <v>0</v>
      </c>
      <c r="H112" s="880"/>
      <c r="J112" s="565"/>
    </row>
    <row r="113" spans="1:10" ht="12">
      <c r="A113" s="976">
        <f t="shared" si="12"/>
        <v>1708</v>
      </c>
      <c r="B113" s="991" t="s">
        <v>337</v>
      </c>
      <c r="C113" s="990">
        <f t="shared" si="13"/>
        <v>0</v>
      </c>
      <c r="D113" s="734"/>
      <c r="E113" s="967">
        <f t="shared" si="11"/>
        <v>0</v>
      </c>
      <c r="F113" s="989">
        <v>0.7917</v>
      </c>
      <c r="G113" s="967">
        <f t="shared" si="14"/>
        <v>0</v>
      </c>
      <c r="H113" s="880"/>
      <c r="J113" s="565"/>
    </row>
    <row r="114" spans="1:10" ht="12">
      <c r="A114" s="976">
        <f t="shared" si="12"/>
        <v>1709</v>
      </c>
      <c r="B114" s="991" t="s">
        <v>338</v>
      </c>
      <c r="C114" s="990">
        <f t="shared" si="13"/>
        <v>0</v>
      </c>
      <c r="D114" s="734"/>
      <c r="E114" s="967">
        <f t="shared" si="11"/>
        <v>0</v>
      </c>
      <c r="F114" s="989">
        <v>0.7083</v>
      </c>
      <c r="G114" s="967">
        <f t="shared" si="14"/>
        <v>0</v>
      </c>
      <c r="H114" s="880"/>
      <c r="J114" s="498"/>
    </row>
    <row r="115" spans="1:10" ht="12">
      <c r="A115" s="976">
        <f t="shared" si="12"/>
        <v>1710</v>
      </c>
      <c r="B115" s="991" t="s">
        <v>339</v>
      </c>
      <c r="C115" s="990">
        <f t="shared" si="13"/>
        <v>0</v>
      </c>
      <c r="D115" s="734"/>
      <c r="E115" s="967">
        <f t="shared" si="11"/>
        <v>0</v>
      </c>
      <c r="F115" s="989">
        <v>0.625</v>
      </c>
      <c r="G115" s="967">
        <f t="shared" si="14"/>
        <v>0</v>
      </c>
      <c r="H115" s="880"/>
      <c r="J115" s="459"/>
    </row>
    <row r="116" spans="1:8" ht="12">
      <c r="A116" s="976">
        <f t="shared" si="12"/>
        <v>1711</v>
      </c>
      <c r="B116" s="991" t="s">
        <v>340</v>
      </c>
      <c r="C116" s="990">
        <f t="shared" si="13"/>
        <v>0</v>
      </c>
      <c r="D116" s="734"/>
      <c r="E116" s="967">
        <f t="shared" si="11"/>
        <v>0</v>
      </c>
      <c r="F116" s="989">
        <v>0.5417</v>
      </c>
      <c r="G116" s="967">
        <f t="shared" si="14"/>
        <v>0</v>
      </c>
      <c r="H116" s="880"/>
    </row>
    <row r="117" spans="1:8" ht="12" customHeight="1">
      <c r="A117" s="976">
        <f t="shared" si="12"/>
        <v>1712</v>
      </c>
      <c r="B117" s="991" t="s">
        <v>341</v>
      </c>
      <c r="C117" s="990">
        <f t="shared" si="13"/>
        <v>0</v>
      </c>
      <c r="D117" s="734"/>
      <c r="E117" s="967">
        <f t="shared" si="11"/>
        <v>0</v>
      </c>
      <c r="F117" s="989">
        <v>0.4583</v>
      </c>
      <c r="G117" s="967">
        <f t="shared" si="14"/>
        <v>0</v>
      </c>
      <c r="H117" s="880"/>
    </row>
    <row r="118" spans="1:8" ht="12">
      <c r="A118" s="976">
        <f t="shared" si="12"/>
        <v>1713</v>
      </c>
      <c r="B118" s="991" t="s">
        <v>342</v>
      </c>
      <c r="C118" s="990">
        <f t="shared" si="13"/>
        <v>0</v>
      </c>
      <c r="D118" s="734"/>
      <c r="E118" s="967">
        <f t="shared" si="11"/>
        <v>0</v>
      </c>
      <c r="F118" s="989">
        <v>0.375</v>
      </c>
      <c r="G118" s="967">
        <f t="shared" si="14"/>
        <v>0</v>
      </c>
      <c r="H118" s="880"/>
    </row>
    <row r="119" spans="1:8" ht="12">
      <c r="A119" s="976">
        <f t="shared" si="12"/>
        <v>1714</v>
      </c>
      <c r="B119" s="991" t="s">
        <v>343</v>
      </c>
      <c r="C119" s="990">
        <f t="shared" si="13"/>
        <v>0</v>
      </c>
      <c r="D119" s="734"/>
      <c r="E119" s="967">
        <f t="shared" si="11"/>
        <v>0</v>
      </c>
      <c r="F119" s="989">
        <v>0.2917</v>
      </c>
      <c r="G119" s="967">
        <f t="shared" si="14"/>
        <v>0</v>
      </c>
      <c r="H119" s="880"/>
    </row>
    <row r="120" spans="1:10" ht="12">
      <c r="A120" s="976">
        <f t="shared" si="12"/>
        <v>1715</v>
      </c>
      <c r="B120" s="991" t="s">
        <v>344</v>
      </c>
      <c r="C120" s="990">
        <f t="shared" si="13"/>
        <v>0</v>
      </c>
      <c r="D120" s="734"/>
      <c r="E120" s="967">
        <f t="shared" si="11"/>
        <v>0</v>
      </c>
      <c r="F120" s="989">
        <v>0.2083</v>
      </c>
      <c r="G120" s="967">
        <f>ROUND(E120*F120,0)</f>
        <v>0</v>
      </c>
      <c r="H120" s="880"/>
      <c r="J120" s="457"/>
    </row>
    <row r="121" spans="1:10" ht="12">
      <c r="A121" s="976">
        <f t="shared" si="12"/>
        <v>1716</v>
      </c>
      <c r="B121" s="991" t="s">
        <v>345</v>
      </c>
      <c r="C121" s="990">
        <f t="shared" si="13"/>
        <v>0</v>
      </c>
      <c r="D121" s="734"/>
      <c r="E121" s="967">
        <f t="shared" si="11"/>
        <v>0</v>
      </c>
      <c r="F121" s="989">
        <v>0.125</v>
      </c>
      <c r="G121" s="967">
        <f t="shared" si="14"/>
        <v>0</v>
      </c>
      <c r="H121" s="880"/>
      <c r="J121" s="457"/>
    </row>
    <row r="122" spans="1:10" ht="12">
      <c r="A122" s="976">
        <f t="shared" si="12"/>
        <v>1717</v>
      </c>
      <c r="B122" s="991" t="s">
        <v>346</v>
      </c>
      <c r="C122" s="990">
        <f t="shared" si="13"/>
        <v>0</v>
      </c>
      <c r="D122" s="734"/>
      <c r="E122" s="967">
        <f t="shared" si="11"/>
        <v>0</v>
      </c>
      <c r="F122" s="989">
        <v>0.0417</v>
      </c>
      <c r="G122" s="967">
        <f t="shared" si="14"/>
        <v>0</v>
      </c>
      <c r="H122" s="880"/>
      <c r="J122" s="457"/>
    </row>
    <row r="123" spans="1:8" s="467" customFormat="1" ht="12.75" customHeight="1">
      <c r="A123" s="976">
        <f t="shared" si="12"/>
        <v>1718</v>
      </c>
      <c r="B123" s="1007" t="s">
        <v>476</v>
      </c>
      <c r="C123" s="1008">
        <f>SUM(C111:C122)</f>
        <v>0</v>
      </c>
      <c r="D123" s="1067">
        <f>SUM(D111:D122)</f>
        <v>0</v>
      </c>
      <c r="E123" s="944">
        <f>SUM(E111:E122)</f>
        <v>0</v>
      </c>
      <c r="F123" s="1009"/>
      <c r="G123" s="944">
        <f>SUM(G109:G122)</f>
        <v>0</v>
      </c>
      <c r="H123" s="939"/>
    </row>
    <row r="124" spans="1:10" ht="12" customHeight="1">
      <c r="A124" s="976">
        <f t="shared" si="12"/>
        <v>1719</v>
      </c>
      <c r="B124" s="1076" t="s">
        <v>479</v>
      </c>
      <c r="C124" s="984"/>
      <c r="D124" s="1077">
        <f>Opbrengsten!J24</f>
        <v>0</v>
      </c>
      <c r="E124" s="984"/>
      <c r="F124" s="986"/>
      <c r="G124" s="987"/>
      <c r="H124" s="880"/>
      <c r="J124" s="457"/>
    </row>
    <row r="125" spans="1:10" ht="12" customHeight="1">
      <c r="A125" s="1081">
        <f>+A124+1</f>
        <v>1720</v>
      </c>
      <c r="B125" s="1118" t="s">
        <v>465</v>
      </c>
      <c r="C125" s="1078"/>
      <c r="D125" s="1079"/>
      <c r="E125" s="1078"/>
      <c r="F125" s="1080"/>
      <c r="G125" s="1075">
        <f>0.045*Mutaties!E19</f>
        <v>0</v>
      </c>
      <c r="H125" s="880"/>
      <c r="J125" s="457"/>
    </row>
    <row r="126" spans="1:10" ht="12" customHeight="1">
      <c r="A126" s="457" t="s">
        <v>464</v>
      </c>
      <c r="B126" s="984"/>
      <c r="C126" s="984"/>
      <c r="D126" s="984"/>
      <c r="E126" s="984"/>
      <c r="F126" s="986"/>
      <c r="G126" s="985"/>
      <c r="H126" s="880"/>
      <c r="J126" s="457"/>
    </row>
    <row r="127" spans="1:10" ht="12" customHeight="1">
      <c r="A127" s="897"/>
      <c r="D127" s="984"/>
      <c r="E127" s="984"/>
      <c r="F127" s="986"/>
      <c r="G127" s="985"/>
      <c r="H127" s="880"/>
      <c r="J127" s="457"/>
    </row>
    <row r="128" spans="1:10" ht="12" customHeight="1">
      <c r="A128" s="897"/>
      <c r="B128" s="984"/>
      <c r="C128" s="984"/>
      <c r="D128" s="984"/>
      <c r="E128" s="984"/>
      <c r="F128" s="986"/>
      <c r="G128" s="985"/>
      <c r="H128" s="880"/>
      <c r="J128" s="457"/>
    </row>
    <row r="129" spans="1:10" ht="12" customHeight="1">
      <c r="A129" s="897"/>
      <c r="B129" s="984"/>
      <c r="C129" s="984"/>
      <c r="D129" s="984"/>
      <c r="E129" s="984"/>
      <c r="F129" s="986"/>
      <c r="G129" s="985"/>
      <c r="H129" s="880"/>
      <c r="J129" s="457"/>
    </row>
    <row r="130" spans="1:10" ht="12" customHeight="1">
      <c r="A130" s="897"/>
      <c r="B130" s="984"/>
      <c r="C130" s="984"/>
      <c r="D130" s="984"/>
      <c r="E130" s="984"/>
      <c r="F130" s="986"/>
      <c r="G130" s="985"/>
      <c r="H130" s="880"/>
      <c r="J130" s="459"/>
    </row>
    <row r="131" spans="1:10" ht="12" customHeight="1">
      <c r="A131" s="897"/>
      <c r="B131" s="984"/>
      <c r="C131" s="984"/>
      <c r="D131" s="984"/>
      <c r="E131" s="984"/>
      <c r="F131" s="986"/>
      <c r="G131" s="985"/>
      <c r="H131" s="880"/>
      <c r="J131" s="459"/>
    </row>
    <row r="132" spans="1:10" ht="12" customHeight="1">
      <c r="A132" s="897"/>
      <c r="B132" s="880"/>
      <c r="C132" s="984"/>
      <c r="D132" s="984"/>
      <c r="E132" s="984"/>
      <c r="F132" s="986"/>
      <c r="G132" s="985"/>
      <c r="H132" s="880"/>
      <c r="J132" s="457"/>
    </row>
    <row r="133" spans="1:10" ht="12" customHeight="1">
      <c r="A133" s="897"/>
      <c r="B133" s="984"/>
      <c r="C133" s="880"/>
      <c r="D133" s="880"/>
      <c r="E133" s="880"/>
      <c r="F133" s="880"/>
      <c r="G133" s="880"/>
      <c r="H133" s="880"/>
      <c r="J133" s="457"/>
    </row>
    <row r="134" spans="1:10" ht="12" customHeight="1">
      <c r="A134" s="880"/>
      <c r="B134" s="880"/>
      <c r="C134" s="880"/>
      <c r="D134" s="880"/>
      <c r="E134" s="880"/>
      <c r="F134" s="880"/>
      <c r="G134" s="880"/>
      <c r="H134" s="880"/>
      <c r="J134" s="457"/>
    </row>
    <row r="135" spans="1:10" ht="12" customHeight="1">
      <c r="A135" s="880"/>
      <c r="J135" s="457"/>
    </row>
    <row r="136" ht="12" customHeight="1">
      <c r="J136" s="457"/>
    </row>
    <row r="137" ht="12" customHeight="1"/>
    <row r="144" ht="12" customHeight="1"/>
    <row r="145" ht="12" customHeight="1"/>
    <row r="146" ht="12" customHeight="1"/>
    <row r="147" ht="12" customHeight="1"/>
    <row r="148" ht="12" customHeight="1"/>
  </sheetData>
  <sheetProtection password="CFAD" sheet="1" objects="1" scenarios="1"/>
  <mergeCells count="5">
    <mergeCell ref="C109:F110"/>
    <mergeCell ref="F5:G5"/>
    <mergeCell ref="F50:G50"/>
    <mergeCell ref="E27:G28"/>
    <mergeCell ref="B90:F90"/>
  </mergeCells>
  <conditionalFormatting sqref="C104 D111:D122 G110 D104:E105 G96 D69 C70 C56:C68 D33:D44 C54:D55 C32:C44 C80:C89 E80:E89 C9:D22">
    <cfRule type="expression" priority="1" dxfId="0" stopIfTrue="1">
      <formula>$E$2=TRUE</formula>
    </cfRule>
  </conditionalFormatting>
  <conditionalFormatting sqref="C25 C73 E73">
    <cfRule type="cellIs" priority="2" dxfId="3" operator="notEqual" stopIfTrue="1">
      <formula>0</formula>
    </cfRule>
  </conditionalFormatting>
  <printOptions/>
  <pageMargins left="0.3937007874015748" right="0.3937007874015748" top="0.3937007874015748" bottom="0.3937007874015748" header="0.5118110236220472" footer="0.5118110236220472"/>
  <pageSetup horizontalDpi="300" verticalDpi="300" orientation="landscape" paperSize="9" scale="87" r:id="rId2"/>
  <rowBreaks count="2" manualBreakCount="2">
    <brk id="46" max="6" man="1"/>
    <brk id="98" max="6" man="1"/>
  </rowBreaks>
  <drawing r:id="rId1"/>
</worksheet>
</file>

<file path=xl/worksheets/sheet14.xml><?xml version="1.0" encoding="utf-8"?>
<worksheet xmlns="http://schemas.openxmlformats.org/spreadsheetml/2006/main" xmlns:r="http://schemas.openxmlformats.org/officeDocument/2006/relationships">
  <sheetPr codeName="Blad19"/>
  <dimension ref="A1:AN97"/>
  <sheetViews>
    <sheetView showGridLines="0" zoomScale="86" zoomScaleNormal="86" workbookViewId="0" topLeftCell="A46">
      <selection activeCell="R56" sqref="R56"/>
    </sheetView>
  </sheetViews>
  <sheetFormatPr defaultColWidth="9.140625" defaultRowHeight="12.75"/>
  <cols>
    <col min="1" max="1" width="5.7109375" style="470" customWidth="1"/>
    <col min="2" max="2" width="12.7109375" style="439" customWidth="1"/>
    <col min="3" max="3" width="9.28125" style="439" customWidth="1"/>
    <col min="4" max="4" width="11.8515625" style="436" customWidth="1"/>
    <col min="5" max="7" width="5.8515625" style="439" customWidth="1"/>
    <col min="8" max="9" width="12.421875" style="435" customWidth="1"/>
    <col min="10" max="10" width="3.7109375" style="435" customWidth="1"/>
    <col min="11" max="16" width="2.7109375" style="435" customWidth="1"/>
    <col min="17" max="18" width="12.421875" style="435" customWidth="1"/>
    <col min="19" max="20" width="12.421875" style="439" customWidth="1"/>
    <col min="21" max="21" width="0.13671875" style="439" customWidth="1"/>
    <col min="22" max="22" width="0.2890625" style="439" customWidth="1"/>
    <col min="23" max="23" width="14.28125" style="439" hidden="1" customWidth="1"/>
    <col min="24" max="24" width="14.7109375" style="439" hidden="1" customWidth="1"/>
    <col min="25" max="25" width="15.00390625" style="439" hidden="1" customWidth="1"/>
    <col min="26" max="26" width="15.28125" style="439" hidden="1" customWidth="1"/>
    <col min="27" max="27" width="13.7109375" style="439" hidden="1" customWidth="1"/>
    <col min="28" max="28" width="11.7109375" style="439" hidden="1" customWidth="1"/>
    <col min="29" max="29" width="15.28125" style="439" customWidth="1"/>
    <col min="30" max="30" width="13.7109375" style="439" customWidth="1"/>
    <col min="31" max="31" width="12.8515625" style="439" customWidth="1"/>
    <col min="32" max="32" width="13.28125" style="439" customWidth="1"/>
    <col min="33" max="33" width="12.421875" style="439" customWidth="1"/>
    <col min="34" max="34" width="12.8515625" style="439" customWidth="1"/>
    <col min="35" max="35" width="11.8515625" style="439" customWidth="1"/>
    <col min="36" max="40" width="10.28125" style="439" customWidth="1"/>
    <col min="41" max="16384" width="9.140625" style="439" customWidth="1"/>
  </cols>
  <sheetData>
    <row r="1" spans="1:27" ht="15.75" customHeight="1">
      <c r="A1" s="657"/>
      <c r="B1" s="635"/>
      <c r="C1" s="635"/>
      <c r="D1" s="2"/>
      <c r="E1" s="2"/>
      <c r="F1" s="2"/>
      <c r="G1" s="2"/>
      <c r="H1" s="2"/>
      <c r="I1" s="2"/>
      <c r="J1" s="2"/>
      <c r="K1" s="2"/>
      <c r="L1" s="2"/>
      <c r="M1" s="2"/>
      <c r="N1" s="2"/>
      <c r="O1" s="2"/>
      <c r="P1" s="2"/>
      <c r="Q1" s="2"/>
      <c r="R1" s="2"/>
      <c r="S1" s="635"/>
      <c r="T1" s="635"/>
      <c r="U1" s="440"/>
      <c r="V1" s="441"/>
      <c r="W1" s="440"/>
      <c r="X1" s="440"/>
      <c r="Y1" s="440"/>
      <c r="Z1" s="440"/>
      <c r="AA1" s="440"/>
    </row>
    <row r="2" spans="1:27" s="447" customFormat="1" ht="15.75" customHeight="1">
      <c r="A2" s="6" t="str">
        <f>Inhoud!$A$2</f>
        <v>Nacalculatieformulier 2004</v>
      </c>
      <c r="B2" s="7"/>
      <c r="C2" s="7"/>
      <c r="D2" s="7"/>
      <c r="E2" s="7"/>
      <c r="F2" s="7"/>
      <c r="G2" s="7"/>
      <c r="H2" s="7"/>
      <c r="I2" s="8" t="b">
        <f>Voorblad!D30</f>
        <v>1</v>
      </c>
      <c r="J2" s="8"/>
      <c r="K2" s="8"/>
      <c r="L2" s="630"/>
      <c r="M2" s="630"/>
      <c r="N2" s="8"/>
      <c r="O2" s="630"/>
      <c r="P2" s="630"/>
      <c r="Q2" s="8"/>
      <c r="R2" s="630"/>
      <c r="S2" s="802"/>
      <c r="T2" s="10">
        <f>'A-G'!G100+1</f>
        <v>18</v>
      </c>
      <c r="U2" s="448"/>
      <c r="V2" s="449"/>
      <c r="W2" s="448"/>
      <c r="X2" s="448"/>
      <c r="Y2" s="448"/>
      <c r="Z2" s="448"/>
      <c r="AA2" s="448"/>
    </row>
    <row r="3" spans="1:20" s="457" customFormat="1" ht="12.75" customHeight="1">
      <c r="A3" s="619"/>
      <c r="B3" s="658"/>
      <c r="C3" s="658"/>
      <c r="D3" s="167"/>
      <c r="E3" s="658"/>
      <c r="F3" s="658"/>
      <c r="G3" s="658"/>
      <c r="H3" s="168"/>
      <c r="I3" s="168"/>
      <c r="J3" s="168"/>
      <c r="K3" s="168"/>
      <c r="L3" s="168"/>
      <c r="M3" s="168"/>
      <c r="N3" s="168"/>
      <c r="O3" s="168"/>
      <c r="P3" s="168"/>
      <c r="Q3" s="168"/>
      <c r="R3" s="168"/>
      <c r="S3" s="571"/>
      <c r="T3" s="571"/>
    </row>
    <row r="4" spans="1:39" s="501" customFormat="1" ht="12.75" customHeight="1">
      <c r="A4" s="213"/>
      <c r="B4" s="1094" t="s">
        <v>374</v>
      </c>
      <c r="C4" s="1094" t="s">
        <v>382</v>
      </c>
      <c r="D4" s="1095" t="s">
        <v>123</v>
      </c>
      <c r="E4" s="1095" t="s">
        <v>392</v>
      </c>
      <c r="F4" s="1095" t="s">
        <v>369</v>
      </c>
      <c r="G4" s="1095" t="s">
        <v>126</v>
      </c>
      <c r="H4" s="1095" t="s">
        <v>375</v>
      </c>
      <c r="I4" s="1320" t="str">
        <f>CONCATENATE("Storting/Aflossing ",Voorblad!D3)</f>
        <v>Storting/Aflossing 2004</v>
      </c>
      <c r="J4" s="1323"/>
      <c r="K4" s="1323"/>
      <c r="L4" s="1323"/>
      <c r="M4" s="1323"/>
      <c r="N4" s="1323"/>
      <c r="O4" s="1323"/>
      <c r="P4" s="1324"/>
      <c r="Q4" s="1094" t="s">
        <v>375</v>
      </c>
      <c r="R4" s="1095" t="s">
        <v>397</v>
      </c>
      <c r="S4" s="1095" t="s">
        <v>157</v>
      </c>
      <c r="T4" s="1096" t="s">
        <v>129</v>
      </c>
      <c r="U4" s="581"/>
      <c r="V4" s="581"/>
      <c r="W4" s="581"/>
      <c r="X4" s="581"/>
      <c r="Y4" s="581"/>
      <c r="Z4" s="581"/>
      <c r="AA4" s="581"/>
      <c r="AB4" s="581"/>
      <c r="AC4" s="581"/>
      <c r="AD4" s="581"/>
      <c r="AE4" s="581"/>
      <c r="AF4" s="581"/>
      <c r="AG4" s="581"/>
      <c r="AH4" s="581"/>
      <c r="AI4" s="581"/>
      <c r="AJ4" s="581"/>
      <c r="AK4" s="581"/>
      <c r="AL4" s="581"/>
      <c r="AM4" s="581"/>
    </row>
    <row r="5" spans="1:39" s="501" customFormat="1" ht="12.75" customHeight="1">
      <c r="A5" s="216"/>
      <c r="B5" s="659"/>
      <c r="C5" s="659" t="s">
        <v>162</v>
      </c>
      <c r="D5" s="217" t="s">
        <v>166</v>
      </c>
      <c r="E5" s="217" t="s">
        <v>124</v>
      </c>
      <c r="F5" s="217" t="s">
        <v>125</v>
      </c>
      <c r="G5" s="217" t="s">
        <v>127</v>
      </c>
      <c r="H5" s="1097" t="str">
        <f>CONCATENATE("31-12-",Voorblad!D3-1," ")</f>
        <v>31-12-2003 </v>
      </c>
      <c r="I5" s="1099" t="s">
        <v>264</v>
      </c>
      <c r="J5" s="220" t="s">
        <v>389</v>
      </c>
      <c r="K5" s="1320" t="s">
        <v>390</v>
      </c>
      <c r="L5" s="1321"/>
      <c r="M5" s="1321"/>
      <c r="N5" s="1321"/>
      <c r="O5" s="1321"/>
      <c r="P5" s="1322"/>
      <c r="Q5" s="1097" t="str">
        <f>CONCATENATE("31-12-",Voorblad!D3," ")</f>
        <v>31-12-2004 </v>
      </c>
      <c r="R5" s="1098" t="s">
        <v>163</v>
      </c>
      <c r="S5" s="1098" t="s">
        <v>128</v>
      </c>
      <c r="T5" s="1098" t="s">
        <v>128</v>
      </c>
      <c r="U5" s="581"/>
      <c r="V5" s="581"/>
      <c r="W5" s="581"/>
      <c r="X5" s="581"/>
      <c r="Y5" s="581"/>
      <c r="Z5" s="581"/>
      <c r="AA5" s="581"/>
      <c r="AB5" s="581"/>
      <c r="AC5" s="581"/>
      <c r="AD5" s="581"/>
      <c r="AE5" s="581"/>
      <c r="AF5" s="581"/>
      <c r="AG5" s="581"/>
      <c r="AH5" s="581"/>
      <c r="AI5" s="581"/>
      <c r="AJ5" s="581"/>
      <c r="AK5" s="581"/>
      <c r="AL5" s="581"/>
      <c r="AM5" s="581"/>
    </row>
    <row r="6" spans="1:20" s="502" customFormat="1" ht="12.75" customHeight="1">
      <c r="A6" s="169"/>
      <c r="B6" s="92"/>
      <c r="C6" s="92"/>
      <c r="D6" s="92"/>
      <c r="E6" s="92"/>
      <c r="F6" s="92"/>
      <c r="G6" s="92"/>
      <c r="H6" s="92"/>
      <c r="I6" s="92"/>
      <c r="J6" s="92"/>
      <c r="K6" s="92"/>
      <c r="L6" s="91"/>
      <c r="M6" s="92"/>
      <c r="N6" s="92"/>
      <c r="O6" s="92"/>
      <c r="P6" s="92"/>
      <c r="Q6" s="92"/>
      <c r="R6" s="92"/>
      <c r="S6" s="92"/>
      <c r="T6" s="92" t="s">
        <v>167</v>
      </c>
    </row>
    <row r="7" spans="1:20" s="457" customFormat="1" ht="12.75" customHeight="1">
      <c r="A7" s="619" t="s">
        <v>29</v>
      </c>
      <c r="B7" s="660" t="s">
        <v>27</v>
      </c>
      <c r="C7" s="660"/>
      <c r="D7" s="167"/>
      <c r="E7" s="658"/>
      <c r="F7" s="658"/>
      <c r="G7" s="658"/>
      <c r="H7" s="168"/>
      <c r="I7" s="168"/>
      <c r="J7" s="168"/>
      <c r="K7" s="168"/>
      <c r="L7" s="168"/>
      <c r="M7" s="168"/>
      <c r="N7" s="168"/>
      <c r="O7" s="168"/>
      <c r="P7" s="168"/>
      <c r="Q7" s="168"/>
      <c r="R7" s="168"/>
      <c r="S7" s="571"/>
      <c r="T7" s="571"/>
    </row>
    <row r="8" spans="1:39" s="457" customFormat="1" ht="12.75" customHeight="1">
      <c r="A8" s="733">
        <f>(100*T2)+1</f>
        <v>1801</v>
      </c>
      <c r="B8" s="776"/>
      <c r="C8" s="557"/>
      <c r="D8" s="557"/>
      <c r="E8" s="511"/>
      <c r="F8" s="511"/>
      <c r="G8" s="884"/>
      <c r="H8" s="572"/>
      <c r="I8" s="572"/>
      <c r="J8" s="504"/>
      <c r="K8" s="504"/>
      <c r="L8" s="504"/>
      <c r="M8" s="504"/>
      <c r="N8" s="504"/>
      <c r="O8" s="504"/>
      <c r="P8" s="504"/>
      <c r="Q8" s="575">
        <f>H8-AB8</f>
        <v>0</v>
      </c>
      <c r="R8" s="575">
        <f>R55</f>
        <v>0</v>
      </c>
      <c r="S8" s="575">
        <f>R8*F8/100</f>
        <v>0</v>
      </c>
      <c r="T8" s="575">
        <f>IF(G8="n",S8,E8/100*R8)</f>
        <v>0</v>
      </c>
      <c r="U8" s="577">
        <f aca="true" t="shared" si="0" ref="U8:Z8">IF(K8&gt;0,1,0)</f>
        <v>0</v>
      </c>
      <c r="V8" s="577">
        <f t="shared" si="0"/>
        <v>0</v>
      </c>
      <c r="W8" s="577">
        <f t="shared" si="0"/>
        <v>0</v>
      </c>
      <c r="X8" s="577">
        <f t="shared" si="0"/>
        <v>0</v>
      </c>
      <c r="Y8" s="577">
        <f t="shared" si="0"/>
        <v>0</v>
      </c>
      <c r="Z8" s="577">
        <f t="shared" si="0"/>
        <v>0</v>
      </c>
      <c r="AA8" s="577">
        <f>SUM(U8:Z8)</f>
        <v>0</v>
      </c>
      <c r="AB8" s="577">
        <f>AA8*I8</f>
        <v>0</v>
      </c>
      <c r="AC8" s="1082"/>
      <c r="AD8"/>
      <c r="AE8"/>
      <c r="AF8"/>
      <c r="AG8"/>
      <c r="AH8"/>
      <c r="AI8"/>
      <c r="AJ8" s="576"/>
      <c r="AK8" s="576"/>
      <c r="AL8" s="576"/>
      <c r="AM8" s="576"/>
    </row>
    <row r="9" spans="1:39" s="457" customFormat="1" ht="12.75" customHeight="1">
      <c r="A9" s="733">
        <f>A8+1</f>
        <v>1802</v>
      </c>
      <c r="B9" s="776"/>
      <c r="C9" s="557"/>
      <c r="D9" s="557"/>
      <c r="E9" s="511"/>
      <c r="F9" s="556"/>
      <c r="G9" s="884"/>
      <c r="H9" s="572"/>
      <c r="I9" s="572"/>
      <c r="J9" s="504"/>
      <c r="K9" s="504"/>
      <c r="L9" s="504"/>
      <c r="M9" s="504"/>
      <c r="N9" s="504"/>
      <c r="O9" s="504"/>
      <c r="P9" s="504"/>
      <c r="Q9" s="575">
        <f aca="true" t="shared" si="1" ref="Q9:Q33">H9-AB9</f>
        <v>0</v>
      </c>
      <c r="R9" s="575">
        <f aca="true" t="shared" si="2" ref="R9:R42">R56</f>
        <v>0</v>
      </c>
      <c r="S9" s="575">
        <f>R9*F9/100</f>
        <v>0</v>
      </c>
      <c r="T9" s="575">
        <f aca="true" t="shared" si="3" ref="T9:T33">IF(G9="n",S9,E9/100*R9)</f>
        <v>0</v>
      </c>
      <c r="U9" s="577">
        <f aca="true" t="shared" si="4" ref="U9:U34">IF(K9&gt;0,1,0)</f>
        <v>0</v>
      </c>
      <c r="V9" s="577">
        <f aca="true" t="shared" si="5" ref="V9:V34">IF(L9&gt;0,1,0)</f>
        <v>0</v>
      </c>
      <c r="W9" s="577">
        <f aca="true" t="shared" si="6" ref="W9:W34">IF(M9&gt;0,1,0)</f>
        <v>0</v>
      </c>
      <c r="X9" s="577">
        <f aca="true" t="shared" si="7" ref="X9:X34">IF(N9&gt;0,1,0)</f>
        <v>0</v>
      </c>
      <c r="Y9" s="577">
        <f aca="true" t="shared" si="8" ref="Y9:Y34">IF(O9&gt;0,1,0)</f>
        <v>0</v>
      </c>
      <c r="Z9" s="577">
        <f aca="true" t="shared" si="9" ref="Z9:Z34">IF(P9&gt;0,1,0)</f>
        <v>0</v>
      </c>
      <c r="AA9" s="577">
        <f aca="true" t="shared" si="10" ref="AA9:AA34">SUM(U9:Z9)</f>
        <v>0</v>
      </c>
      <c r="AB9" s="577">
        <f aca="true" t="shared" si="11" ref="AB9:AB34">AA9*I9</f>
        <v>0</v>
      </c>
      <c r="AC9"/>
      <c r="AD9"/>
      <c r="AE9"/>
      <c r="AF9"/>
      <c r="AG9"/>
      <c r="AH9"/>
      <c r="AI9"/>
      <c r="AJ9" s="576"/>
      <c r="AK9" s="576"/>
      <c r="AL9" s="576"/>
      <c r="AM9" s="576"/>
    </row>
    <row r="10" spans="1:39" s="457" customFormat="1" ht="12.75" customHeight="1">
      <c r="A10" s="733">
        <f>A9+1</f>
        <v>1803</v>
      </c>
      <c r="B10" s="776"/>
      <c r="C10" s="557"/>
      <c r="D10" s="557"/>
      <c r="E10" s="511"/>
      <c r="F10" s="556"/>
      <c r="G10" s="884"/>
      <c r="H10" s="572"/>
      <c r="I10" s="572"/>
      <c r="J10" s="504"/>
      <c r="K10" s="504"/>
      <c r="L10" s="504"/>
      <c r="M10" s="504"/>
      <c r="N10" s="504"/>
      <c r="O10" s="504"/>
      <c r="P10" s="504"/>
      <c r="Q10" s="575">
        <f t="shared" si="1"/>
        <v>0</v>
      </c>
      <c r="R10" s="575">
        <f t="shared" si="2"/>
        <v>0</v>
      </c>
      <c r="S10" s="575">
        <f aca="true" t="shared" si="12" ref="S10:S33">R10*F10/100</f>
        <v>0</v>
      </c>
      <c r="T10" s="575">
        <f t="shared" si="3"/>
        <v>0</v>
      </c>
      <c r="U10" s="577">
        <f t="shared" si="4"/>
        <v>0</v>
      </c>
      <c r="V10" s="577">
        <f t="shared" si="5"/>
        <v>0</v>
      </c>
      <c r="W10" s="577">
        <f t="shared" si="6"/>
        <v>0</v>
      </c>
      <c r="X10" s="577">
        <f t="shared" si="7"/>
        <v>0</v>
      </c>
      <c r="Y10" s="577">
        <f t="shared" si="8"/>
        <v>0</v>
      </c>
      <c r="Z10" s="577">
        <f t="shared" si="9"/>
        <v>0</v>
      </c>
      <c r="AA10" s="577">
        <f t="shared" si="10"/>
        <v>0</v>
      </c>
      <c r="AB10" s="577">
        <f t="shared" si="11"/>
        <v>0</v>
      </c>
      <c r="AC10"/>
      <c r="AD10"/>
      <c r="AE10"/>
      <c r="AF10"/>
      <c r="AG10"/>
      <c r="AH10"/>
      <c r="AI10"/>
      <c r="AJ10" s="576"/>
      <c r="AK10" s="576"/>
      <c r="AL10" s="576"/>
      <c r="AM10" s="576"/>
    </row>
    <row r="11" spans="1:39" s="457" customFormat="1" ht="12.75" customHeight="1">
      <c r="A11" s="733">
        <f aca="true" t="shared" si="13" ref="A11:A17">A10+1</f>
        <v>1804</v>
      </c>
      <c r="B11" s="776"/>
      <c r="C11" s="557"/>
      <c r="D11" s="557"/>
      <c r="E11" s="511"/>
      <c r="F11" s="556"/>
      <c r="G11" s="884"/>
      <c r="H11" s="572"/>
      <c r="I11" s="572"/>
      <c r="J11" s="504"/>
      <c r="K11" s="504"/>
      <c r="L11" s="504"/>
      <c r="M11" s="504"/>
      <c r="N11" s="504"/>
      <c r="O11" s="504"/>
      <c r="P11" s="504"/>
      <c r="Q11" s="575">
        <f t="shared" si="1"/>
        <v>0</v>
      </c>
      <c r="R11" s="575">
        <f t="shared" si="2"/>
        <v>0</v>
      </c>
      <c r="S11" s="575">
        <f t="shared" si="12"/>
        <v>0</v>
      </c>
      <c r="T11" s="575">
        <f t="shared" si="3"/>
        <v>0</v>
      </c>
      <c r="U11" s="577">
        <f t="shared" si="4"/>
        <v>0</v>
      </c>
      <c r="V11" s="577">
        <f t="shared" si="5"/>
        <v>0</v>
      </c>
      <c r="W11" s="577">
        <f t="shared" si="6"/>
        <v>0</v>
      </c>
      <c r="X11" s="577">
        <f t="shared" si="7"/>
        <v>0</v>
      </c>
      <c r="Y11" s="577">
        <f t="shared" si="8"/>
        <v>0</v>
      </c>
      <c r="Z11" s="577">
        <f t="shared" si="9"/>
        <v>0</v>
      </c>
      <c r="AA11" s="577">
        <f t="shared" si="10"/>
        <v>0</v>
      </c>
      <c r="AB11" s="577">
        <f t="shared" si="11"/>
        <v>0</v>
      </c>
      <c r="AC11"/>
      <c r="AD11"/>
      <c r="AE11"/>
      <c r="AF11"/>
      <c r="AG11"/>
      <c r="AH11"/>
      <c r="AI11"/>
      <c r="AJ11" s="576"/>
      <c r="AK11" s="576"/>
      <c r="AL11" s="576"/>
      <c r="AM11" s="576"/>
    </row>
    <row r="12" spans="1:39" s="457" customFormat="1" ht="12.75" customHeight="1">
      <c r="A12" s="733">
        <f t="shared" si="13"/>
        <v>1805</v>
      </c>
      <c r="B12" s="776"/>
      <c r="C12" s="557"/>
      <c r="D12" s="557"/>
      <c r="E12" s="511"/>
      <c r="F12" s="556"/>
      <c r="G12" s="884"/>
      <c r="H12" s="572"/>
      <c r="I12" s="572"/>
      <c r="J12" s="504"/>
      <c r="K12" s="504"/>
      <c r="L12" s="504"/>
      <c r="M12" s="504"/>
      <c r="N12" s="504"/>
      <c r="O12" s="504"/>
      <c r="P12" s="504"/>
      <c r="Q12" s="575">
        <f t="shared" si="1"/>
        <v>0</v>
      </c>
      <c r="R12" s="575">
        <f t="shared" si="2"/>
        <v>0</v>
      </c>
      <c r="S12" s="575">
        <f t="shared" si="12"/>
        <v>0</v>
      </c>
      <c r="T12" s="575">
        <f t="shared" si="3"/>
        <v>0</v>
      </c>
      <c r="U12" s="577">
        <f t="shared" si="4"/>
        <v>0</v>
      </c>
      <c r="V12" s="577">
        <f t="shared" si="5"/>
        <v>0</v>
      </c>
      <c r="W12" s="577">
        <f t="shared" si="6"/>
        <v>0</v>
      </c>
      <c r="X12" s="577">
        <f t="shared" si="7"/>
        <v>0</v>
      </c>
      <c r="Y12" s="577">
        <f t="shared" si="8"/>
        <v>0</v>
      </c>
      <c r="Z12" s="577">
        <f t="shared" si="9"/>
        <v>0</v>
      </c>
      <c r="AA12" s="577">
        <f t="shared" si="10"/>
        <v>0</v>
      </c>
      <c r="AB12" s="577">
        <f t="shared" si="11"/>
        <v>0</v>
      </c>
      <c r="AC12"/>
      <c r="AD12"/>
      <c r="AE12"/>
      <c r="AF12"/>
      <c r="AG12"/>
      <c r="AH12"/>
      <c r="AI12"/>
      <c r="AJ12" s="576"/>
      <c r="AK12" s="576"/>
      <c r="AL12" s="576"/>
      <c r="AM12" s="576"/>
    </row>
    <row r="13" spans="1:39" s="457" customFormat="1" ht="12.75" customHeight="1">
      <c r="A13" s="733">
        <f t="shared" si="13"/>
        <v>1806</v>
      </c>
      <c r="B13" s="776"/>
      <c r="C13" s="557"/>
      <c r="D13" s="557"/>
      <c r="E13" s="511"/>
      <c r="F13" s="556"/>
      <c r="G13" s="884"/>
      <c r="H13" s="572"/>
      <c r="I13" s="572"/>
      <c r="J13" s="504"/>
      <c r="K13" s="504"/>
      <c r="L13" s="504"/>
      <c r="M13" s="504"/>
      <c r="N13" s="504"/>
      <c r="O13" s="504"/>
      <c r="P13" s="504"/>
      <c r="Q13" s="575">
        <f t="shared" si="1"/>
        <v>0</v>
      </c>
      <c r="R13" s="575">
        <f t="shared" si="2"/>
        <v>0</v>
      </c>
      <c r="S13" s="575">
        <f t="shared" si="12"/>
        <v>0</v>
      </c>
      <c r="T13" s="575">
        <f t="shared" si="3"/>
        <v>0</v>
      </c>
      <c r="U13" s="577">
        <f t="shared" si="4"/>
        <v>0</v>
      </c>
      <c r="V13" s="577">
        <f t="shared" si="5"/>
        <v>0</v>
      </c>
      <c r="W13" s="577">
        <f t="shared" si="6"/>
        <v>0</v>
      </c>
      <c r="X13" s="577">
        <f t="shared" si="7"/>
        <v>0</v>
      </c>
      <c r="Y13" s="577">
        <f t="shared" si="8"/>
        <v>0</v>
      </c>
      <c r="Z13" s="577">
        <f t="shared" si="9"/>
        <v>0</v>
      </c>
      <c r="AA13" s="577">
        <f t="shared" si="10"/>
        <v>0</v>
      </c>
      <c r="AB13" s="577">
        <f t="shared" si="11"/>
        <v>0</v>
      </c>
      <c r="AC13"/>
      <c r="AD13"/>
      <c r="AE13"/>
      <c r="AF13"/>
      <c r="AG13"/>
      <c r="AH13"/>
      <c r="AI13"/>
      <c r="AJ13" s="576"/>
      <c r="AK13" s="576"/>
      <c r="AL13" s="576"/>
      <c r="AM13" s="576"/>
    </row>
    <row r="14" spans="1:39" s="457" customFormat="1" ht="12.75" customHeight="1">
      <c r="A14" s="733">
        <f t="shared" si="13"/>
        <v>1807</v>
      </c>
      <c r="B14" s="776"/>
      <c r="C14" s="557"/>
      <c r="D14" s="557"/>
      <c r="E14" s="511"/>
      <c r="F14" s="556"/>
      <c r="G14" s="884"/>
      <c r="H14" s="572"/>
      <c r="I14" s="572"/>
      <c r="J14" s="504"/>
      <c r="K14" s="504"/>
      <c r="L14" s="504"/>
      <c r="M14" s="504"/>
      <c r="N14" s="504"/>
      <c r="O14" s="504"/>
      <c r="P14" s="504"/>
      <c r="Q14" s="575">
        <f t="shared" si="1"/>
        <v>0</v>
      </c>
      <c r="R14" s="575">
        <f t="shared" si="2"/>
        <v>0</v>
      </c>
      <c r="S14" s="575">
        <f t="shared" si="12"/>
        <v>0</v>
      </c>
      <c r="T14" s="575">
        <f t="shared" si="3"/>
        <v>0</v>
      </c>
      <c r="U14" s="577">
        <f t="shared" si="4"/>
        <v>0</v>
      </c>
      <c r="V14" s="577">
        <f t="shared" si="5"/>
        <v>0</v>
      </c>
      <c r="W14" s="577">
        <f t="shared" si="6"/>
        <v>0</v>
      </c>
      <c r="X14" s="577">
        <f t="shared" si="7"/>
        <v>0</v>
      </c>
      <c r="Y14" s="577">
        <f t="shared" si="8"/>
        <v>0</v>
      </c>
      <c r="Z14" s="577">
        <f t="shared" si="9"/>
        <v>0</v>
      </c>
      <c r="AA14" s="577">
        <f t="shared" si="10"/>
        <v>0</v>
      </c>
      <c r="AB14" s="577">
        <f t="shared" si="11"/>
        <v>0</v>
      </c>
      <c r="AC14"/>
      <c r="AD14"/>
      <c r="AE14"/>
      <c r="AF14"/>
      <c r="AG14"/>
      <c r="AH14"/>
      <c r="AI14"/>
      <c r="AJ14" s="576"/>
      <c r="AK14" s="576"/>
      <c r="AL14" s="576"/>
      <c r="AM14" s="576"/>
    </row>
    <row r="15" spans="1:39" s="457" customFormat="1" ht="12.75" customHeight="1">
      <c r="A15" s="733">
        <f t="shared" si="13"/>
        <v>1808</v>
      </c>
      <c r="B15" s="776"/>
      <c r="C15" s="557"/>
      <c r="D15" s="557"/>
      <c r="E15" s="511"/>
      <c r="F15" s="556"/>
      <c r="G15" s="884"/>
      <c r="H15" s="572"/>
      <c r="I15" s="572"/>
      <c r="J15" s="504"/>
      <c r="K15" s="504"/>
      <c r="L15" s="504"/>
      <c r="M15" s="504"/>
      <c r="N15" s="504"/>
      <c r="O15" s="504"/>
      <c r="P15" s="504"/>
      <c r="Q15" s="575">
        <f t="shared" si="1"/>
        <v>0</v>
      </c>
      <c r="R15" s="575">
        <f t="shared" si="2"/>
        <v>0</v>
      </c>
      <c r="S15" s="575">
        <f t="shared" si="12"/>
        <v>0</v>
      </c>
      <c r="T15" s="575">
        <f t="shared" si="3"/>
        <v>0</v>
      </c>
      <c r="U15" s="577">
        <f t="shared" si="4"/>
        <v>0</v>
      </c>
      <c r="V15" s="577">
        <f t="shared" si="5"/>
        <v>0</v>
      </c>
      <c r="W15" s="577">
        <f t="shared" si="6"/>
        <v>0</v>
      </c>
      <c r="X15" s="577">
        <f t="shared" si="7"/>
        <v>0</v>
      </c>
      <c r="Y15" s="577">
        <f t="shared" si="8"/>
        <v>0</v>
      </c>
      <c r="Z15" s="577">
        <f t="shared" si="9"/>
        <v>0</v>
      </c>
      <c r="AA15" s="577">
        <f t="shared" si="10"/>
        <v>0</v>
      </c>
      <c r="AB15" s="577">
        <f t="shared" si="11"/>
        <v>0</v>
      </c>
      <c r="AC15"/>
      <c r="AD15"/>
      <c r="AE15"/>
      <c r="AF15"/>
      <c r="AG15"/>
      <c r="AH15"/>
      <c r="AI15"/>
      <c r="AJ15" s="576"/>
      <c r="AK15" s="576"/>
      <c r="AL15" s="576"/>
      <c r="AM15" s="576"/>
    </row>
    <row r="16" spans="1:39" s="457" customFormat="1" ht="12.75" customHeight="1">
      <c r="A16" s="733">
        <f t="shared" si="13"/>
        <v>1809</v>
      </c>
      <c r="B16" s="776"/>
      <c r="C16" s="557"/>
      <c r="D16" s="557"/>
      <c r="E16" s="511"/>
      <c r="F16" s="556"/>
      <c r="G16" s="884"/>
      <c r="H16" s="572"/>
      <c r="I16" s="572"/>
      <c r="J16" s="504"/>
      <c r="K16" s="504"/>
      <c r="L16" s="504"/>
      <c r="M16" s="504"/>
      <c r="N16" s="504"/>
      <c r="O16" s="504"/>
      <c r="P16" s="504"/>
      <c r="Q16" s="575">
        <f t="shared" si="1"/>
        <v>0</v>
      </c>
      <c r="R16" s="575">
        <f t="shared" si="2"/>
        <v>0</v>
      </c>
      <c r="S16" s="575">
        <f t="shared" si="12"/>
        <v>0</v>
      </c>
      <c r="T16" s="575">
        <f t="shared" si="3"/>
        <v>0</v>
      </c>
      <c r="U16" s="577">
        <f t="shared" si="4"/>
        <v>0</v>
      </c>
      <c r="V16" s="577">
        <f t="shared" si="5"/>
        <v>0</v>
      </c>
      <c r="W16" s="577">
        <f t="shared" si="6"/>
        <v>0</v>
      </c>
      <c r="X16" s="577">
        <f t="shared" si="7"/>
        <v>0</v>
      </c>
      <c r="Y16" s="577">
        <f t="shared" si="8"/>
        <v>0</v>
      </c>
      <c r="Z16" s="577">
        <f t="shared" si="9"/>
        <v>0</v>
      </c>
      <c r="AA16" s="577">
        <f t="shared" si="10"/>
        <v>0</v>
      </c>
      <c r="AB16" s="577">
        <f t="shared" si="11"/>
        <v>0</v>
      </c>
      <c r="AC16"/>
      <c r="AD16"/>
      <c r="AE16"/>
      <c r="AF16"/>
      <c r="AG16"/>
      <c r="AH16"/>
      <c r="AI16"/>
      <c r="AJ16" s="576"/>
      <c r="AK16" s="576"/>
      <c r="AL16" s="576"/>
      <c r="AM16" s="576"/>
    </row>
    <row r="17" spans="1:39" s="457" customFormat="1" ht="12.75" customHeight="1">
      <c r="A17" s="733">
        <f t="shared" si="13"/>
        <v>1810</v>
      </c>
      <c r="B17" s="776"/>
      <c r="C17" s="557"/>
      <c r="D17" s="557"/>
      <c r="E17" s="511"/>
      <c r="F17" s="556"/>
      <c r="G17" s="884"/>
      <c r="H17" s="572"/>
      <c r="I17" s="572"/>
      <c r="J17" s="504"/>
      <c r="K17" s="504"/>
      <c r="L17" s="504"/>
      <c r="M17" s="504"/>
      <c r="N17" s="504"/>
      <c r="O17" s="504"/>
      <c r="P17" s="504"/>
      <c r="Q17" s="575">
        <f t="shared" si="1"/>
        <v>0</v>
      </c>
      <c r="R17" s="575">
        <f t="shared" si="2"/>
        <v>0</v>
      </c>
      <c r="S17" s="575">
        <f t="shared" si="12"/>
        <v>0</v>
      </c>
      <c r="T17" s="575">
        <f t="shared" si="3"/>
        <v>0</v>
      </c>
      <c r="U17" s="577">
        <f t="shared" si="4"/>
        <v>0</v>
      </c>
      <c r="V17" s="577">
        <f t="shared" si="5"/>
        <v>0</v>
      </c>
      <c r="W17" s="577">
        <f t="shared" si="6"/>
        <v>0</v>
      </c>
      <c r="X17" s="577">
        <f t="shared" si="7"/>
        <v>0</v>
      </c>
      <c r="Y17" s="577">
        <f t="shared" si="8"/>
        <v>0</v>
      </c>
      <c r="Z17" s="577">
        <f t="shared" si="9"/>
        <v>0</v>
      </c>
      <c r="AA17" s="577">
        <f t="shared" si="10"/>
        <v>0</v>
      </c>
      <c r="AB17" s="577">
        <f t="shared" si="11"/>
        <v>0</v>
      </c>
      <c r="AC17"/>
      <c r="AD17"/>
      <c r="AE17"/>
      <c r="AF17"/>
      <c r="AG17"/>
      <c r="AH17"/>
      <c r="AI17"/>
      <c r="AJ17" s="576"/>
      <c r="AK17" s="576"/>
      <c r="AL17" s="576"/>
      <c r="AM17" s="576"/>
    </row>
    <row r="18" spans="1:39" s="457" customFormat="1" ht="12.75" customHeight="1">
      <c r="A18" s="733">
        <f aca="true" t="shared" si="14" ref="A18:A23">A17+1</f>
        <v>1811</v>
      </c>
      <c r="B18" s="776"/>
      <c r="C18" s="557"/>
      <c r="D18" s="557"/>
      <c r="E18" s="511"/>
      <c r="F18" s="556"/>
      <c r="G18" s="884"/>
      <c r="H18" s="572"/>
      <c r="I18" s="572"/>
      <c r="J18" s="504"/>
      <c r="K18" s="504"/>
      <c r="L18" s="504"/>
      <c r="M18" s="504"/>
      <c r="N18" s="504"/>
      <c r="O18" s="504"/>
      <c r="P18" s="504"/>
      <c r="Q18" s="575">
        <f t="shared" si="1"/>
        <v>0</v>
      </c>
      <c r="R18" s="575">
        <f t="shared" si="2"/>
        <v>0</v>
      </c>
      <c r="S18" s="575">
        <f t="shared" si="12"/>
        <v>0</v>
      </c>
      <c r="T18" s="575">
        <f t="shared" si="3"/>
        <v>0</v>
      </c>
      <c r="U18" s="577">
        <f t="shared" si="4"/>
        <v>0</v>
      </c>
      <c r="V18" s="577">
        <f t="shared" si="5"/>
        <v>0</v>
      </c>
      <c r="W18" s="577">
        <f t="shared" si="6"/>
        <v>0</v>
      </c>
      <c r="X18" s="577">
        <f t="shared" si="7"/>
        <v>0</v>
      </c>
      <c r="Y18" s="577">
        <f t="shared" si="8"/>
        <v>0</v>
      </c>
      <c r="Z18" s="577">
        <f t="shared" si="9"/>
        <v>0</v>
      </c>
      <c r="AA18" s="577">
        <f t="shared" si="10"/>
        <v>0</v>
      </c>
      <c r="AB18" s="577">
        <f t="shared" si="11"/>
        <v>0</v>
      </c>
      <c r="AC18"/>
      <c r="AD18"/>
      <c r="AE18"/>
      <c r="AF18"/>
      <c r="AG18"/>
      <c r="AH18"/>
      <c r="AI18"/>
      <c r="AJ18" s="576"/>
      <c r="AK18" s="576"/>
      <c r="AL18" s="576"/>
      <c r="AM18" s="576"/>
    </row>
    <row r="19" spans="1:39" s="457" customFormat="1" ht="12.75" customHeight="1">
      <c r="A19" s="733">
        <f t="shared" si="14"/>
        <v>1812</v>
      </c>
      <c r="B19" s="776"/>
      <c r="C19" s="557"/>
      <c r="D19" s="557"/>
      <c r="E19" s="511"/>
      <c r="F19" s="556"/>
      <c r="G19" s="884"/>
      <c r="H19" s="572"/>
      <c r="I19" s="572"/>
      <c r="J19" s="504"/>
      <c r="K19" s="504"/>
      <c r="L19" s="504"/>
      <c r="M19" s="504"/>
      <c r="N19" s="504"/>
      <c r="O19" s="504"/>
      <c r="P19" s="504"/>
      <c r="Q19" s="575">
        <f t="shared" si="1"/>
        <v>0</v>
      </c>
      <c r="R19" s="575">
        <f t="shared" si="2"/>
        <v>0</v>
      </c>
      <c r="S19" s="575">
        <f t="shared" si="12"/>
        <v>0</v>
      </c>
      <c r="T19" s="575">
        <f t="shared" si="3"/>
        <v>0</v>
      </c>
      <c r="U19" s="577">
        <f t="shared" si="4"/>
        <v>0</v>
      </c>
      <c r="V19" s="577">
        <f t="shared" si="5"/>
        <v>0</v>
      </c>
      <c r="W19" s="577">
        <f t="shared" si="6"/>
        <v>0</v>
      </c>
      <c r="X19" s="577">
        <f t="shared" si="7"/>
        <v>0</v>
      </c>
      <c r="Y19" s="577">
        <f t="shared" si="8"/>
        <v>0</v>
      </c>
      <c r="Z19" s="577">
        <f t="shared" si="9"/>
        <v>0</v>
      </c>
      <c r="AA19" s="577">
        <f t="shared" si="10"/>
        <v>0</v>
      </c>
      <c r="AB19" s="577">
        <f t="shared" si="11"/>
        <v>0</v>
      </c>
      <c r="AC19"/>
      <c r="AD19"/>
      <c r="AE19"/>
      <c r="AF19"/>
      <c r="AG19"/>
      <c r="AH19"/>
      <c r="AI19"/>
      <c r="AJ19" s="576"/>
      <c r="AK19" s="576"/>
      <c r="AL19" s="576"/>
      <c r="AM19" s="576"/>
    </row>
    <row r="20" spans="1:39" s="457" customFormat="1" ht="12.75" customHeight="1">
      <c r="A20" s="733">
        <f t="shared" si="14"/>
        <v>1813</v>
      </c>
      <c r="B20" s="776"/>
      <c r="C20" s="557"/>
      <c r="D20" s="557"/>
      <c r="E20" s="511"/>
      <c r="F20" s="556"/>
      <c r="G20" s="884"/>
      <c r="H20" s="572"/>
      <c r="I20" s="572"/>
      <c r="J20" s="504"/>
      <c r="K20" s="504"/>
      <c r="L20" s="504"/>
      <c r="M20" s="504"/>
      <c r="N20" s="504"/>
      <c r="O20" s="504"/>
      <c r="P20" s="504"/>
      <c r="Q20" s="575">
        <f t="shared" si="1"/>
        <v>0</v>
      </c>
      <c r="R20" s="575">
        <f t="shared" si="2"/>
        <v>0</v>
      </c>
      <c r="S20" s="575">
        <f t="shared" si="12"/>
        <v>0</v>
      </c>
      <c r="T20" s="575">
        <f t="shared" si="3"/>
        <v>0</v>
      </c>
      <c r="U20" s="577">
        <f t="shared" si="4"/>
        <v>0</v>
      </c>
      <c r="V20" s="577">
        <f t="shared" si="5"/>
        <v>0</v>
      </c>
      <c r="W20" s="577">
        <f t="shared" si="6"/>
        <v>0</v>
      </c>
      <c r="X20" s="577">
        <f t="shared" si="7"/>
        <v>0</v>
      </c>
      <c r="Y20" s="577">
        <f t="shared" si="8"/>
        <v>0</v>
      </c>
      <c r="Z20" s="577">
        <f t="shared" si="9"/>
        <v>0</v>
      </c>
      <c r="AA20" s="577">
        <f t="shared" si="10"/>
        <v>0</v>
      </c>
      <c r="AB20" s="577">
        <f t="shared" si="11"/>
        <v>0</v>
      </c>
      <c r="AC20"/>
      <c r="AD20"/>
      <c r="AE20"/>
      <c r="AF20"/>
      <c r="AG20"/>
      <c r="AH20"/>
      <c r="AI20"/>
      <c r="AJ20" s="576"/>
      <c r="AK20" s="576"/>
      <c r="AL20" s="576"/>
      <c r="AM20" s="576"/>
    </row>
    <row r="21" spans="1:39" s="457" customFormat="1" ht="12.75" customHeight="1">
      <c r="A21" s="733">
        <f t="shared" si="14"/>
        <v>1814</v>
      </c>
      <c r="B21" s="776"/>
      <c r="C21" s="557"/>
      <c r="D21" s="557"/>
      <c r="E21" s="511"/>
      <c r="F21" s="556"/>
      <c r="G21" s="884"/>
      <c r="H21" s="572"/>
      <c r="I21" s="572"/>
      <c r="J21" s="504"/>
      <c r="K21" s="504"/>
      <c r="L21" s="504"/>
      <c r="M21" s="504"/>
      <c r="N21" s="504"/>
      <c r="O21" s="504"/>
      <c r="P21" s="504"/>
      <c r="Q21" s="575">
        <f t="shared" si="1"/>
        <v>0</v>
      </c>
      <c r="R21" s="575">
        <f t="shared" si="2"/>
        <v>0</v>
      </c>
      <c r="S21" s="575">
        <f t="shared" si="12"/>
        <v>0</v>
      </c>
      <c r="T21" s="575">
        <f t="shared" si="3"/>
        <v>0</v>
      </c>
      <c r="U21" s="577">
        <f t="shared" si="4"/>
        <v>0</v>
      </c>
      <c r="V21" s="577">
        <f t="shared" si="5"/>
        <v>0</v>
      </c>
      <c r="W21" s="577">
        <f t="shared" si="6"/>
        <v>0</v>
      </c>
      <c r="X21" s="577">
        <f t="shared" si="7"/>
        <v>0</v>
      </c>
      <c r="Y21" s="577">
        <f t="shared" si="8"/>
        <v>0</v>
      </c>
      <c r="Z21" s="577">
        <f t="shared" si="9"/>
        <v>0</v>
      </c>
      <c r="AA21" s="577">
        <f t="shared" si="10"/>
        <v>0</v>
      </c>
      <c r="AB21" s="577">
        <f t="shared" si="11"/>
        <v>0</v>
      </c>
      <c r="AC21"/>
      <c r="AD21"/>
      <c r="AE21"/>
      <c r="AF21"/>
      <c r="AG21"/>
      <c r="AH21"/>
      <c r="AI21"/>
      <c r="AJ21" s="576"/>
      <c r="AK21" s="576"/>
      <c r="AL21" s="576"/>
      <c r="AM21" s="576"/>
    </row>
    <row r="22" spans="1:39" s="457" customFormat="1" ht="12.75" customHeight="1">
      <c r="A22" s="733">
        <f t="shared" si="14"/>
        <v>1815</v>
      </c>
      <c r="B22" s="776"/>
      <c r="C22" s="557"/>
      <c r="D22" s="557"/>
      <c r="E22" s="511"/>
      <c r="F22" s="556"/>
      <c r="G22" s="884"/>
      <c r="H22" s="572"/>
      <c r="I22" s="572"/>
      <c r="J22" s="504"/>
      <c r="K22" s="504"/>
      <c r="L22" s="504"/>
      <c r="M22" s="504"/>
      <c r="N22" s="504"/>
      <c r="O22" s="504"/>
      <c r="P22" s="504"/>
      <c r="Q22" s="575">
        <f t="shared" si="1"/>
        <v>0</v>
      </c>
      <c r="R22" s="575">
        <f t="shared" si="2"/>
        <v>0</v>
      </c>
      <c r="S22" s="575">
        <f t="shared" si="12"/>
        <v>0</v>
      </c>
      <c r="T22" s="575">
        <f t="shared" si="3"/>
        <v>0</v>
      </c>
      <c r="U22" s="577">
        <f t="shared" si="4"/>
        <v>0</v>
      </c>
      <c r="V22" s="577">
        <f t="shared" si="5"/>
        <v>0</v>
      </c>
      <c r="W22" s="577">
        <f t="shared" si="6"/>
        <v>0</v>
      </c>
      <c r="X22" s="577">
        <f t="shared" si="7"/>
        <v>0</v>
      </c>
      <c r="Y22" s="577">
        <f t="shared" si="8"/>
        <v>0</v>
      </c>
      <c r="Z22" s="577">
        <f t="shared" si="9"/>
        <v>0</v>
      </c>
      <c r="AA22" s="577">
        <f t="shared" si="10"/>
        <v>0</v>
      </c>
      <c r="AB22" s="577">
        <f t="shared" si="11"/>
        <v>0</v>
      </c>
      <c r="AC22"/>
      <c r="AD22"/>
      <c r="AE22"/>
      <c r="AF22"/>
      <c r="AG22"/>
      <c r="AH22"/>
      <c r="AI22"/>
      <c r="AJ22" s="576"/>
      <c r="AK22" s="576"/>
      <c r="AL22" s="576"/>
      <c r="AM22" s="576"/>
    </row>
    <row r="23" spans="1:39" s="457" customFormat="1" ht="12.75" customHeight="1">
      <c r="A23" s="733">
        <f t="shared" si="14"/>
        <v>1816</v>
      </c>
      <c r="B23" s="776"/>
      <c r="C23" s="557"/>
      <c r="D23" s="557"/>
      <c r="E23" s="511"/>
      <c r="F23" s="556"/>
      <c r="G23" s="884"/>
      <c r="H23" s="572"/>
      <c r="I23" s="572"/>
      <c r="J23" s="504"/>
      <c r="K23" s="504"/>
      <c r="L23" s="504"/>
      <c r="M23" s="504"/>
      <c r="N23" s="504"/>
      <c r="O23" s="504"/>
      <c r="P23" s="504"/>
      <c r="Q23" s="575">
        <f t="shared" si="1"/>
        <v>0</v>
      </c>
      <c r="R23" s="575">
        <f t="shared" si="2"/>
        <v>0</v>
      </c>
      <c r="S23" s="575">
        <f t="shared" si="12"/>
        <v>0</v>
      </c>
      <c r="T23" s="575">
        <f t="shared" si="3"/>
        <v>0</v>
      </c>
      <c r="U23" s="577">
        <f t="shared" si="4"/>
        <v>0</v>
      </c>
      <c r="V23" s="577">
        <f t="shared" si="5"/>
        <v>0</v>
      </c>
      <c r="W23" s="577">
        <f t="shared" si="6"/>
        <v>0</v>
      </c>
      <c r="X23" s="577">
        <f t="shared" si="7"/>
        <v>0</v>
      </c>
      <c r="Y23" s="577">
        <f t="shared" si="8"/>
        <v>0</v>
      </c>
      <c r="Z23" s="577">
        <f t="shared" si="9"/>
        <v>0</v>
      </c>
      <c r="AA23" s="577">
        <f t="shared" si="10"/>
        <v>0</v>
      </c>
      <c r="AB23" s="577">
        <f t="shared" si="11"/>
        <v>0</v>
      </c>
      <c r="AC23"/>
      <c r="AD23"/>
      <c r="AE23"/>
      <c r="AF23"/>
      <c r="AG23"/>
      <c r="AH23"/>
      <c r="AI23"/>
      <c r="AJ23" s="576"/>
      <c r="AK23" s="576"/>
      <c r="AL23" s="576"/>
      <c r="AM23" s="576"/>
    </row>
    <row r="24" spans="1:39" s="457" customFormat="1" ht="12.75" customHeight="1">
      <c r="A24" s="733">
        <f aca="true" t="shared" si="15" ref="A24:A42">A23+1</f>
        <v>1817</v>
      </c>
      <c r="B24" s="776"/>
      <c r="C24" s="557"/>
      <c r="D24" s="557"/>
      <c r="E24" s="511"/>
      <c r="F24" s="556"/>
      <c r="G24" s="884"/>
      <c r="H24" s="572"/>
      <c r="I24" s="572"/>
      <c r="J24" s="504"/>
      <c r="K24" s="504"/>
      <c r="L24" s="504"/>
      <c r="M24" s="504"/>
      <c r="N24" s="504"/>
      <c r="O24" s="504"/>
      <c r="P24" s="504"/>
      <c r="Q24" s="575">
        <f t="shared" si="1"/>
        <v>0</v>
      </c>
      <c r="R24" s="575">
        <f t="shared" si="2"/>
        <v>0</v>
      </c>
      <c r="S24" s="575">
        <f t="shared" si="12"/>
        <v>0</v>
      </c>
      <c r="T24" s="575">
        <f t="shared" si="3"/>
        <v>0</v>
      </c>
      <c r="U24" s="577">
        <f t="shared" si="4"/>
        <v>0</v>
      </c>
      <c r="V24" s="577">
        <f t="shared" si="5"/>
        <v>0</v>
      </c>
      <c r="W24" s="577">
        <f t="shared" si="6"/>
        <v>0</v>
      </c>
      <c r="X24" s="577">
        <f t="shared" si="7"/>
        <v>0</v>
      </c>
      <c r="Y24" s="577">
        <f t="shared" si="8"/>
        <v>0</v>
      </c>
      <c r="Z24" s="577">
        <f t="shared" si="9"/>
        <v>0</v>
      </c>
      <c r="AA24" s="577">
        <f t="shared" si="10"/>
        <v>0</v>
      </c>
      <c r="AB24" s="577">
        <f t="shared" si="11"/>
        <v>0</v>
      </c>
      <c r="AC24"/>
      <c r="AD24"/>
      <c r="AE24"/>
      <c r="AF24"/>
      <c r="AG24"/>
      <c r="AH24"/>
      <c r="AI24"/>
      <c r="AJ24" s="576"/>
      <c r="AK24" s="576"/>
      <c r="AL24" s="576"/>
      <c r="AM24" s="576"/>
    </row>
    <row r="25" spans="1:39" s="457" customFormat="1" ht="12.75" customHeight="1">
      <c r="A25" s="733">
        <f t="shared" si="15"/>
        <v>1818</v>
      </c>
      <c r="B25" s="776"/>
      <c r="C25" s="557"/>
      <c r="D25" s="557"/>
      <c r="E25" s="511"/>
      <c r="F25" s="556"/>
      <c r="G25" s="884"/>
      <c r="H25" s="572"/>
      <c r="I25" s="572"/>
      <c r="J25" s="504"/>
      <c r="K25" s="504"/>
      <c r="L25" s="504"/>
      <c r="M25" s="504"/>
      <c r="N25" s="504"/>
      <c r="O25" s="504"/>
      <c r="P25" s="504"/>
      <c r="Q25" s="575">
        <f t="shared" si="1"/>
        <v>0</v>
      </c>
      <c r="R25" s="575">
        <f t="shared" si="2"/>
        <v>0</v>
      </c>
      <c r="S25" s="575">
        <f t="shared" si="12"/>
        <v>0</v>
      </c>
      <c r="T25" s="575">
        <f t="shared" si="3"/>
        <v>0</v>
      </c>
      <c r="U25" s="577">
        <f t="shared" si="4"/>
        <v>0</v>
      </c>
      <c r="V25" s="577">
        <f t="shared" si="5"/>
        <v>0</v>
      </c>
      <c r="W25" s="577">
        <f t="shared" si="6"/>
        <v>0</v>
      </c>
      <c r="X25" s="577">
        <f t="shared" si="7"/>
        <v>0</v>
      </c>
      <c r="Y25" s="577">
        <f t="shared" si="8"/>
        <v>0</v>
      </c>
      <c r="Z25" s="577">
        <f t="shared" si="9"/>
        <v>0</v>
      </c>
      <c r="AA25" s="577">
        <f t="shared" si="10"/>
        <v>0</v>
      </c>
      <c r="AB25" s="577">
        <f t="shared" si="11"/>
        <v>0</v>
      </c>
      <c r="AC25"/>
      <c r="AD25"/>
      <c r="AE25"/>
      <c r="AF25"/>
      <c r="AG25"/>
      <c r="AH25"/>
      <c r="AI25"/>
      <c r="AJ25" s="576"/>
      <c r="AK25" s="576"/>
      <c r="AL25" s="576"/>
      <c r="AM25" s="576"/>
    </row>
    <row r="26" spans="1:39" s="457" customFormat="1" ht="12.75" customHeight="1">
      <c r="A26" s="733">
        <f t="shared" si="15"/>
        <v>1819</v>
      </c>
      <c r="B26" s="776"/>
      <c r="C26" s="557"/>
      <c r="D26" s="557"/>
      <c r="E26" s="511"/>
      <c r="F26" s="556"/>
      <c r="G26" s="884"/>
      <c r="H26" s="572"/>
      <c r="I26" s="572"/>
      <c r="J26" s="504"/>
      <c r="K26" s="504"/>
      <c r="L26" s="504"/>
      <c r="M26" s="504"/>
      <c r="N26" s="504"/>
      <c r="O26" s="504"/>
      <c r="P26" s="504"/>
      <c r="Q26" s="575">
        <f t="shared" si="1"/>
        <v>0</v>
      </c>
      <c r="R26" s="575">
        <f t="shared" si="2"/>
        <v>0</v>
      </c>
      <c r="S26" s="575">
        <f t="shared" si="12"/>
        <v>0</v>
      </c>
      <c r="T26" s="575">
        <f t="shared" si="3"/>
        <v>0</v>
      </c>
      <c r="U26" s="577">
        <f t="shared" si="4"/>
        <v>0</v>
      </c>
      <c r="V26" s="577">
        <f t="shared" si="5"/>
        <v>0</v>
      </c>
      <c r="W26" s="577">
        <f t="shared" si="6"/>
        <v>0</v>
      </c>
      <c r="X26" s="577">
        <f t="shared" si="7"/>
        <v>0</v>
      </c>
      <c r="Y26" s="577">
        <f t="shared" si="8"/>
        <v>0</v>
      </c>
      <c r="Z26" s="577">
        <f t="shared" si="9"/>
        <v>0</v>
      </c>
      <c r="AA26" s="577">
        <f t="shared" si="10"/>
        <v>0</v>
      </c>
      <c r="AB26" s="577">
        <f t="shared" si="11"/>
        <v>0</v>
      </c>
      <c r="AC26"/>
      <c r="AD26"/>
      <c r="AE26"/>
      <c r="AF26"/>
      <c r="AG26"/>
      <c r="AH26"/>
      <c r="AI26"/>
      <c r="AJ26" s="576"/>
      <c r="AK26" s="576"/>
      <c r="AL26" s="576"/>
      <c r="AM26" s="576"/>
    </row>
    <row r="27" spans="1:39" s="457" customFormat="1" ht="12.75" customHeight="1">
      <c r="A27" s="733">
        <f t="shared" si="15"/>
        <v>1820</v>
      </c>
      <c r="B27" s="776"/>
      <c r="C27" s="557"/>
      <c r="D27" s="557"/>
      <c r="E27" s="511"/>
      <c r="F27" s="556"/>
      <c r="G27" s="884"/>
      <c r="H27" s="572"/>
      <c r="I27" s="572"/>
      <c r="J27" s="504"/>
      <c r="K27" s="504"/>
      <c r="L27" s="504"/>
      <c r="M27" s="504"/>
      <c r="N27" s="504"/>
      <c r="O27" s="504"/>
      <c r="P27" s="504"/>
      <c r="Q27" s="575">
        <f t="shared" si="1"/>
        <v>0</v>
      </c>
      <c r="R27" s="575">
        <f t="shared" si="2"/>
        <v>0</v>
      </c>
      <c r="S27" s="575">
        <f t="shared" si="12"/>
        <v>0</v>
      </c>
      <c r="T27" s="575">
        <f t="shared" si="3"/>
        <v>0</v>
      </c>
      <c r="U27" s="577">
        <f t="shared" si="4"/>
        <v>0</v>
      </c>
      <c r="V27" s="577">
        <f t="shared" si="5"/>
        <v>0</v>
      </c>
      <c r="W27" s="577">
        <f t="shared" si="6"/>
        <v>0</v>
      </c>
      <c r="X27" s="577">
        <f t="shared" si="7"/>
        <v>0</v>
      </c>
      <c r="Y27" s="577">
        <f t="shared" si="8"/>
        <v>0</v>
      </c>
      <c r="Z27" s="577">
        <f t="shared" si="9"/>
        <v>0</v>
      </c>
      <c r="AA27" s="577">
        <f t="shared" si="10"/>
        <v>0</v>
      </c>
      <c r="AB27" s="577">
        <f t="shared" si="11"/>
        <v>0</v>
      </c>
      <c r="AC27"/>
      <c r="AD27"/>
      <c r="AE27"/>
      <c r="AF27"/>
      <c r="AG27"/>
      <c r="AH27"/>
      <c r="AI27"/>
      <c r="AJ27" s="576"/>
      <c r="AK27" s="576"/>
      <c r="AL27" s="576"/>
      <c r="AM27" s="576"/>
    </row>
    <row r="28" spans="1:39" s="457" customFormat="1" ht="12.75" customHeight="1">
      <c r="A28" s="733">
        <f t="shared" si="15"/>
        <v>1821</v>
      </c>
      <c r="B28" s="776"/>
      <c r="C28" s="557"/>
      <c r="D28" s="557"/>
      <c r="E28" s="511"/>
      <c r="F28" s="556"/>
      <c r="G28" s="884"/>
      <c r="H28" s="572"/>
      <c r="I28" s="572"/>
      <c r="J28" s="504"/>
      <c r="K28" s="504"/>
      <c r="L28" s="504"/>
      <c r="M28" s="504"/>
      <c r="N28" s="504"/>
      <c r="O28" s="504"/>
      <c r="P28" s="504"/>
      <c r="Q28" s="575">
        <f t="shared" si="1"/>
        <v>0</v>
      </c>
      <c r="R28" s="575">
        <f t="shared" si="2"/>
        <v>0</v>
      </c>
      <c r="S28" s="575">
        <f t="shared" si="12"/>
        <v>0</v>
      </c>
      <c r="T28" s="575">
        <f t="shared" si="3"/>
        <v>0</v>
      </c>
      <c r="U28" s="577">
        <f t="shared" si="4"/>
        <v>0</v>
      </c>
      <c r="V28" s="577">
        <f t="shared" si="5"/>
        <v>0</v>
      </c>
      <c r="W28" s="577">
        <f t="shared" si="6"/>
        <v>0</v>
      </c>
      <c r="X28" s="577">
        <f t="shared" si="7"/>
        <v>0</v>
      </c>
      <c r="Y28" s="577">
        <f t="shared" si="8"/>
        <v>0</v>
      </c>
      <c r="Z28" s="577">
        <f t="shared" si="9"/>
        <v>0</v>
      </c>
      <c r="AA28" s="577">
        <f t="shared" si="10"/>
        <v>0</v>
      </c>
      <c r="AB28" s="577">
        <f t="shared" si="11"/>
        <v>0</v>
      </c>
      <c r="AC28"/>
      <c r="AD28"/>
      <c r="AE28"/>
      <c r="AF28"/>
      <c r="AG28"/>
      <c r="AH28"/>
      <c r="AI28"/>
      <c r="AJ28" s="576"/>
      <c r="AK28" s="576"/>
      <c r="AL28" s="576"/>
      <c r="AM28" s="576"/>
    </row>
    <row r="29" spans="1:39" s="457" customFormat="1" ht="12.75" customHeight="1">
      <c r="A29" s="733">
        <f t="shared" si="15"/>
        <v>1822</v>
      </c>
      <c r="B29" s="776"/>
      <c r="C29" s="557"/>
      <c r="D29" s="557"/>
      <c r="E29" s="511"/>
      <c r="F29" s="556"/>
      <c r="G29" s="884"/>
      <c r="H29" s="572"/>
      <c r="I29" s="572"/>
      <c r="J29" s="504"/>
      <c r="K29" s="504"/>
      <c r="L29" s="504"/>
      <c r="M29" s="504"/>
      <c r="N29" s="504"/>
      <c r="O29" s="504"/>
      <c r="P29" s="504"/>
      <c r="Q29" s="575">
        <f t="shared" si="1"/>
        <v>0</v>
      </c>
      <c r="R29" s="575">
        <f t="shared" si="2"/>
        <v>0</v>
      </c>
      <c r="S29" s="575">
        <f t="shared" si="12"/>
        <v>0</v>
      </c>
      <c r="T29" s="575">
        <f t="shared" si="3"/>
        <v>0</v>
      </c>
      <c r="U29" s="577">
        <f t="shared" si="4"/>
        <v>0</v>
      </c>
      <c r="V29" s="577">
        <f t="shared" si="5"/>
        <v>0</v>
      </c>
      <c r="W29" s="577">
        <f t="shared" si="6"/>
        <v>0</v>
      </c>
      <c r="X29" s="577">
        <f t="shared" si="7"/>
        <v>0</v>
      </c>
      <c r="Y29" s="577">
        <f t="shared" si="8"/>
        <v>0</v>
      </c>
      <c r="Z29" s="577">
        <f t="shared" si="9"/>
        <v>0</v>
      </c>
      <c r="AA29" s="577">
        <f t="shared" si="10"/>
        <v>0</v>
      </c>
      <c r="AB29" s="577">
        <f t="shared" si="11"/>
        <v>0</v>
      </c>
      <c r="AC29"/>
      <c r="AD29"/>
      <c r="AE29"/>
      <c r="AF29"/>
      <c r="AG29"/>
      <c r="AH29"/>
      <c r="AI29"/>
      <c r="AJ29" s="576"/>
      <c r="AK29" s="576"/>
      <c r="AL29" s="576"/>
      <c r="AM29" s="576"/>
    </row>
    <row r="30" spans="1:39" s="457" customFormat="1" ht="12.75" customHeight="1">
      <c r="A30" s="733">
        <f t="shared" si="15"/>
        <v>1823</v>
      </c>
      <c r="B30" s="776"/>
      <c r="C30" s="557"/>
      <c r="D30" s="557"/>
      <c r="E30" s="511"/>
      <c r="F30" s="556"/>
      <c r="G30" s="884"/>
      <c r="H30" s="572"/>
      <c r="I30" s="572"/>
      <c r="J30" s="504"/>
      <c r="K30" s="504"/>
      <c r="L30" s="504"/>
      <c r="M30" s="504"/>
      <c r="N30" s="504"/>
      <c r="O30" s="504"/>
      <c r="P30" s="504"/>
      <c r="Q30" s="575">
        <f t="shared" si="1"/>
        <v>0</v>
      </c>
      <c r="R30" s="575">
        <f t="shared" si="2"/>
        <v>0</v>
      </c>
      <c r="S30" s="575">
        <f t="shared" si="12"/>
        <v>0</v>
      </c>
      <c r="T30" s="575">
        <f t="shared" si="3"/>
        <v>0</v>
      </c>
      <c r="U30" s="577">
        <f aca="true" t="shared" si="16" ref="U30:Z31">IF(K30&gt;0,1,0)</f>
        <v>0</v>
      </c>
      <c r="V30" s="577">
        <f t="shared" si="16"/>
        <v>0</v>
      </c>
      <c r="W30" s="577">
        <f t="shared" si="16"/>
        <v>0</v>
      </c>
      <c r="X30" s="577">
        <f t="shared" si="16"/>
        <v>0</v>
      </c>
      <c r="Y30" s="577">
        <f t="shared" si="16"/>
        <v>0</v>
      </c>
      <c r="Z30" s="577">
        <f t="shared" si="16"/>
        <v>0</v>
      </c>
      <c r="AA30" s="577">
        <f>SUM(U30:Z30)</f>
        <v>0</v>
      </c>
      <c r="AB30" s="577">
        <f t="shared" si="11"/>
        <v>0</v>
      </c>
      <c r="AC30"/>
      <c r="AD30"/>
      <c r="AE30"/>
      <c r="AF30"/>
      <c r="AG30"/>
      <c r="AH30"/>
      <c r="AI30"/>
      <c r="AJ30" s="576"/>
      <c r="AK30" s="576"/>
      <c r="AL30" s="576"/>
      <c r="AM30" s="576"/>
    </row>
    <row r="31" spans="1:39" s="457" customFormat="1" ht="12.75" customHeight="1">
      <c r="A31" s="733">
        <f t="shared" si="15"/>
        <v>1824</v>
      </c>
      <c r="B31" s="776"/>
      <c r="C31" s="557"/>
      <c r="D31" s="557"/>
      <c r="E31" s="511"/>
      <c r="F31" s="556"/>
      <c r="G31" s="884"/>
      <c r="H31" s="572"/>
      <c r="I31" s="572"/>
      <c r="J31" s="504"/>
      <c r="K31" s="504"/>
      <c r="L31" s="504"/>
      <c r="M31" s="504"/>
      <c r="N31" s="504"/>
      <c r="O31" s="504"/>
      <c r="P31" s="504"/>
      <c r="Q31" s="575">
        <f t="shared" si="1"/>
        <v>0</v>
      </c>
      <c r="R31" s="575">
        <f t="shared" si="2"/>
        <v>0</v>
      </c>
      <c r="S31" s="575">
        <f t="shared" si="12"/>
        <v>0</v>
      </c>
      <c r="T31" s="575">
        <f t="shared" si="3"/>
        <v>0</v>
      </c>
      <c r="U31" s="577">
        <f t="shared" si="16"/>
        <v>0</v>
      </c>
      <c r="V31" s="577">
        <f t="shared" si="16"/>
        <v>0</v>
      </c>
      <c r="W31" s="577">
        <f t="shared" si="16"/>
        <v>0</v>
      </c>
      <c r="X31" s="577">
        <f t="shared" si="16"/>
        <v>0</v>
      </c>
      <c r="Y31" s="577">
        <f t="shared" si="16"/>
        <v>0</v>
      </c>
      <c r="Z31" s="577">
        <f t="shared" si="16"/>
        <v>0</v>
      </c>
      <c r="AA31" s="577">
        <f>SUM(U31:Z31)</f>
        <v>0</v>
      </c>
      <c r="AB31" s="577">
        <f t="shared" si="11"/>
        <v>0</v>
      </c>
      <c r="AC31"/>
      <c r="AD31"/>
      <c r="AE31"/>
      <c r="AF31"/>
      <c r="AG31"/>
      <c r="AH31"/>
      <c r="AI31"/>
      <c r="AJ31" s="576"/>
      <c r="AK31" s="576"/>
      <c r="AL31" s="576"/>
      <c r="AM31" s="576"/>
    </row>
    <row r="32" spans="1:39" s="457" customFormat="1" ht="12.75" customHeight="1">
      <c r="A32" s="733">
        <f t="shared" si="15"/>
        <v>1825</v>
      </c>
      <c r="B32" s="776"/>
      <c r="C32" s="557"/>
      <c r="D32" s="557"/>
      <c r="E32" s="511"/>
      <c r="F32" s="556"/>
      <c r="G32" s="884"/>
      <c r="H32" s="572"/>
      <c r="I32" s="572"/>
      <c r="J32" s="504"/>
      <c r="K32" s="504"/>
      <c r="L32" s="504"/>
      <c r="M32" s="504"/>
      <c r="N32" s="504"/>
      <c r="O32" s="504"/>
      <c r="P32" s="504"/>
      <c r="Q32" s="575">
        <f t="shared" si="1"/>
        <v>0</v>
      </c>
      <c r="R32" s="575">
        <f t="shared" si="2"/>
        <v>0</v>
      </c>
      <c r="S32" s="575">
        <f t="shared" si="12"/>
        <v>0</v>
      </c>
      <c r="T32" s="575">
        <f t="shared" si="3"/>
        <v>0</v>
      </c>
      <c r="U32" s="577">
        <f t="shared" si="4"/>
        <v>0</v>
      </c>
      <c r="V32" s="577">
        <f t="shared" si="5"/>
        <v>0</v>
      </c>
      <c r="W32" s="577">
        <f t="shared" si="6"/>
        <v>0</v>
      </c>
      <c r="X32" s="577">
        <f t="shared" si="7"/>
        <v>0</v>
      </c>
      <c r="Y32" s="577">
        <f t="shared" si="8"/>
        <v>0</v>
      </c>
      <c r="Z32" s="577">
        <f t="shared" si="9"/>
        <v>0</v>
      </c>
      <c r="AA32" s="577">
        <f t="shared" si="10"/>
        <v>0</v>
      </c>
      <c r="AB32" s="577">
        <f t="shared" si="11"/>
        <v>0</v>
      </c>
      <c r="AC32"/>
      <c r="AD32"/>
      <c r="AE32"/>
      <c r="AF32"/>
      <c r="AG32"/>
      <c r="AH32"/>
      <c r="AI32"/>
      <c r="AJ32" s="576"/>
      <c r="AK32" s="576"/>
      <c r="AL32" s="576"/>
      <c r="AM32" s="576"/>
    </row>
    <row r="33" spans="1:39" s="457" customFormat="1" ht="12.75" customHeight="1">
      <c r="A33" s="733">
        <f t="shared" si="15"/>
        <v>1826</v>
      </c>
      <c r="B33" s="776"/>
      <c r="C33" s="557"/>
      <c r="D33" s="557"/>
      <c r="E33" s="511"/>
      <c r="F33" s="556"/>
      <c r="G33" s="884"/>
      <c r="H33" s="572"/>
      <c r="I33" s="572"/>
      <c r="J33" s="504"/>
      <c r="K33" s="504"/>
      <c r="L33" s="504"/>
      <c r="M33" s="504"/>
      <c r="N33" s="504"/>
      <c r="O33" s="504"/>
      <c r="P33" s="504"/>
      <c r="Q33" s="575">
        <f t="shared" si="1"/>
        <v>0</v>
      </c>
      <c r="R33" s="575">
        <f t="shared" si="2"/>
        <v>0</v>
      </c>
      <c r="S33" s="575">
        <f t="shared" si="12"/>
        <v>0</v>
      </c>
      <c r="T33" s="575">
        <f t="shared" si="3"/>
        <v>0</v>
      </c>
      <c r="U33" s="577">
        <f t="shared" si="4"/>
        <v>0</v>
      </c>
      <c r="V33" s="577">
        <f t="shared" si="5"/>
        <v>0</v>
      </c>
      <c r="W33" s="577">
        <f t="shared" si="6"/>
        <v>0</v>
      </c>
      <c r="X33" s="577">
        <f t="shared" si="7"/>
        <v>0</v>
      </c>
      <c r="Y33" s="577">
        <f t="shared" si="8"/>
        <v>0</v>
      </c>
      <c r="Z33" s="577">
        <f t="shared" si="9"/>
        <v>0</v>
      </c>
      <c r="AA33" s="577">
        <f t="shared" si="10"/>
        <v>0</v>
      </c>
      <c r="AB33" s="577">
        <f t="shared" si="11"/>
        <v>0</v>
      </c>
      <c r="AC33"/>
      <c r="AD33"/>
      <c r="AE33"/>
      <c r="AF33"/>
      <c r="AG33"/>
      <c r="AH33"/>
      <c r="AI33"/>
      <c r="AJ33" s="576"/>
      <c r="AK33" s="576"/>
      <c r="AL33" s="576"/>
      <c r="AM33" s="576"/>
    </row>
    <row r="34" spans="1:39" s="457" customFormat="1" ht="12.75" customHeight="1">
      <c r="A34" s="733">
        <f t="shared" si="15"/>
        <v>1827</v>
      </c>
      <c r="B34" s="777"/>
      <c r="C34" s="778"/>
      <c r="D34" s="778"/>
      <c r="E34" s="779"/>
      <c r="F34" s="780"/>
      <c r="G34" s="885"/>
      <c r="H34" s="572"/>
      <c r="I34" s="572"/>
      <c r="J34" s="504"/>
      <c r="K34" s="504"/>
      <c r="L34" s="504"/>
      <c r="M34" s="504"/>
      <c r="N34" s="504"/>
      <c r="O34" s="504"/>
      <c r="P34" s="504"/>
      <c r="Q34" s="575">
        <f>H34-AB34</f>
        <v>0</v>
      </c>
      <c r="R34" s="575">
        <f t="shared" si="2"/>
        <v>0</v>
      </c>
      <c r="S34" s="575">
        <f>R34*F34/100</f>
        <v>0</v>
      </c>
      <c r="T34" s="575">
        <f>IF(G34="n",S34,E34/100*R34)</f>
        <v>0</v>
      </c>
      <c r="U34" s="577">
        <f t="shared" si="4"/>
        <v>0</v>
      </c>
      <c r="V34" s="577">
        <f t="shared" si="5"/>
        <v>0</v>
      </c>
      <c r="W34" s="577">
        <f t="shared" si="6"/>
        <v>0</v>
      </c>
      <c r="X34" s="577">
        <f t="shared" si="7"/>
        <v>0</v>
      </c>
      <c r="Y34" s="577">
        <f t="shared" si="8"/>
        <v>0</v>
      </c>
      <c r="Z34" s="577">
        <f t="shared" si="9"/>
        <v>0</v>
      </c>
      <c r="AA34" s="577">
        <f t="shared" si="10"/>
        <v>0</v>
      </c>
      <c r="AB34" s="577">
        <f t="shared" si="11"/>
        <v>0</v>
      </c>
      <c r="AC34"/>
      <c r="AD34"/>
      <c r="AE34"/>
      <c r="AF34"/>
      <c r="AG34"/>
      <c r="AH34"/>
      <c r="AI34"/>
      <c r="AJ34" s="576"/>
      <c r="AK34" s="576"/>
      <c r="AL34" s="576"/>
      <c r="AM34" s="576"/>
    </row>
    <row r="35" spans="1:39" s="457" customFormat="1" ht="12.75" customHeight="1">
      <c r="A35" s="733">
        <f t="shared" si="15"/>
        <v>1828</v>
      </c>
      <c r="B35" s="777"/>
      <c r="C35" s="778"/>
      <c r="D35" s="778"/>
      <c r="E35" s="779"/>
      <c r="F35" s="780"/>
      <c r="G35" s="885"/>
      <c r="H35" s="572"/>
      <c r="I35" s="572"/>
      <c r="J35" s="504"/>
      <c r="K35" s="504"/>
      <c r="L35" s="504"/>
      <c r="M35" s="504"/>
      <c r="N35" s="504"/>
      <c r="O35" s="504"/>
      <c r="P35" s="504"/>
      <c r="Q35" s="575">
        <f aca="true" t="shared" si="17" ref="Q35:Q42">H35-AB35</f>
        <v>0</v>
      </c>
      <c r="R35" s="575">
        <f t="shared" si="2"/>
        <v>0</v>
      </c>
      <c r="S35" s="575">
        <f aca="true" t="shared" si="18" ref="S35:S42">R35*F35/100</f>
        <v>0</v>
      </c>
      <c r="T35" s="575">
        <f aca="true" t="shared" si="19" ref="T35:T42">IF(G35="n",S35,E35/100*R35)</f>
        <v>0</v>
      </c>
      <c r="U35" s="577"/>
      <c r="V35" s="577"/>
      <c r="W35" s="577"/>
      <c r="X35" s="577"/>
      <c r="Y35" s="577"/>
      <c r="Z35" s="577"/>
      <c r="AA35" s="577"/>
      <c r="AB35" s="577"/>
      <c r="AC35"/>
      <c r="AD35"/>
      <c r="AE35"/>
      <c r="AF35"/>
      <c r="AG35"/>
      <c r="AH35"/>
      <c r="AI35"/>
      <c r="AJ35" s="576"/>
      <c r="AK35" s="576"/>
      <c r="AL35" s="576"/>
      <c r="AM35" s="576"/>
    </row>
    <row r="36" spans="1:39" s="457" customFormat="1" ht="12.75" customHeight="1">
      <c r="A36" s="733">
        <f t="shared" si="15"/>
        <v>1829</v>
      </c>
      <c r="B36" s="777"/>
      <c r="C36" s="778"/>
      <c r="D36" s="778"/>
      <c r="E36" s="779"/>
      <c r="F36" s="780"/>
      <c r="G36" s="885"/>
      <c r="H36" s="572"/>
      <c r="I36" s="572"/>
      <c r="J36" s="504"/>
      <c r="K36" s="504"/>
      <c r="L36" s="504"/>
      <c r="M36" s="504"/>
      <c r="N36" s="504"/>
      <c r="O36" s="504"/>
      <c r="P36" s="504"/>
      <c r="Q36" s="575">
        <f t="shared" si="17"/>
        <v>0</v>
      </c>
      <c r="R36" s="575">
        <f t="shared" si="2"/>
        <v>0</v>
      </c>
      <c r="S36" s="575">
        <f t="shared" si="18"/>
        <v>0</v>
      </c>
      <c r="T36" s="575">
        <f t="shared" si="19"/>
        <v>0</v>
      </c>
      <c r="U36" s="577"/>
      <c r="V36" s="577"/>
      <c r="W36" s="577"/>
      <c r="X36" s="577"/>
      <c r="Y36" s="577"/>
      <c r="Z36" s="577"/>
      <c r="AA36" s="577"/>
      <c r="AB36" s="577"/>
      <c r="AC36"/>
      <c r="AD36"/>
      <c r="AE36"/>
      <c r="AF36"/>
      <c r="AG36"/>
      <c r="AH36"/>
      <c r="AI36"/>
      <c r="AJ36" s="576"/>
      <c r="AK36" s="576"/>
      <c r="AL36" s="576"/>
      <c r="AM36" s="576"/>
    </row>
    <row r="37" spans="1:39" s="457" customFormat="1" ht="12.75" customHeight="1">
      <c r="A37" s="733">
        <f t="shared" si="15"/>
        <v>1830</v>
      </c>
      <c r="B37" s="777"/>
      <c r="C37" s="778"/>
      <c r="D37" s="778"/>
      <c r="E37" s="779"/>
      <c r="F37" s="780"/>
      <c r="G37" s="885"/>
      <c r="H37" s="572"/>
      <c r="I37" s="572"/>
      <c r="J37" s="504"/>
      <c r="K37" s="504"/>
      <c r="L37" s="504"/>
      <c r="M37" s="504"/>
      <c r="N37" s="504"/>
      <c r="O37" s="504"/>
      <c r="P37" s="504"/>
      <c r="Q37" s="575">
        <f t="shared" si="17"/>
        <v>0</v>
      </c>
      <c r="R37" s="575">
        <f t="shared" si="2"/>
        <v>0</v>
      </c>
      <c r="S37" s="575">
        <f t="shared" si="18"/>
        <v>0</v>
      </c>
      <c r="T37" s="575">
        <f t="shared" si="19"/>
        <v>0</v>
      </c>
      <c r="U37" s="577"/>
      <c r="V37" s="577"/>
      <c r="W37" s="577"/>
      <c r="X37" s="577"/>
      <c r="Y37" s="577"/>
      <c r="Z37" s="577"/>
      <c r="AA37" s="577"/>
      <c r="AB37" s="577"/>
      <c r="AC37"/>
      <c r="AD37"/>
      <c r="AE37"/>
      <c r="AF37"/>
      <c r="AG37"/>
      <c r="AH37"/>
      <c r="AI37"/>
      <c r="AJ37" s="576"/>
      <c r="AK37" s="576"/>
      <c r="AL37" s="576"/>
      <c r="AM37" s="576"/>
    </row>
    <row r="38" spans="1:39" s="457" customFormat="1" ht="12.75" customHeight="1">
      <c r="A38" s="733">
        <f t="shared" si="15"/>
        <v>1831</v>
      </c>
      <c r="B38" s="777"/>
      <c r="C38" s="778"/>
      <c r="D38" s="778"/>
      <c r="E38" s="779"/>
      <c r="F38" s="780"/>
      <c r="G38" s="885"/>
      <c r="H38" s="572"/>
      <c r="I38" s="572"/>
      <c r="J38" s="504"/>
      <c r="K38" s="504"/>
      <c r="L38" s="504"/>
      <c r="M38" s="504"/>
      <c r="N38" s="504"/>
      <c r="O38" s="504"/>
      <c r="P38" s="504"/>
      <c r="Q38" s="575">
        <f t="shared" si="17"/>
        <v>0</v>
      </c>
      <c r="R38" s="575">
        <f t="shared" si="2"/>
        <v>0</v>
      </c>
      <c r="S38" s="575">
        <f t="shared" si="18"/>
        <v>0</v>
      </c>
      <c r="T38" s="575">
        <f t="shared" si="19"/>
        <v>0</v>
      </c>
      <c r="U38" s="577"/>
      <c r="V38" s="577"/>
      <c r="W38" s="577"/>
      <c r="X38" s="577"/>
      <c r="Y38" s="577"/>
      <c r="Z38" s="577"/>
      <c r="AA38" s="577"/>
      <c r="AB38" s="577"/>
      <c r="AC38"/>
      <c r="AD38"/>
      <c r="AE38"/>
      <c r="AF38"/>
      <c r="AG38"/>
      <c r="AH38"/>
      <c r="AI38"/>
      <c r="AJ38" s="576"/>
      <c r="AK38" s="576"/>
      <c r="AL38" s="576"/>
      <c r="AM38" s="576"/>
    </row>
    <row r="39" spans="1:39" s="457" customFormat="1" ht="12.75" customHeight="1">
      <c r="A39" s="733">
        <f t="shared" si="15"/>
        <v>1832</v>
      </c>
      <c r="B39" s="777"/>
      <c r="C39" s="778"/>
      <c r="D39" s="778"/>
      <c r="E39" s="779"/>
      <c r="F39" s="780"/>
      <c r="G39" s="885"/>
      <c r="H39" s="572"/>
      <c r="I39" s="572"/>
      <c r="J39" s="504"/>
      <c r="K39" s="504"/>
      <c r="L39" s="504"/>
      <c r="M39" s="504"/>
      <c r="N39" s="504"/>
      <c r="O39" s="504"/>
      <c r="P39" s="504"/>
      <c r="Q39" s="575">
        <f t="shared" si="17"/>
        <v>0</v>
      </c>
      <c r="R39" s="575">
        <f t="shared" si="2"/>
        <v>0</v>
      </c>
      <c r="S39" s="575">
        <f t="shared" si="18"/>
        <v>0</v>
      </c>
      <c r="T39" s="575">
        <f t="shared" si="19"/>
        <v>0</v>
      </c>
      <c r="U39" s="577"/>
      <c r="V39" s="577"/>
      <c r="W39" s="577"/>
      <c r="X39" s="577"/>
      <c r="Y39" s="577"/>
      <c r="Z39" s="577"/>
      <c r="AA39" s="577"/>
      <c r="AB39" s="577"/>
      <c r="AC39"/>
      <c r="AD39"/>
      <c r="AE39"/>
      <c r="AF39"/>
      <c r="AG39"/>
      <c r="AH39"/>
      <c r="AI39"/>
      <c r="AJ39" s="576"/>
      <c r="AK39" s="576"/>
      <c r="AL39" s="576"/>
      <c r="AM39" s="576"/>
    </row>
    <row r="40" spans="1:39" s="457" customFormat="1" ht="12.75" customHeight="1">
      <c r="A40" s="733">
        <f t="shared" si="15"/>
        <v>1833</v>
      </c>
      <c r="B40" s="777"/>
      <c r="C40" s="778"/>
      <c r="D40" s="778"/>
      <c r="E40" s="779"/>
      <c r="F40" s="780"/>
      <c r="G40" s="885"/>
      <c r="H40" s="572"/>
      <c r="I40" s="572"/>
      <c r="J40" s="504"/>
      <c r="K40" s="504"/>
      <c r="L40" s="504"/>
      <c r="M40" s="504"/>
      <c r="N40" s="504"/>
      <c r="O40" s="504"/>
      <c r="P40" s="504"/>
      <c r="Q40" s="575">
        <f t="shared" si="17"/>
        <v>0</v>
      </c>
      <c r="R40" s="575">
        <f t="shared" si="2"/>
        <v>0</v>
      </c>
      <c r="S40" s="575">
        <f t="shared" si="18"/>
        <v>0</v>
      </c>
      <c r="T40" s="575">
        <f t="shared" si="19"/>
        <v>0</v>
      </c>
      <c r="U40" s="577"/>
      <c r="V40" s="577"/>
      <c r="W40" s="577"/>
      <c r="X40" s="577"/>
      <c r="Y40" s="577"/>
      <c r="Z40" s="577"/>
      <c r="AA40" s="577"/>
      <c r="AB40" s="577"/>
      <c r="AC40"/>
      <c r="AD40"/>
      <c r="AE40"/>
      <c r="AF40"/>
      <c r="AG40"/>
      <c r="AH40"/>
      <c r="AI40"/>
      <c r="AJ40" s="576"/>
      <c r="AK40" s="576"/>
      <c r="AL40" s="576"/>
      <c r="AM40" s="576"/>
    </row>
    <row r="41" spans="1:39" s="457" customFormat="1" ht="12.75" customHeight="1">
      <c r="A41" s="733">
        <f t="shared" si="15"/>
        <v>1834</v>
      </c>
      <c r="B41" s="777"/>
      <c r="C41" s="778"/>
      <c r="D41" s="778"/>
      <c r="E41" s="779"/>
      <c r="F41" s="780"/>
      <c r="G41" s="885"/>
      <c r="H41" s="572"/>
      <c r="I41" s="572"/>
      <c r="J41" s="504"/>
      <c r="K41" s="504"/>
      <c r="L41" s="504"/>
      <c r="M41" s="504"/>
      <c r="N41" s="504"/>
      <c r="O41" s="504"/>
      <c r="P41" s="504"/>
      <c r="Q41" s="575">
        <f t="shared" si="17"/>
        <v>0</v>
      </c>
      <c r="R41" s="575">
        <f t="shared" si="2"/>
        <v>0</v>
      </c>
      <c r="S41" s="575">
        <f t="shared" si="18"/>
        <v>0</v>
      </c>
      <c r="T41" s="575">
        <f t="shared" si="19"/>
        <v>0</v>
      </c>
      <c r="U41" s="577"/>
      <c r="V41" s="577"/>
      <c r="W41" s="577"/>
      <c r="X41" s="577"/>
      <c r="Y41" s="577"/>
      <c r="Z41" s="577"/>
      <c r="AA41" s="577"/>
      <c r="AB41" s="577"/>
      <c r="AC41"/>
      <c r="AD41"/>
      <c r="AE41"/>
      <c r="AF41"/>
      <c r="AG41"/>
      <c r="AH41"/>
      <c r="AI41"/>
      <c r="AJ41" s="576"/>
      <c r="AK41" s="576"/>
      <c r="AL41" s="576"/>
      <c r="AM41" s="576"/>
    </row>
    <row r="42" spans="1:39" s="457" customFormat="1" ht="12.75" customHeight="1">
      <c r="A42" s="733">
        <f t="shared" si="15"/>
        <v>1835</v>
      </c>
      <c r="B42" s="777"/>
      <c r="C42" s="778"/>
      <c r="D42" s="778"/>
      <c r="E42" s="779"/>
      <c r="F42" s="780"/>
      <c r="G42" s="885"/>
      <c r="H42" s="572"/>
      <c r="I42" s="572"/>
      <c r="J42" s="504"/>
      <c r="K42" s="504"/>
      <c r="L42" s="504"/>
      <c r="M42" s="504"/>
      <c r="N42" s="504"/>
      <c r="O42" s="504"/>
      <c r="P42" s="504"/>
      <c r="Q42" s="575">
        <f t="shared" si="17"/>
        <v>0</v>
      </c>
      <c r="R42" s="575">
        <f t="shared" si="2"/>
        <v>0</v>
      </c>
      <c r="S42" s="575">
        <f t="shared" si="18"/>
        <v>0</v>
      </c>
      <c r="T42" s="575">
        <f t="shared" si="19"/>
        <v>0</v>
      </c>
      <c r="U42" s="577"/>
      <c r="V42" s="577"/>
      <c r="W42" s="577"/>
      <c r="X42" s="577"/>
      <c r="Y42" s="577"/>
      <c r="Z42" s="577"/>
      <c r="AA42" s="577"/>
      <c r="AB42" s="577"/>
      <c r="AC42"/>
      <c r="AD42"/>
      <c r="AE42"/>
      <c r="AF42"/>
      <c r="AG42"/>
      <c r="AH42"/>
      <c r="AI42"/>
      <c r="AJ42" s="576"/>
      <c r="AK42" s="576"/>
      <c r="AL42" s="576"/>
      <c r="AM42" s="576"/>
    </row>
    <row r="43" spans="1:39" s="457" customFormat="1" ht="12.75" customHeight="1">
      <c r="A43" s="733">
        <f>A42+1</f>
        <v>1836</v>
      </c>
      <c r="B43" s="809" t="str">
        <f>CONCATENATE("Sub(totaal) regel ",A8," t/m ",A42)</f>
        <v>Sub(totaal) regel 1801 t/m 1835</v>
      </c>
      <c r="C43" s="809"/>
      <c r="D43" s="824"/>
      <c r="E43" s="744"/>
      <c r="F43" s="822"/>
      <c r="G43" s="823"/>
      <c r="H43" s="810">
        <f>SUM(H8:H42)</f>
        <v>0</v>
      </c>
      <c r="I43" s="811">
        <f>AB43</f>
        <v>0</v>
      </c>
      <c r="J43" s="806"/>
      <c r="K43" s="807"/>
      <c r="L43" s="807"/>
      <c r="M43" s="807"/>
      <c r="N43" s="807"/>
      <c r="O43" s="807"/>
      <c r="P43" s="808"/>
      <c r="Q43" s="781">
        <f>SUM(Q8:Q42)</f>
        <v>0</v>
      </c>
      <c r="R43" s="781">
        <f>SUM(R8:R42)</f>
        <v>0</v>
      </c>
      <c r="S43" s="781">
        <f>SUM(S8:S42)</f>
        <v>0</v>
      </c>
      <c r="T43" s="781">
        <f>SUM(T8:T42)</f>
        <v>0</v>
      </c>
      <c r="U43" s="577"/>
      <c r="V43" s="577"/>
      <c r="W43" s="577"/>
      <c r="X43" s="577"/>
      <c r="Y43" s="577"/>
      <c r="Z43" s="577"/>
      <c r="AA43" s="577"/>
      <c r="AB43" s="839">
        <f>SUM(AB8:AB42)</f>
        <v>0</v>
      </c>
      <c r="AC43" s="577"/>
      <c r="AD43" s="576"/>
      <c r="AE43" s="576"/>
      <c r="AF43" s="576"/>
      <c r="AG43" s="576"/>
      <c r="AH43" s="576"/>
      <c r="AI43" s="576"/>
      <c r="AJ43" s="576"/>
      <c r="AK43" s="576"/>
      <c r="AL43" s="576"/>
      <c r="AM43" s="576"/>
    </row>
    <row r="44" spans="1:40" s="457" customFormat="1" ht="12.75" customHeight="1">
      <c r="A44" s="733">
        <f>A43+1</f>
        <v>1837</v>
      </c>
      <c r="B44" s="812" t="s">
        <v>391</v>
      </c>
      <c r="C44" s="813"/>
      <c r="D44" s="813"/>
      <c r="E44" s="813"/>
      <c r="F44" s="813"/>
      <c r="G44" s="813"/>
      <c r="H44" s="814"/>
      <c r="I44" s="814"/>
      <c r="J44" s="814"/>
      <c r="K44" s="814"/>
      <c r="L44" s="814"/>
      <c r="M44" s="814"/>
      <c r="N44" s="814"/>
      <c r="O44" s="814"/>
      <c r="P44" s="815"/>
      <c r="Q44" s="782"/>
      <c r="R44" s="578"/>
      <c r="S44" s="577"/>
      <c r="T44" s="576"/>
      <c r="U44" s="577"/>
      <c r="V44" s="576"/>
      <c r="W44" s="576"/>
      <c r="X44" s="576"/>
      <c r="Y44" s="576"/>
      <c r="Z44" s="576"/>
      <c r="AA44" s="576"/>
      <c r="AB44" s="576"/>
      <c r="AC44" s="577"/>
      <c r="AD44" s="576"/>
      <c r="AE44" s="576"/>
      <c r="AF44" s="576"/>
      <c r="AG44" s="576"/>
      <c r="AH44" s="576"/>
      <c r="AI44" s="576"/>
      <c r="AJ44" s="576"/>
      <c r="AK44" s="576"/>
      <c r="AL44" s="576"/>
      <c r="AM44" s="576"/>
      <c r="AN44" s="576"/>
    </row>
    <row r="45" spans="1:40" s="457" customFormat="1" ht="12.75" customHeight="1">
      <c r="A45" s="733">
        <f>A44+1</f>
        <v>1838</v>
      </c>
      <c r="B45" s="816" t="s">
        <v>376</v>
      </c>
      <c r="C45" s="742"/>
      <c r="D45" s="813"/>
      <c r="E45" s="742"/>
      <c r="F45" s="742"/>
      <c r="G45" s="742"/>
      <c r="H45" s="817"/>
      <c r="I45" s="817"/>
      <c r="J45" s="817"/>
      <c r="K45" s="817"/>
      <c r="L45" s="817"/>
      <c r="M45" s="817"/>
      <c r="N45" s="817"/>
      <c r="O45" s="817"/>
      <c r="P45" s="818"/>
      <c r="Q45" s="783"/>
      <c r="R45" s="574"/>
      <c r="S45" s="576"/>
      <c r="T45" s="576"/>
      <c r="U45" s="576"/>
      <c r="V45" s="576"/>
      <c r="W45" s="576"/>
      <c r="X45" s="576"/>
      <c r="Y45" s="576"/>
      <c r="Z45" s="576"/>
      <c r="AA45" s="576"/>
      <c r="AB45" s="576"/>
      <c r="AC45" s="576"/>
      <c r="AD45" s="576"/>
      <c r="AE45" s="576"/>
      <c r="AF45" s="576"/>
      <c r="AG45" s="576"/>
      <c r="AH45" s="576"/>
      <c r="AI45" s="576"/>
      <c r="AJ45" s="576"/>
      <c r="AK45" s="576"/>
      <c r="AL45" s="576"/>
      <c r="AM45" s="576"/>
      <c r="AN45" s="576"/>
    </row>
    <row r="46" spans="1:40" s="467" customFormat="1" ht="12.75" customHeight="1">
      <c r="A46" s="733">
        <f>A45+1</f>
        <v>1839</v>
      </c>
      <c r="B46" s="773" t="str">
        <f>CONCATENATE("Totaal regel ",A43," t/m ",A45)</f>
        <v>Totaal regel 1836 t/m 1838</v>
      </c>
      <c r="C46" s="770"/>
      <c r="D46" s="819"/>
      <c r="E46" s="819"/>
      <c r="F46" s="819"/>
      <c r="G46" s="819"/>
      <c r="H46" s="820"/>
      <c r="I46" s="820"/>
      <c r="J46" s="820"/>
      <c r="K46" s="820"/>
      <c r="L46" s="820"/>
      <c r="M46" s="820"/>
      <c r="N46" s="820"/>
      <c r="O46" s="820"/>
      <c r="P46" s="821"/>
      <c r="Q46" s="784"/>
      <c r="R46" s="781">
        <f>R43-R44+R45</f>
        <v>0</v>
      </c>
      <c r="S46" s="579"/>
      <c r="T46" s="579"/>
      <c r="U46" s="579"/>
      <c r="V46" s="579"/>
      <c r="W46" s="579"/>
      <c r="X46" s="579"/>
      <c r="Y46" s="579"/>
      <c r="Z46" s="579"/>
      <c r="AA46" s="579"/>
      <c r="AB46" s="579"/>
      <c r="AC46" s="579"/>
      <c r="AD46" s="579"/>
      <c r="AE46" s="579"/>
      <c r="AF46" s="579"/>
      <c r="AG46" s="579"/>
      <c r="AH46" s="579"/>
      <c r="AI46" s="579"/>
      <c r="AJ46" s="579"/>
      <c r="AK46" s="579"/>
      <c r="AL46" s="579"/>
      <c r="AM46" s="579"/>
      <c r="AN46" s="579"/>
    </row>
    <row r="47" spans="1:18" s="457" customFormat="1" ht="12.75" customHeight="1">
      <c r="A47" s="483" t="s">
        <v>179</v>
      </c>
      <c r="B47" s="455"/>
      <c r="C47" s="455"/>
      <c r="D47" s="478"/>
      <c r="E47" s="455"/>
      <c r="F47" s="455"/>
      <c r="G47" s="455"/>
      <c r="H47" s="505"/>
      <c r="I47" s="505"/>
      <c r="J47" s="505"/>
      <c r="K47" s="505"/>
      <c r="L47" s="505"/>
      <c r="M47" s="505"/>
      <c r="N47" s="505"/>
      <c r="O47" s="505"/>
      <c r="P47" s="505"/>
      <c r="Q47" s="505"/>
      <c r="R47" s="494"/>
    </row>
    <row r="48" spans="1:27" ht="15.75" customHeight="1">
      <c r="A48" s="1058" t="s">
        <v>265</v>
      </c>
      <c r="D48" s="435"/>
      <c r="E48" s="435"/>
      <c r="F48" s="435"/>
      <c r="G48" s="435"/>
      <c r="U48" s="440"/>
      <c r="V48" s="441"/>
      <c r="W48" s="440"/>
      <c r="X48" s="440"/>
      <c r="Y48" s="440"/>
      <c r="Z48" s="440"/>
      <c r="AA48" s="440"/>
    </row>
    <row r="49" spans="1:27" ht="15.75" customHeight="1">
      <c r="A49" s="1058"/>
      <c r="D49" s="435"/>
      <c r="E49" s="435"/>
      <c r="F49" s="435"/>
      <c r="G49" s="435"/>
      <c r="U49" s="440"/>
      <c r="V49" s="441"/>
      <c r="W49" s="440"/>
      <c r="X49" s="440"/>
      <c r="Y49" s="440"/>
      <c r="Z49" s="440"/>
      <c r="AA49" s="440"/>
    </row>
    <row r="50" spans="1:27" s="447" customFormat="1" ht="15.75" customHeight="1">
      <c r="A50" s="6" t="str">
        <f>A2</f>
        <v>Nacalculatieformulier 2004</v>
      </c>
      <c r="B50" s="7"/>
      <c r="C50" s="7"/>
      <c r="D50" s="7"/>
      <c r="E50" s="7"/>
      <c r="F50" s="7"/>
      <c r="G50" s="7"/>
      <c r="H50" s="8"/>
      <c r="I50" s="630"/>
      <c r="J50" s="8"/>
      <c r="K50" s="8"/>
      <c r="L50" s="630"/>
      <c r="M50" s="630"/>
      <c r="N50" s="8"/>
      <c r="O50" s="630"/>
      <c r="P50" s="630"/>
      <c r="Q50" s="8"/>
      <c r="R50" s="802"/>
      <c r="S50" s="10">
        <f>T2+1</f>
        <v>19</v>
      </c>
      <c r="U50" s="448"/>
      <c r="V50" s="449"/>
      <c r="W50" s="448"/>
      <c r="X50" s="448"/>
      <c r="Y50" s="448"/>
      <c r="Z50" s="448"/>
      <c r="AA50" s="448"/>
    </row>
    <row r="51" spans="1:19" s="457" customFormat="1" ht="12.75" customHeight="1">
      <c r="A51" s="619"/>
      <c r="B51" s="658"/>
      <c r="C51" s="658"/>
      <c r="D51" s="167"/>
      <c r="E51" s="658"/>
      <c r="F51" s="658"/>
      <c r="G51" s="658"/>
      <c r="H51" s="168"/>
      <c r="I51" s="168"/>
      <c r="J51" s="168"/>
      <c r="K51" s="168"/>
      <c r="L51" s="168"/>
      <c r="M51" s="168"/>
      <c r="N51" s="168"/>
      <c r="O51" s="168"/>
      <c r="P51" s="168"/>
      <c r="Q51" s="168"/>
      <c r="R51" s="168"/>
      <c r="S51" s="571"/>
    </row>
    <row r="52" spans="1:19" s="457" customFormat="1" ht="12.75" customHeight="1">
      <c r="A52" s="640"/>
      <c r="B52" s="625" t="s">
        <v>160</v>
      </c>
      <c r="C52" s="661"/>
      <c r="D52" s="662"/>
      <c r="E52" s="559"/>
      <c r="F52" s="663"/>
      <c r="G52" s="663"/>
      <c r="H52" s="664"/>
      <c r="I52" s="664"/>
      <c r="J52" s="664"/>
      <c r="K52" s="664"/>
      <c r="L52" s="664"/>
      <c r="M52" s="664"/>
      <c r="N52" s="664"/>
      <c r="O52" s="664"/>
      <c r="P52" s="664"/>
      <c r="Q52" s="665"/>
      <c r="R52" s="617" t="s">
        <v>424</v>
      </c>
      <c r="S52" s="627" t="s">
        <v>155</v>
      </c>
    </row>
    <row r="53" spans="1:19" s="457" customFormat="1" ht="12.75" customHeight="1">
      <c r="A53" s="640"/>
      <c r="B53" s="614"/>
      <c r="C53" s="614"/>
      <c r="D53" s="631"/>
      <c r="E53" s="614"/>
      <c r="F53" s="637"/>
      <c r="G53" s="637"/>
      <c r="H53" s="666"/>
      <c r="I53" s="666"/>
      <c r="J53" s="666"/>
      <c r="K53" s="666"/>
      <c r="L53" s="666"/>
      <c r="M53" s="666"/>
      <c r="N53" s="666"/>
      <c r="O53" s="666"/>
      <c r="P53" s="666"/>
      <c r="Q53" s="666"/>
      <c r="R53" s="667"/>
      <c r="S53" s="618" t="s">
        <v>156</v>
      </c>
    </row>
    <row r="54" spans="1:19" s="506" customFormat="1" ht="12.75" customHeight="1">
      <c r="A54" s="174"/>
      <c r="B54" s="668" t="s">
        <v>161</v>
      </c>
      <c r="C54" s="668"/>
      <c r="D54" s="669"/>
      <c r="E54" s="670"/>
      <c r="F54" s="671"/>
      <c r="G54" s="671"/>
      <c r="H54" s="670"/>
      <c r="I54" s="1325"/>
      <c r="J54" s="1326"/>
      <c r="K54" s="1325"/>
      <c r="L54" s="1326"/>
      <c r="M54" s="1326"/>
      <c r="N54" s="1326"/>
      <c r="O54" s="1326"/>
      <c r="P54" s="1326"/>
      <c r="Q54" s="671"/>
      <c r="R54" s="672"/>
      <c r="S54" s="672"/>
    </row>
    <row r="55" spans="1:28" s="506" customFormat="1" ht="12.75" customHeight="1">
      <c r="A55" s="785">
        <f>S50*100+1</f>
        <v>1901</v>
      </c>
      <c r="B55" s="1328">
        <f>IF(I8=0,H8,(((DATE(Voorblad!$D$3,K8,J8)-DATE(Voorblad!$D$3,1,1))*H8)/Voorblad!L$3))</f>
        <v>0</v>
      </c>
      <c r="C55" s="1328"/>
      <c r="D55" s="1319">
        <f>IF(K8=0,0,(IF(L8=0,((DATE(Voorblad!D$3+1,1,1)-DATE(Voorblad!$D$3,(K8),J8))*(H8-(1*I8)))/Voorblad!L$3,((DATE(Voorblad!$D$3,(L8),J8)-DATE(Voorblad!$D$3,(K8),J8))*(H8-(1*I8)))/Voorblad!L$3)))</f>
        <v>0</v>
      </c>
      <c r="E55" s="1319"/>
      <c r="F55" s="1319">
        <f>IF(L8=0,0,(IF(M8=0,((DATE(Voorblad!D$3+1,1,1)-DATE(Voorblad!$D$3,(L8),J8))*(H8-(2*I8)))/365,((DATE(Voorblad!$D$3,(M8),J8)-DATE(Voorblad!$D$3,(L8),J8))*(H8-(2*I8)))/Voorblad!L$3)))</f>
        <v>0</v>
      </c>
      <c r="G55" s="1319"/>
      <c r="H55" s="507">
        <f>IF(M8=0,0,(IF(N8=0,((DATE(Voorblad!D$3+1,1,1)-DATE(Voorblad!$D$3,(M8),J8))*(H8-(3*I8)))/Voorblad!L$3,((DATE(Voorblad!$D$3,(N8),J8)-DATE(Voorblad!$D$3,(M8),J8))*(H8-(3*I8)))/Voorblad!L$3)))</f>
        <v>0</v>
      </c>
      <c r="I55" s="1319">
        <f>IF(N8=0,0,(IF(O8=0,((DATE(Voorblad!D$3+1,1,1)-DATE(Voorblad!$D$3,(N8),J8))*(H8-(4*I8)))/Voorblad!L$3,((DATE(Voorblad!$D$3,(O8),J8)-DATE(Voorblad!$D$3,(N8),J8))*(H8-(4*I8)))/Voorblad!L$3)))</f>
        <v>0</v>
      </c>
      <c r="J55" s="1319"/>
      <c r="K55" s="1319">
        <f>IF(O8=0,0,(IF(P8=0,((DATE(Voorblad!D$3+1,1,1)-DATE(Voorblad!$D$3,(O8),J8))*(H8-(5*I8)))/Voorblad!L$3,((DATE(Voorblad!$D$3,(P8),J8)-DATE(Voorblad!$D$3,(O8),J8))*(H8-(5*I8)))/Voorblad!L$3)))</f>
        <v>0</v>
      </c>
      <c r="L55" s="1319"/>
      <c r="M55" s="1319"/>
      <c r="N55" s="1319"/>
      <c r="O55" s="1319"/>
      <c r="P55" s="1319"/>
      <c r="Q55" s="508">
        <f>IF(P8=0,0,((DATE(Voorblad!D$3+1,1,1)-DATE(Voorblad!$D$3,(P8),J8))*(H8-(6*I8)))/Voorblad!L$3)</f>
        <v>0</v>
      </c>
      <c r="R55" s="580">
        <f aca="true" t="shared" si="20" ref="R55:R64">SUM(B55:Q55)</f>
        <v>0</v>
      </c>
      <c r="S55" s="575">
        <f aca="true" t="shared" si="21" ref="S55:S89">IF(G8="n",R55*(F8/100),R55*(E8/100))</f>
        <v>0</v>
      </c>
      <c r="T55"/>
      <c r="U55"/>
      <c r="V55"/>
      <c r="W55"/>
      <c r="X55"/>
      <c r="Y55"/>
      <c r="Z55"/>
      <c r="AA55" s="509">
        <f aca="true" t="shared" si="22" ref="AA55:AA81">Q55</f>
        <v>0</v>
      </c>
      <c r="AB55" s="509">
        <f aca="true" t="shared" si="23" ref="AB55:AB81">L55</f>
        <v>0</v>
      </c>
    </row>
    <row r="56" spans="1:28" s="506" customFormat="1" ht="12.75" customHeight="1">
      <c r="A56" s="785">
        <f>A55+1</f>
        <v>1902</v>
      </c>
      <c r="B56" s="1328">
        <f>IF(I9=0,H9,(((DATE(Voorblad!$D$3,K9,J9)-DATE(Voorblad!$D$3,1,1))*H9)/Voorblad!L$3))</f>
        <v>0</v>
      </c>
      <c r="C56" s="1328"/>
      <c r="D56" s="1319">
        <f>IF(K9=0,0,(IF(L9=0,((DATE(Voorblad!D$3+1,1,1)-DATE(Voorblad!$D$3,(K9),J9))*(H9-(1*I9)))/Voorblad!L$3,((DATE(Voorblad!$D$3,(L9),J9)-DATE(Voorblad!$D$3,(K9),J9))*(H9-(1*I9)))/Voorblad!L$3)))</f>
        <v>0</v>
      </c>
      <c r="E56" s="1319"/>
      <c r="F56" s="1319">
        <f>IF(L9=0,0,(IF(M9=0,((DATE(Voorblad!D$3+1,1,1)-DATE(Voorblad!$D$3,(L9),J9))*(H9-(2*I9)))/365,((DATE(Voorblad!$D$3,(M9),J9)-DATE(Voorblad!$D$3,(L9),J9))*(H9-(2*I9)))/Voorblad!L$3)))</f>
        <v>0</v>
      </c>
      <c r="G56" s="1319"/>
      <c r="H56" s="507">
        <f>IF(M9=0,0,(IF(N9=0,((DATE(Voorblad!D$3+1,1,1)-DATE(Voorblad!$D$3,(M9),J9))*(H9-(3*I9)))/Voorblad!L$3,((DATE(Voorblad!$D$3,(N9),J9)-DATE(Voorblad!$D$3,(M9),J9))*(H9-(3*I9)))/Voorblad!L$3)))</f>
        <v>0</v>
      </c>
      <c r="I56" s="1319">
        <f>IF(N9=0,0,(IF(O9=0,((DATE(Voorblad!D$3+1,1,1)-DATE(Voorblad!$D$3,(N9),J9))*(H9-(4*I9)))/Voorblad!L$3,((DATE(Voorblad!$D$3,(O9),J9)-DATE(Voorblad!$D$3,(N9),J9))*(H9-(4*I9)))/Voorblad!L$3)))</f>
        <v>0</v>
      </c>
      <c r="J56" s="1319"/>
      <c r="K56" s="1319">
        <f>IF(O9=0,0,(IF(P9=0,((DATE(Voorblad!D$3+1,1,1)-DATE(Voorblad!$D$3,(O9),J9))*(H9-(5*I9)))/Voorblad!L$3,((DATE(Voorblad!$D$3,(P9),J9)-DATE(Voorblad!$D$3,(O9),J9))*(H9-(5*I9)))/Voorblad!L$3)))</f>
        <v>0</v>
      </c>
      <c r="L56" s="1319"/>
      <c r="M56" s="1319"/>
      <c r="N56" s="1319"/>
      <c r="O56" s="1319"/>
      <c r="P56" s="1319"/>
      <c r="Q56" s="508">
        <f>IF(P9=0,0,((DATE(Voorblad!D$3+1,1,1)-DATE(Voorblad!$D$3,(P9),J9))*(H9-(6*I9)))/Voorblad!L$3)</f>
        <v>0</v>
      </c>
      <c r="R56" s="580">
        <f t="shared" si="20"/>
        <v>0</v>
      </c>
      <c r="S56" s="575">
        <f t="shared" si="21"/>
        <v>0</v>
      </c>
      <c r="T56"/>
      <c r="U56"/>
      <c r="V56"/>
      <c r="W56"/>
      <c r="X56"/>
      <c r="Y56"/>
      <c r="Z56"/>
      <c r="AA56" s="509">
        <f t="shared" si="22"/>
        <v>0</v>
      </c>
      <c r="AB56" s="509">
        <f t="shared" si="23"/>
        <v>0</v>
      </c>
    </row>
    <row r="57" spans="1:28" s="506" customFormat="1" ht="12.75" customHeight="1">
      <c r="A57" s="785">
        <f>A56+1</f>
        <v>1903</v>
      </c>
      <c r="B57" s="1328">
        <f>IF(I10=0,H10,(((DATE(Voorblad!$D$3,K10,J10)-DATE(Voorblad!$D$3,1,1))*H10)/Voorblad!L$3))</f>
        <v>0</v>
      </c>
      <c r="C57" s="1328"/>
      <c r="D57" s="1319">
        <f>IF(K10=0,0,(IF(L10=0,((DATE(Voorblad!D$3+1,1,1)-DATE(Voorblad!$D$3,(K10),J10))*(H10-(1*I10)))/Voorblad!L$3,((DATE(Voorblad!$D$3,(L10),J10)-DATE(Voorblad!$D$3,(K10),J10))*(H10-(1*I10)))/Voorblad!L$3)))</f>
        <v>0</v>
      </c>
      <c r="E57" s="1319"/>
      <c r="F57" s="1319">
        <f>IF(L10=0,0,(IF(M10=0,((DATE(Voorblad!D$3+1,1,1)-DATE(Voorblad!$D$3,(L10),J10))*(H10-(2*I10)))/365,((DATE(Voorblad!$D$3,(M10),J10)-DATE(Voorblad!$D$3,(L10),J10))*(H10-(2*I10)))/Voorblad!L$3)))</f>
        <v>0</v>
      </c>
      <c r="G57" s="1319"/>
      <c r="H57" s="507">
        <f>IF(M10=0,0,(IF(N10=0,((DATE(Voorblad!D$3+1,1,1)-DATE(Voorblad!$D$3,(M10),J10))*(H10-(3*I10)))/Voorblad!L$3,((DATE(Voorblad!$D$3,(N10),J10)-DATE(Voorblad!$D$3,(M10),J10))*(H10-(3*I10)))/Voorblad!L$3)))</f>
        <v>0</v>
      </c>
      <c r="I57" s="1319">
        <f>IF(N10=0,0,(IF(O10=0,((DATE(Voorblad!D$3+1,1,1)-DATE(Voorblad!$D$3,(N10),J10))*(H10-(4*I10)))/Voorblad!L$3,((DATE(Voorblad!$D$3,(O10),J10)-DATE(Voorblad!$D$3,(N10),J10))*(H10-(4*I10)))/Voorblad!L$3)))</f>
        <v>0</v>
      </c>
      <c r="J57" s="1319"/>
      <c r="K57" s="1319">
        <f>IF(O10=0,0,(IF(P10=0,((DATE(Voorblad!D$3+1,1,1)-DATE(Voorblad!$D$3,(O10),J10))*(H10-(5*I10)))/Voorblad!L$3,((DATE(Voorblad!$D$3,(P10),J10)-DATE(Voorblad!$D$3,(O10),J10))*(H10-(5*I10)))/Voorblad!L$3)))</f>
        <v>0</v>
      </c>
      <c r="L57" s="1319"/>
      <c r="M57" s="1319"/>
      <c r="N57" s="1319"/>
      <c r="O57" s="1319"/>
      <c r="P57" s="1319"/>
      <c r="Q57" s="508">
        <f>IF(P10=0,0,((DATE(Voorblad!D$3+1,1,1)-DATE(Voorblad!$D$3,(P10),J10))*(H10-(6*I10)))/Voorblad!L$3)</f>
        <v>0</v>
      </c>
      <c r="R57" s="580">
        <f t="shared" si="20"/>
        <v>0</v>
      </c>
      <c r="S57" s="575">
        <f t="shared" si="21"/>
        <v>0</v>
      </c>
      <c r="T57"/>
      <c r="U57"/>
      <c r="V57"/>
      <c r="W57"/>
      <c r="X57"/>
      <c r="Y57"/>
      <c r="Z57"/>
      <c r="AA57" s="509">
        <f t="shared" si="22"/>
        <v>0</v>
      </c>
      <c r="AB57" s="509">
        <f t="shared" si="23"/>
        <v>0</v>
      </c>
    </row>
    <row r="58" spans="1:28" s="506" customFormat="1" ht="12.75" customHeight="1">
      <c r="A58" s="785">
        <f aca="true" t="shared" si="24" ref="A58:A81">A57+1</f>
        <v>1904</v>
      </c>
      <c r="B58" s="1328">
        <f>IF(I11=0,H11,(((DATE(Voorblad!$D$3,K11,J11)-DATE(Voorblad!$D$3,1,1))*H11)/Voorblad!L$3))</f>
        <v>0</v>
      </c>
      <c r="C58" s="1328"/>
      <c r="D58" s="1319">
        <f>IF(K11=0,0,(IF(L11=0,((DATE(Voorblad!D$3+1,1,1)-DATE(Voorblad!$D$3,(K11),J11))*(H11-(1*I11)))/Voorblad!L$3,((DATE(Voorblad!$D$3,(L11),J11)-DATE(Voorblad!$D$3,(K11),J11))*(H11-(1*I11)))/Voorblad!L$3)))</f>
        <v>0</v>
      </c>
      <c r="E58" s="1319"/>
      <c r="F58" s="1319">
        <f>IF(L11=0,0,(IF(M11=0,((DATE(Voorblad!D$3+1,1,1)-DATE(Voorblad!$D$3,(L11),J11))*(H11-(2*I11)))/365,((DATE(Voorblad!$D$3,(M11),J11)-DATE(Voorblad!$D$3,(L11),J11))*(H11-(2*I11)))/Voorblad!L$3)))</f>
        <v>0</v>
      </c>
      <c r="G58" s="1319"/>
      <c r="H58" s="507">
        <f>IF(M11=0,0,(IF(N11=0,((DATE(Voorblad!D$3+1,1,1)-DATE(Voorblad!$D$3,(M11),J11))*(H11-(3*I11)))/Voorblad!L$3,((DATE(Voorblad!$D$3,(N11),J11)-DATE(Voorblad!$D$3,(M11),J11))*(H11-(3*I11)))/Voorblad!L$3)))</f>
        <v>0</v>
      </c>
      <c r="I58" s="1319">
        <f>IF(N11=0,0,(IF(O11=0,((DATE(Voorblad!D$3+1,1,1)-DATE(Voorblad!$D$3,(N11),J11))*(H11-(4*I11)))/Voorblad!L$3,((DATE(Voorblad!$D$3,(O11),J11)-DATE(Voorblad!$D$3,(N11),J11))*(H11-(4*I11)))/Voorblad!L$3)))</f>
        <v>0</v>
      </c>
      <c r="J58" s="1319"/>
      <c r="K58" s="1319">
        <f>IF(O11=0,0,(IF(P11=0,((DATE(Voorblad!D$3+1,1,1)-DATE(Voorblad!$D$3,(O11),J11))*(H11-(5*I11)))/Voorblad!L$3,((DATE(Voorblad!$D$3,(P11),J11)-DATE(Voorblad!$D$3,(O11),J11))*(H11-(5*I11)))/Voorblad!L$3)))</f>
        <v>0</v>
      </c>
      <c r="L58" s="1319"/>
      <c r="M58" s="1319"/>
      <c r="N58" s="1319"/>
      <c r="O58" s="1319"/>
      <c r="P58" s="1319"/>
      <c r="Q58" s="508">
        <f>IF(P11=0,0,((DATE(Voorblad!D$3+1,1,1)-DATE(Voorblad!$D$3,(P11),J11))*(H11-(6*I11)))/Voorblad!L$3)</f>
        <v>0</v>
      </c>
      <c r="R58" s="580">
        <f t="shared" si="20"/>
        <v>0</v>
      </c>
      <c r="S58" s="575">
        <f t="shared" si="21"/>
        <v>0</v>
      </c>
      <c r="T58"/>
      <c r="U58"/>
      <c r="V58"/>
      <c r="W58"/>
      <c r="X58"/>
      <c r="Y58"/>
      <c r="Z58"/>
      <c r="AA58" s="509">
        <f t="shared" si="22"/>
        <v>0</v>
      </c>
      <c r="AB58" s="509">
        <f t="shared" si="23"/>
        <v>0</v>
      </c>
    </row>
    <row r="59" spans="1:28" s="506" customFormat="1" ht="12.75" customHeight="1">
      <c r="A59" s="785">
        <f t="shared" si="24"/>
        <v>1905</v>
      </c>
      <c r="B59" s="1328">
        <f>IF(I12=0,H12,(((DATE(Voorblad!$D$3,K12,J12)-DATE(Voorblad!$D$3,1,1))*H12)/Voorblad!L$3))</f>
        <v>0</v>
      </c>
      <c r="C59" s="1328"/>
      <c r="D59" s="1319">
        <f>IF(K12=0,0,(IF(L12=0,((DATE(Voorblad!D$3+1,1,1)-DATE(Voorblad!$D$3,(K12),J12))*(H12-(1*I12)))/Voorblad!L$3,((DATE(Voorblad!$D$3,(L12),J12)-DATE(Voorblad!$D$3,(K12),J12))*(H12-(1*I12)))/Voorblad!L$3)))</f>
        <v>0</v>
      </c>
      <c r="E59" s="1319"/>
      <c r="F59" s="1319">
        <f>IF(L12=0,0,(IF(M12=0,((DATE(Voorblad!D$3+1,1,1)-DATE(Voorblad!$D$3,(L12),J12))*(H12-(2*I12)))/365,((DATE(Voorblad!$D$3,(M12),J12)-DATE(Voorblad!$D$3,(L12),J12))*(H12-(2*I12)))/Voorblad!L$3)))</f>
        <v>0</v>
      </c>
      <c r="G59" s="1319"/>
      <c r="H59" s="507">
        <f>IF(M12=0,0,(IF(N12=0,((DATE(Voorblad!D$3+1,1,1)-DATE(Voorblad!$D$3,(M12),J12))*(H12-(3*I12)))/Voorblad!L$3,((DATE(Voorblad!$D$3,(N12),J12)-DATE(Voorblad!$D$3,(M12),J12))*(H12-(3*I12)))/Voorblad!L$3)))</f>
        <v>0</v>
      </c>
      <c r="I59" s="1319">
        <f>IF(N12=0,0,(IF(O12=0,((DATE(Voorblad!D$3+1,1,1)-DATE(Voorblad!$D$3,(N12),J12))*(H12-(4*I12)))/Voorblad!L$3,((DATE(Voorblad!$D$3,(O12),J12)-DATE(Voorblad!$D$3,(N12),J12))*(H12-(4*I12)))/Voorblad!L$3)))</f>
        <v>0</v>
      </c>
      <c r="J59" s="1319"/>
      <c r="K59" s="1319">
        <f>IF(O12=0,0,(IF(P12=0,((DATE(Voorblad!D$3+1,1,1)-DATE(Voorblad!$D$3,(O12),J12))*(H12-(5*I12)))/Voorblad!L$3,((DATE(Voorblad!$D$3,(P12),J12)-DATE(Voorblad!$D$3,(O12),J12))*(H12-(5*I12)))/Voorblad!L$3)))</f>
        <v>0</v>
      </c>
      <c r="L59" s="1319"/>
      <c r="M59" s="1319"/>
      <c r="N59" s="1319"/>
      <c r="O59" s="1319"/>
      <c r="P59" s="1319"/>
      <c r="Q59" s="508">
        <f>IF(P12=0,0,((DATE(Voorblad!D$3+1,1,1)-DATE(Voorblad!$D$3,(P12),J12))*(H12-(6*I12)))/Voorblad!L$3)</f>
        <v>0</v>
      </c>
      <c r="R59" s="580">
        <f t="shared" si="20"/>
        <v>0</v>
      </c>
      <c r="S59" s="575">
        <f t="shared" si="21"/>
        <v>0</v>
      </c>
      <c r="T59"/>
      <c r="U59"/>
      <c r="V59"/>
      <c r="W59"/>
      <c r="X59"/>
      <c r="Y59"/>
      <c r="Z59"/>
      <c r="AA59" s="509">
        <f t="shared" si="22"/>
        <v>0</v>
      </c>
      <c r="AB59" s="509">
        <f t="shared" si="23"/>
        <v>0</v>
      </c>
    </row>
    <row r="60" spans="1:28" s="506" customFormat="1" ht="12.75" customHeight="1">
      <c r="A60" s="785">
        <f t="shared" si="24"/>
        <v>1906</v>
      </c>
      <c r="B60" s="1328">
        <f>IF(I13=0,H13,(((DATE(Voorblad!$D$3,K13,J13)-DATE(Voorblad!$D$3,1,1))*H13)/Voorblad!L$3))</f>
        <v>0</v>
      </c>
      <c r="C60" s="1328"/>
      <c r="D60" s="1319">
        <f>IF(K13=0,0,(IF(L13=0,((DATE(Voorblad!D$3+1,1,1)-DATE(Voorblad!$D$3,(K13),J13))*(H13-(1*I13)))/Voorblad!L$3,((DATE(Voorblad!$D$3,(L13),J13)-DATE(Voorblad!$D$3,(K13),J13))*(H13-(1*I13)))/Voorblad!L$3)))</f>
        <v>0</v>
      </c>
      <c r="E60" s="1319"/>
      <c r="F60" s="1319">
        <f>IF(L13=0,0,(IF(M13=0,((DATE(Voorblad!D$3+1,1,1)-DATE(Voorblad!$D$3,(L13),J13))*(H13-(2*I13)))/365,((DATE(Voorblad!$D$3,(M13),J13)-DATE(Voorblad!$D$3,(L13),J13))*(H13-(2*I13)))/Voorblad!L$3)))</f>
        <v>0</v>
      </c>
      <c r="G60" s="1319"/>
      <c r="H60" s="507">
        <f>IF(M13=0,0,(IF(N13=0,((DATE(Voorblad!D$3+1,1,1)-DATE(Voorblad!$D$3,(M13),J13))*(H13-(3*I13)))/Voorblad!L$3,((DATE(Voorblad!$D$3,(N13),J13)-DATE(Voorblad!$D$3,(M13),J13))*(H13-(3*I13)))/Voorblad!L$3)))</f>
        <v>0</v>
      </c>
      <c r="I60" s="1319">
        <f>IF(N13=0,0,(IF(O13=0,((DATE(Voorblad!D$3+1,1,1)-DATE(Voorblad!$D$3,(N13),J13))*(H13-(4*I13)))/Voorblad!L$3,((DATE(Voorblad!$D$3,(O13),J13)-DATE(Voorblad!$D$3,(N13),J13))*(H13-(4*I13)))/Voorblad!L$3)))</f>
        <v>0</v>
      </c>
      <c r="J60" s="1319"/>
      <c r="K60" s="1319">
        <f>IF(O13=0,0,(IF(P13=0,((DATE(Voorblad!D$3+1,1,1)-DATE(Voorblad!$D$3,(O13),J13))*(H13-(5*I13)))/Voorblad!L$3,((DATE(Voorblad!$D$3,(P13),J13)-DATE(Voorblad!$D$3,(O13),J13))*(H13-(5*I13)))/Voorblad!L$3)))</f>
        <v>0</v>
      </c>
      <c r="L60" s="1319"/>
      <c r="M60" s="1319"/>
      <c r="N60" s="1319"/>
      <c r="O60" s="1319"/>
      <c r="P60" s="1319"/>
      <c r="Q60" s="508">
        <f>IF(P13=0,0,((DATE(Voorblad!D$3+1,1,1)-DATE(Voorblad!$D$3,(P13),J13))*(H13-(6*I13)))/Voorblad!L$3)</f>
        <v>0</v>
      </c>
      <c r="R60" s="580">
        <f t="shared" si="20"/>
        <v>0</v>
      </c>
      <c r="S60" s="575">
        <f t="shared" si="21"/>
        <v>0</v>
      </c>
      <c r="T60"/>
      <c r="U60"/>
      <c r="V60"/>
      <c r="W60"/>
      <c r="X60"/>
      <c r="Y60"/>
      <c r="Z60"/>
      <c r="AA60" s="509">
        <f t="shared" si="22"/>
        <v>0</v>
      </c>
      <c r="AB60" s="509">
        <f t="shared" si="23"/>
        <v>0</v>
      </c>
    </row>
    <row r="61" spans="1:28" s="506" customFormat="1" ht="12.75" customHeight="1">
      <c r="A61" s="785">
        <f t="shared" si="24"/>
        <v>1907</v>
      </c>
      <c r="B61" s="1328">
        <f>IF(I14=0,H14,(((DATE(Voorblad!$D$3,K14,J14)-DATE(Voorblad!$D$3,1,1))*H14)/Voorblad!L$3))</f>
        <v>0</v>
      </c>
      <c r="C61" s="1328"/>
      <c r="D61" s="1319">
        <f>IF(K14=0,0,(IF(L14=0,((DATE(Voorblad!D$3+1,1,1)-DATE(Voorblad!$D$3,(K14),J14))*(H14-(1*I14)))/Voorblad!L$3,((DATE(Voorblad!$D$3,(L14),J14)-DATE(Voorblad!$D$3,(K14),J14))*(H14-(1*I14)))/Voorblad!L$3)))</f>
        <v>0</v>
      </c>
      <c r="E61" s="1319"/>
      <c r="F61" s="1319">
        <f>IF(L14=0,0,(IF(M14=0,((DATE(Voorblad!D$3+1,1,1)-DATE(Voorblad!$D$3,(L14),J14))*(H14-(2*I14)))/365,((DATE(Voorblad!$D$3,(M14),J14)-DATE(Voorblad!$D$3,(L14),J14))*(H14-(2*I14)))/Voorblad!L$3)))</f>
        <v>0</v>
      </c>
      <c r="G61" s="1319"/>
      <c r="H61" s="507">
        <f>IF(M14=0,0,(IF(N14=0,((DATE(Voorblad!D$3+1,1,1)-DATE(Voorblad!$D$3,(M14),J14))*(H14-(3*I14)))/Voorblad!L$3,((DATE(Voorblad!$D$3,(N14),J14)-DATE(Voorblad!$D$3,(M14),J14))*(H14-(3*I14)))/Voorblad!L$3)))</f>
        <v>0</v>
      </c>
      <c r="I61" s="1319">
        <f>IF(N14=0,0,(IF(O14=0,((DATE(Voorblad!D$3+1,1,1)-DATE(Voorblad!$D$3,(N14),J14))*(H14-(4*I14)))/Voorblad!L$3,((DATE(Voorblad!$D$3,(O14),J14)-DATE(Voorblad!$D$3,(N14),J14))*(H14-(4*I14)))/Voorblad!L$3)))</f>
        <v>0</v>
      </c>
      <c r="J61" s="1319"/>
      <c r="K61" s="1319">
        <f>IF(O14=0,0,(IF(P14=0,((DATE(Voorblad!D$3+1,1,1)-DATE(Voorblad!$D$3,(O14),J14))*(H14-(5*I14)))/Voorblad!L$3,((DATE(Voorblad!$D$3,(P14),J14)-DATE(Voorblad!$D$3,(O14),J14))*(H14-(5*I14)))/Voorblad!L$3)))</f>
        <v>0</v>
      </c>
      <c r="L61" s="1319"/>
      <c r="M61" s="1319"/>
      <c r="N61" s="1319"/>
      <c r="O61" s="1319"/>
      <c r="P61" s="1319"/>
      <c r="Q61" s="508">
        <f>IF(P14=0,0,((DATE(Voorblad!D$3+1,1,1)-DATE(Voorblad!$D$3,(P14),J14))*(H14-(6*I14)))/Voorblad!L$3)</f>
        <v>0</v>
      </c>
      <c r="R61" s="580">
        <f t="shared" si="20"/>
        <v>0</v>
      </c>
      <c r="S61" s="575">
        <f t="shared" si="21"/>
        <v>0</v>
      </c>
      <c r="T61"/>
      <c r="U61"/>
      <c r="V61"/>
      <c r="W61"/>
      <c r="X61"/>
      <c r="Y61"/>
      <c r="Z61"/>
      <c r="AA61" s="509">
        <f t="shared" si="22"/>
        <v>0</v>
      </c>
      <c r="AB61" s="509">
        <f t="shared" si="23"/>
        <v>0</v>
      </c>
    </row>
    <row r="62" spans="1:28" s="506" customFormat="1" ht="12.75" customHeight="1">
      <c r="A62" s="785">
        <f t="shared" si="24"/>
        <v>1908</v>
      </c>
      <c r="B62" s="1328">
        <f>IF(I15=0,H15,(((DATE(Voorblad!$D$3,K15,J15)-DATE(Voorblad!$D$3,1,1))*H15)/Voorblad!L$3))</f>
        <v>0</v>
      </c>
      <c r="C62" s="1328"/>
      <c r="D62" s="1319">
        <f>IF(K15=0,0,(IF(L15=0,((DATE(Voorblad!D$3+1,1,1)-DATE(Voorblad!$D$3,(K15),J15))*(H15-(1*I15)))/Voorblad!L$3,((DATE(Voorblad!$D$3,(L15),J15)-DATE(Voorblad!$D$3,(K15),J15))*(H15-(1*I15)))/Voorblad!L$3)))</f>
        <v>0</v>
      </c>
      <c r="E62" s="1319"/>
      <c r="F62" s="1319">
        <f>IF(L15=0,0,(IF(M15=0,((DATE(Voorblad!D$3+1,1,1)-DATE(Voorblad!$D$3,(L15),J15))*(H15-(2*I15)))/365,((DATE(Voorblad!$D$3,(M15),J15)-DATE(Voorblad!$D$3,(L15),J15))*(H15-(2*I15)))/Voorblad!L$3)))</f>
        <v>0</v>
      </c>
      <c r="G62" s="1319"/>
      <c r="H62" s="507">
        <f>IF(M15=0,0,(IF(N15=0,((DATE(Voorblad!D$3+1,1,1)-DATE(Voorblad!$D$3,(M15),J15))*(H15-(3*I15)))/Voorblad!L$3,((DATE(Voorblad!$D$3,(N15),J15)-DATE(Voorblad!$D$3,(M15),J15))*(H15-(3*I15)))/Voorblad!L$3)))</f>
        <v>0</v>
      </c>
      <c r="I62" s="1319">
        <f>IF(N15=0,0,(IF(O15=0,((DATE(Voorblad!D$3+1,1,1)-DATE(Voorblad!$D$3,(N15),J15))*(H15-(4*I15)))/Voorblad!L$3,((DATE(Voorblad!$D$3,(O15),J15)-DATE(Voorblad!$D$3,(N15),J15))*(H15-(4*I15)))/Voorblad!L$3)))</f>
        <v>0</v>
      </c>
      <c r="J62" s="1319"/>
      <c r="K62" s="1319">
        <f>IF(O15=0,0,(IF(P15=0,((DATE(Voorblad!D$3+1,1,1)-DATE(Voorblad!$D$3,(O15),J15))*(H15-(5*I15)))/Voorblad!L$3,((DATE(Voorblad!$D$3,(P15),J15)-DATE(Voorblad!$D$3,(O15),J15))*(H15-(5*I15)))/Voorblad!L$3)))</f>
        <v>0</v>
      </c>
      <c r="L62" s="1319"/>
      <c r="M62" s="1319"/>
      <c r="N62" s="1319"/>
      <c r="O62" s="1319"/>
      <c r="P62" s="1319"/>
      <c r="Q62" s="508">
        <f>IF(P15=0,0,((DATE(Voorblad!D$3+1,1,1)-DATE(Voorblad!$D$3,(P15),J15))*(H15-(6*I15)))/Voorblad!L$3)</f>
        <v>0</v>
      </c>
      <c r="R62" s="580">
        <f t="shared" si="20"/>
        <v>0</v>
      </c>
      <c r="S62" s="575">
        <f t="shared" si="21"/>
        <v>0</v>
      </c>
      <c r="T62"/>
      <c r="U62"/>
      <c r="V62"/>
      <c r="W62"/>
      <c r="X62"/>
      <c r="Y62"/>
      <c r="Z62"/>
      <c r="AA62" s="509">
        <f t="shared" si="22"/>
        <v>0</v>
      </c>
      <c r="AB62" s="509">
        <f t="shared" si="23"/>
        <v>0</v>
      </c>
    </row>
    <row r="63" spans="1:28" s="506" customFormat="1" ht="12.75" customHeight="1">
      <c r="A63" s="785">
        <f t="shared" si="24"/>
        <v>1909</v>
      </c>
      <c r="B63" s="1328">
        <f>IF(I16=0,H16,(((DATE(Voorblad!$D$3,K16,J16)-DATE(Voorblad!$D$3,1,1))*H16)/Voorblad!L$3))</f>
        <v>0</v>
      </c>
      <c r="C63" s="1328"/>
      <c r="D63" s="1319">
        <f>IF(K16=0,0,(IF(L16=0,((DATE(Voorblad!D$3+1,1,1)-DATE(Voorblad!$D$3,(K16),J16))*(H16-(1*I16)))/Voorblad!L$3,((DATE(Voorblad!$D$3,(L16),J16)-DATE(Voorblad!$D$3,(K16),J16))*(H16-(1*I16)))/Voorblad!L$3)))</f>
        <v>0</v>
      </c>
      <c r="E63" s="1319"/>
      <c r="F63" s="1319">
        <f>IF(L16=0,0,(IF(M16=0,((DATE(Voorblad!D$3+1,1,1)-DATE(Voorblad!$D$3,(L16),J16))*(H16-(2*I16)))/365,((DATE(Voorblad!$D$3,(M16),J16)-DATE(Voorblad!$D$3,(L16),J16))*(H16-(2*I16)))/Voorblad!L$3)))</f>
        <v>0</v>
      </c>
      <c r="G63" s="1319"/>
      <c r="H63" s="507">
        <f>IF(M16=0,0,(IF(N16=0,((DATE(Voorblad!D$3+1,1,1)-DATE(Voorblad!$D$3,(M16),J16))*(H16-(3*I16)))/Voorblad!L$3,((DATE(Voorblad!$D$3,(N16),J16)-DATE(Voorblad!$D$3,(M16),J16))*(H16-(3*I16)))/Voorblad!L$3)))</f>
        <v>0</v>
      </c>
      <c r="I63" s="1319">
        <f>IF(N16=0,0,(IF(O16=0,((DATE(Voorblad!D$3+1,1,1)-DATE(Voorblad!$D$3,(N16),J16))*(H16-(4*I16)))/Voorblad!L$3,((DATE(Voorblad!$D$3,(O16),J16)-DATE(Voorblad!$D$3,(N16),J16))*(H16-(4*I16)))/Voorblad!L$3)))</f>
        <v>0</v>
      </c>
      <c r="J63" s="1319"/>
      <c r="K63" s="1319">
        <f>IF(O16=0,0,(IF(P16=0,((DATE(Voorblad!D$3+1,1,1)-DATE(Voorblad!$D$3,(O16),J16))*(H16-(5*I16)))/Voorblad!L$3,((DATE(Voorblad!$D$3,(P16),J16)-DATE(Voorblad!$D$3,(O16),J16))*(H16-(5*I16)))/Voorblad!L$3)))</f>
        <v>0</v>
      </c>
      <c r="L63" s="1319"/>
      <c r="M63" s="1319"/>
      <c r="N63" s="1319"/>
      <c r="O63" s="1319"/>
      <c r="P63" s="1319"/>
      <c r="Q63" s="508">
        <f>IF(P16=0,0,((DATE(Voorblad!D$3+1,1,1)-DATE(Voorblad!$D$3,(P16),J16))*(H16-(6*I16)))/Voorblad!L$3)</f>
        <v>0</v>
      </c>
      <c r="R63" s="580">
        <f t="shared" si="20"/>
        <v>0</v>
      </c>
      <c r="S63" s="575">
        <f t="shared" si="21"/>
        <v>0</v>
      </c>
      <c r="T63"/>
      <c r="U63"/>
      <c r="V63"/>
      <c r="W63"/>
      <c r="X63"/>
      <c r="Y63"/>
      <c r="Z63"/>
      <c r="AA63" s="509"/>
      <c r="AB63" s="509"/>
    </row>
    <row r="64" spans="1:28" s="506" customFormat="1" ht="12.75" customHeight="1">
      <c r="A64" s="785">
        <f t="shared" si="24"/>
        <v>1910</v>
      </c>
      <c r="B64" s="1328">
        <f>IF(I17=0,H17,(((DATE(Voorblad!$D$3,K17,J17)-DATE(Voorblad!$D$3,1,1))*H17)/Voorblad!L$3))</f>
        <v>0</v>
      </c>
      <c r="C64" s="1328"/>
      <c r="D64" s="1319">
        <f>IF(K17=0,0,(IF(L17=0,((DATE(Voorblad!D$3+1,1,1)-DATE(Voorblad!$D$3,(K17),J17))*(H17-(1*I17)))/Voorblad!L$3,((DATE(Voorblad!$D$3,(L17),J17)-DATE(Voorblad!$D$3,(K17),J17))*(H17-(1*I17)))/Voorblad!L$3)))</f>
        <v>0</v>
      </c>
      <c r="E64" s="1319"/>
      <c r="F64" s="1319">
        <f>IF(L17=0,0,(IF(M17=0,((DATE(Voorblad!D$3+1,1,1)-DATE(Voorblad!$D$3,(L17),J17))*(H17-(2*I17)))/365,((DATE(Voorblad!$D$3,(M17),J17)-DATE(Voorblad!$D$3,(L17),J17))*(H17-(2*I17)))/Voorblad!L$3)))</f>
        <v>0</v>
      </c>
      <c r="G64" s="1319"/>
      <c r="H64" s="507">
        <f>IF(M17=0,0,(IF(N17=0,((DATE(Voorblad!D$3+1,1,1)-DATE(Voorblad!$D$3,(M17),J17))*(H17-(3*I17)))/Voorblad!L$3,((DATE(Voorblad!$D$3,(N17),J17)-DATE(Voorblad!$D$3,(M17),J17))*(H17-(3*I17)))/Voorblad!L$3)))</f>
        <v>0</v>
      </c>
      <c r="I64" s="1319">
        <f>IF(N17=0,0,(IF(O17=0,((DATE(Voorblad!D$3+1,1,1)-DATE(Voorblad!$D$3,(N17),J17))*(H17-(4*I17)))/Voorblad!L$3,((DATE(Voorblad!$D$3,(O17),J17)-DATE(Voorblad!$D$3,(N17),J17))*(H17-(4*I17)))/Voorblad!L$3)))</f>
        <v>0</v>
      </c>
      <c r="J64" s="1319"/>
      <c r="K64" s="1319">
        <f>IF(O17=0,0,(IF(P17=0,((DATE(Voorblad!D$3+1,1,1)-DATE(Voorblad!$D$3,(O17),J17))*(H17-(5*I17)))/Voorblad!L$3,((DATE(Voorblad!$D$3,(P17),J17)-DATE(Voorblad!$D$3,(O17),J17))*(H17-(5*I17)))/Voorblad!L$3)))</f>
        <v>0</v>
      </c>
      <c r="L64" s="1319"/>
      <c r="M64" s="1319"/>
      <c r="N64" s="1319"/>
      <c r="O64" s="1319"/>
      <c r="P64" s="1319"/>
      <c r="Q64" s="508">
        <f>IF(P17=0,0,((DATE(Voorblad!D$3+1,1,1)-DATE(Voorblad!$D$3,(P17),J17))*(H17-(6*I17)))/Voorblad!L$3)</f>
        <v>0</v>
      </c>
      <c r="R64" s="580">
        <f t="shared" si="20"/>
        <v>0</v>
      </c>
      <c r="S64" s="575">
        <f t="shared" si="21"/>
        <v>0</v>
      </c>
      <c r="T64"/>
      <c r="U64"/>
      <c r="V64"/>
      <c r="W64"/>
      <c r="X64"/>
      <c r="Y64"/>
      <c r="Z64"/>
      <c r="AA64" s="509"/>
      <c r="AB64" s="509"/>
    </row>
    <row r="65" spans="1:28" s="506" customFormat="1" ht="12.75" customHeight="1">
      <c r="A65" s="785">
        <f t="shared" si="24"/>
        <v>1911</v>
      </c>
      <c r="B65" s="1328">
        <f>IF(I18=0,H18,(((DATE(Voorblad!$D$3,K18,J18)-DATE(Voorblad!$D$3,1,1))*H18)/Voorblad!L$3))</f>
        <v>0</v>
      </c>
      <c r="C65" s="1328"/>
      <c r="D65" s="1319">
        <f>IF(K18=0,0,(IF(L18=0,((DATE(Voorblad!D$3+1,1,1)-DATE(Voorblad!$D$3,(K18),J18))*(H18-(1*I18)))/Voorblad!L$3,((DATE(Voorblad!$D$3,(L18),J18)-DATE(Voorblad!$D$3,(K18),J18))*(H18-(1*I18)))/Voorblad!L$3)))</f>
        <v>0</v>
      </c>
      <c r="E65" s="1319"/>
      <c r="F65" s="1319">
        <f>IF(L18=0,0,(IF(M18=0,((DATE(Voorblad!D$3+1,1,1)-DATE(Voorblad!$D$3,(L18),J18))*(H18-(2*I18)))/365,((DATE(Voorblad!$D$3,(M18),J18)-DATE(Voorblad!$D$3,(L18),J18))*(H18-(2*I18)))/Voorblad!L$3)))</f>
        <v>0</v>
      </c>
      <c r="G65" s="1319"/>
      <c r="H65" s="507">
        <f>IF(M18=0,0,(IF(N18=0,((DATE(Voorblad!D$3+1,1,1)-DATE(Voorblad!$D$3,(M18),J18))*(H18-(3*I18)))/Voorblad!L$3,((DATE(Voorblad!$D$3,(N18),J18)-DATE(Voorblad!$D$3,(M18),J18))*(H18-(3*I18)))/Voorblad!L$3)))</f>
        <v>0</v>
      </c>
      <c r="I65" s="1319">
        <f>IF(N18=0,0,(IF(O18=0,((DATE(Voorblad!D$3+1,1,1)-DATE(Voorblad!$D$3,(N18),J18))*(H18-(4*I18)))/Voorblad!L$3,((DATE(Voorblad!$D$3,(O18),J18)-DATE(Voorblad!$D$3,(N18),J18))*(H18-(4*I18)))/Voorblad!L$3)))</f>
        <v>0</v>
      </c>
      <c r="J65" s="1319"/>
      <c r="K65" s="1319">
        <f>IF(O18=0,0,(IF(P18=0,((DATE(Voorblad!D$3+1,1,1)-DATE(Voorblad!$D$3,(O18),J18))*(H18-(5*I18)))/Voorblad!L$3,((DATE(Voorblad!$D$3,(P18),J18)-DATE(Voorblad!$D$3,(O18),J18))*(H18-(5*I18)))/Voorblad!L$3)))</f>
        <v>0</v>
      </c>
      <c r="L65" s="1319"/>
      <c r="M65" s="1319"/>
      <c r="N65" s="1319"/>
      <c r="O65" s="1319"/>
      <c r="P65" s="1319"/>
      <c r="Q65" s="508">
        <f>IF(P18=0,0,((DATE(Voorblad!D$3+1,1,1)-DATE(Voorblad!$D$3,(P18),J18))*(H18-(6*I18)))/Voorblad!L$3)</f>
        <v>0</v>
      </c>
      <c r="R65" s="580">
        <f>SUM(B65:Q65)</f>
        <v>0</v>
      </c>
      <c r="S65" s="575">
        <f t="shared" si="21"/>
        <v>0</v>
      </c>
      <c r="T65"/>
      <c r="U65"/>
      <c r="V65"/>
      <c r="W65"/>
      <c r="X65"/>
      <c r="Y65"/>
      <c r="Z65"/>
      <c r="AA65" s="509"/>
      <c r="AB65" s="509"/>
    </row>
    <row r="66" spans="1:28" s="506" customFormat="1" ht="12.75" customHeight="1">
      <c r="A66" s="785">
        <f t="shared" si="24"/>
        <v>1912</v>
      </c>
      <c r="B66" s="1328">
        <f>IF(I19=0,H19,(((DATE(Voorblad!$D$3,K19,J19)-DATE(Voorblad!$D$3,1,1))*H19)/Voorblad!L$3))</f>
        <v>0</v>
      </c>
      <c r="C66" s="1328"/>
      <c r="D66" s="1319">
        <f>IF(K19=0,0,(IF(L19=0,((DATE(Voorblad!D$3+1,1,1)-DATE(Voorblad!$D$3,(K19),J19))*(H19-(1*I19)))/Voorblad!L$3,((DATE(Voorblad!$D$3,(L19),J19)-DATE(Voorblad!$D$3,(K19),J19))*(H19-(1*I19)))/Voorblad!L$3)))</f>
        <v>0</v>
      </c>
      <c r="E66" s="1319"/>
      <c r="F66" s="1319">
        <f>IF(L19=0,0,(IF(M19=0,((DATE(Voorblad!D$3+1,1,1)-DATE(Voorblad!$D$3,(L19),J19))*(H19-(2*I19)))/365,((DATE(Voorblad!$D$3,(M19),J19)-DATE(Voorblad!$D$3,(L19),J19))*(H19-(2*I19)))/Voorblad!L$3)))</f>
        <v>0</v>
      </c>
      <c r="G66" s="1319"/>
      <c r="H66" s="507">
        <f>IF(M19=0,0,(IF(N19=0,((DATE(Voorblad!D$3+1,1,1)-DATE(Voorblad!$D$3,(M19),J19))*(H19-(3*I19)))/Voorblad!L$3,((DATE(Voorblad!$D$3,(N19),J19)-DATE(Voorblad!$D$3,(M19),J19))*(H19-(3*I19)))/Voorblad!L$3)))</f>
        <v>0</v>
      </c>
      <c r="I66" s="1319">
        <f>IF(N19=0,0,(IF(O19=0,((DATE(Voorblad!D$3+1,1,1)-DATE(Voorblad!$D$3,(N19),J19))*(H19-(4*I19)))/Voorblad!L$3,((DATE(Voorblad!$D$3,(O19),J19)-DATE(Voorblad!$D$3,(N19),J19))*(H19-(4*I19)))/Voorblad!L$3)))</f>
        <v>0</v>
      </c>
      <c r="J66" s="1319"/>
      <c r="K66" s="1319">
        <f>IF(O19=0,0,(IF(P19=0,((DATE(Voorblad!D$3+1,1,1)-DATE(Voorblad!$D$3,(O19),J19))*(H19-(5*I19)))/Voorblad!L$3,((DATE(Voorblad!$D$3,(P19),J19)-DATE(Voorblad!$D$3,(O19),J19))*(H19-(5*I19)))/Voorblad!L$3)))</f>
        <v>0</v>
      </c>
      <c r="L66" s="1319"/>
      <c r="M66" s="1319"/>
      <c r="N66" s="1319"/>
      <c r="O66" s="1319"/>
      <c r="P66" s="1319"/>
      <c r="Q66" s="508">
        <f>IF(P19=0,0,((DATE(Voorblad!D$3+1,1,1)-DATE(Voorblad!$D$3,(P19),J19))*(H19-(6*I19)))/Voorblad!L$3)</f>
        <v>0</v>
      </c>
      <c r="R66" s="580">
        <f>SUM(B66:Q66)</f>
        <v>0</v>
      </c>
      <c r="S66" s="575">
        <f t="shared" si="21"/>
        <v>0</v>
      </c>
      <c r="T66"/>
      <c r="U66"/>
      <c r="V66"/>
      <c r="W66"/>
      <c r="X66"/>
      <c r="Y66"/>
      <c r="Z66"/>
      <c r="AA66" s="509"/>
      <c r="AB66" s="509"/>
    </row>
    <row r="67" spans="1:28" s="506" customFormat="1" ht="12.75" customHeight="1">
      <c r="A67" s="785">
        <f t="shared" si="24"/>
        <v>1913</v>
      </c>
      <c r="B67" s="1328">
        <f>IF(I20=0,H20,(((DATE(Voorblad!$D$3,K20,J20)-DATE(Voorblad!$D$3,1,1))*H20)/Voorblad!L$3))</f>
        <v>0</v>
      </c>
      <c r="C67" s="1328"/>
      <c r="D67" s="1319">
        <f>IF(K20=0,0,(IF(L20=0,((DATE(Voorblad!D$3+1,1,1)-DATE(Voorblad!$D$3,(K20),J20))*(H20-(1*I20)))/Voorblad!L$3,((DATE(Voorblad!$D$3,(L20),J20)-DATE(Voorblad!$D$3,(K20),J20))*(H20-(1*I20)))/Voorblad!L$3)))</f>
        <v>0</v>
      </c>
      <c r="E67" s="1319"/>
      <c r="F67" s="1319">
        <f>IF(L20=0,0,(IF(M20=0,((DATE(Voorblad!D$3+1,1,1)-DATE(Voorblad!$D$3,(L20),J20))*(H20-(2*I20)))/365,((DATE(Voorblad!$D$3,(M20),J20)-DATE(Voorblad!$D$3,(L20),J20))*(H20-(2*I20)))/Voorblad!L$3)))</f>
        <v>0</v>
      </c>
      <c r="G67" s="1319"/>
      <c r="H67" s="507">
        <f>IF(M20=0,0,(IF(N20=0,((DATE(Voorblad!D$3+1,1,1)-DATE(Voorblad!$D$3,(M20),J20))*(H20-(3*I20)))/Voorblad!L$3,((DATE(Voorblad!$D$3,(N20),J20)-DATE(Voorblad!$D$3,(M20),J20))*(H20-(3*I20)))/Voorblad!L$3)))</f>
        <v>0</v>
      </c>
      <c r="I67" s="1319">
        <f>IF(N20=0,0,(IF(O20=0,((DATE(Voorblad!D$3+1,1,1)-DATE(Voorblad!$D$3,(N20),J20))*(H20-(4*I20)))/Voorblad!L$3,((DATE(Voorblad!$D$3,(O20),J20)-DATE(Voorblad!$D$3,(N20),J20))*(H20-(4*I20)))/Voorblad!L$3)))</f>
        <v>0</v>
      </c>
      <c r="J67" s="1319"/>
      <c r="K67" s="1319">
        <f>IF(O20=0,0,(IF(P20=0,((DATE(Voorblad!D$3+1,1,1)-DATE(Voorblad!$D$3,(O20),J20))*(H20-(5*I20)))/Voorblad!L$3,((DATE(Voorblad!$D$3,(P20),J20)-DATE(Voorblad!$D$3,(O20),J20))*(H20-(5*I20)))/Voorblad!L$3)))</f>
        <v>0</v>
      </c>
      <c r="L67" s="1319"/>
      <c r="M67" s="1319"/>
      <c r="N67" s="1319"/>
      <c r="O67" s="1319"/>
      <c r="P67" s="1319"/>
      <c r="Q67" s="508">
        <f>IF(P20=0,0,((DATE(Voorblad!D$3+1,1,1)-DATE(Voorblad!$D$3,(P20),J20))*(H20-(6*I20)))/Voorblad!L$3)</f>
        <v>0</v>
      </c>
      <c r="R67" s="580">
        <f>SUM(B67:Q67)</f>
        <v>0</v>
      </c>
      <c r="S67" s="575">
        <f t="shared" si="21"/>
        <v>0</v>
      </c>
      <c r="T67"/>
      <c r="U67"/>
      <c r="V67"/>
      <c r="W67"/>
      <c r="X67"/>
      <c r="Y67"/>
      <c r="Z67"/>
      <c r="AA67" s="509"/>
      <c r="AB67" s="509"/>
    </row>
    <row r="68" spans="1:28" s="506" customFormat="1" ht="12.75" customHeight="1">
      <c r="A68" s="785">
        <f t="shared" si="24"/>
        <v>1914</v>
      </c>
      <c r="B68" s="1328">
        <f>IF(I21=0,H21,(((DATE(Voorblad!$D$3,K21,J21)-DATE(Voorblad!$D$3,1,1))*H21)/Voorblad!L$3))</f>
        <v>0</v>
      </c>
      <c r="C68" s="1328"/>
      <c r="D68" s="1319">
        <f>IF(K21=0,0,(IF(L21=0,((DATE(Voorblad!D$3+1,1,1)-DATE(Voorblad!$D$3,(K21),J21))*(H21-(1*I21)))/Voorblad!L$3,((DATE(Voorblad!$D$3,(L21),J21)-DATE(Voorblad!$D$3,(K21),J21))*(H21-(1*I21)))/Voorblad!L$3)))</f>
        <v>0</v>
      </c>
      <c r="E68" s="1319"/>
      <c r="F68" s="1319">
        <f>IF(L21=0,0,(IF(M21=0,((DATE(Voorblad!D$3+1,1,1)-DATE(Voorblad!$D$3,(L21),J21))*(H21-(2*I21)))/365,((DATE(Voorblad!$D$3,(M21),J21)-DATE(Voorblad!$D$3,(L21),J21))*(H21-(2*I21)))/Voorblad!L$3)))</f>
        <v>0</v>
      </c>
      <c r="G68" s="1319"/>
      <c r="H68" s="507">
        <f>IF(M21=0,0,(IF(N21=0,((DATE(Voorblad!D$3+1,1,1)-DATE(Voorblad!$D$3,(M21),J21))*(H21-(3*I21)))/Voorblad!L$3,((DATE(Voorblad!$D$3,(N21),J21)-DATE(Voorblad!$D$3,(M21),J21))*(H21-(3*I21)))/Voorblad!L$3)))</f>
        <v>0</v>
      </c>
      <c r="I68" s="1319">
        <f>IF(N21=0,0,(IF(O21=0,((DATE(Voorblad!D$3+1,1,1)-DATE(Voorblad!$D$3,(N21),J21))*(H21-(4*I21)))/Voorblad!L$3,((DATE(Voorblad!$D$3,(O21),J21)-DATE(Voorblad!$D$3,(N21),J21))*(H21-(4*I21)))/Voorblad!L$3)))</f>
        <v>0</v>
      </c>
      <c r="J68" s="1319"/>
      <c r="K68" s="1319">
        <f>IF(O21=0,0,(IF(P21=0,((DATE(Voorblad!D$3+1,1,1)-DATE(Voorblad!$D$3,(O21),J21))*(H21-(5*I21)))/Voorblad!L$3,((DATE(Voorblad!$D$3,(P21),J21)-DATE(Voorblad!$D$3,(O21),J21))*(H21-(5*I21)))/Voorblad!L$3)))</f>
        <v>0</v>
      </c>
      <c r="L68" s="1319"/>
      <c r="M68" s="1319"/>
      <c r="N68" s="1319"/>
      <c r="O68" s="1319"/>
      <c r="P68" s="1319"/>
      <c r="Q68" s="508">
        <f>IF(P21=0,0,((DATE(Voorblad!D$3+1,1,1)-DATE(Voorblad!$D$3,(P21),J21))*(H21-(6*I21)))/Voorblad!L$3)</f>
        <v>0</v>
      </c>
      <c r="R68" s="580">
        <f>SUM(B68:Q68)</f>
        <v>0</v>
      </c>
      <c r="S68" s="575">
        <f t="shared" si="21"/>
        <v>0</v>
      </c>
      <c r="T68"/>
      <c r="U68"/>
      <c r="V68"/>
      <c r="W68"/>
      <c r="X68"/>
      <c r="Y68"/>
      <c r="Z68"/>
      <c r="AA68" s="509"/>
      <c r="AB68" s="509"/>
    </row>
    <row r="69" spans="1:28" s="506" customFormat="1" ht="12.75" customHeight="1">
      <c r="A69" s="785">
        <f t="shared" si="24"/>
        <v>1915</v>
      </c>
      <c r="B69" s="1328">
        <f>IF(I22=0,H22,(((DATE(Voorblad!$D$3,K22,J22)-DATE(Voorblad!$D$3,1,1))*H22)/Voorblad!L$3))</f>
        <v>0</v>
      </c>
      <c r="C69" s="1328"/>
      <c r="D69" s="1319">
        <f>IF(K22=0,0,(IF(L22=0,((DATE(Voorblad!D$3+1,1,1)-DATE(Voorblad!$D$3,(K22),J22))*(H22-(1*I22)))/Voorblad!L$3,((DATE(Voorblad!$D$3,(L22),J22)-DATE(Voorblad!$D$3,(K22),J22))*(H22-(1*I22)))/Voorblad!L$3)))</f>
        <v>0</v>
      </c>
      <c r="E69" s="1319"/>
      <c r="F69" s="1319">
        <f>IF(L22=0,0,(IF(M22=0,((DATE(Voorblad!D$3+1,1,1)-DATE(Voorblad!$D$3,(L22),J22))*(H22-(2*I22)))/365,((DATE(Voorblad!$D$3,(M22),J22)-DATE(Voorblad!$D$3,(L22),J22))*(H22-(2*I22)))/Voorblad!L$3)))</f>
        <v>0</v>
      </c>
      <c r="G69" s="1319"/>
      <c r="H69" s="507">
        <f>IF(M22=0,0,(IF(N22=0,((DATE(Voorblad!D$3+1,1,1)-DATE(Voorblad!$D$3,(M22),J22))*(H22-(3*I22)))/Voorblad!L$3,((DATE(Voorblad!$D$3,(N22),J22)-DATE(Voorblad!$D$3,(M22),J22))*(H22-(3*I22)))/Voorblad!L$3)))</f>
        <v>0</v>
      </c>
      <c r="I69" s="1319">
        <f>IF(N22=0,0,(IF(O22=0,((DATE(Voorblad!D$3+1,1,1)-DATE(Voorblad!$D$3,(N22),J22))*(H22-(4*I22)))/Voorblad!L$3,((DATE(Voorblad!$D$3,(O22),J22)-DATE(Voorblad!$D$3,(N22),J22))*(H22-(4*I22)))/Voorblad!L$3)))</f>
        <v>0</v>
      </c>
      <c r="J69" s="1319"/>
      <c r="K69" s="1319">
        <f>IF(O22=0,0,(IF(P22=0,((DATE(Voorblad!D$3+1,1,1)-DATE(Voorblad!$D$3,(O22),J22))*(H22-(5*I22)))/Voorblad!L$3,((DATE(Voorblad!$D$3,(P22),J22)-DATE(Voorblad!$D$3,(O22),J22))*(H22-(5*I22)))/Voorblad!L$3)))</f>
        <v>0</v>
      </c>
      <c r="L69" s="1319"/>
      <c r="M69" s="1319"/>
      <c r="N69" s="1319"/>
      <c r="O69" s="1319"/>
      <c r="P69" s="1319"/>
      <c r="Q69" s="508">
        <f>IF(P22=0,0,((DATE(Voorblad!D$3+1,1,1)-DATE(Voorblad!$D$3,(P22),J22))*(H22-(6*I22)))/Voorblad!L$3)</f>
        <v>0</v>
      </c>
      <c r="R69" s="580">
        <f>SUM(B69:Q69)</f>
        <v>0</v>
      </c>
      <c r="S69" s="575">
        <f t="shared" si="21"/>
        <v>0</v>
      </c>
      <c r="T69"/>
      <c r="U69"/>
      <c r="V69"/>
      <c r="W69"/>
      <c r="X69"/>
      <c r="Y69"/>
      <c r="Z69"/>
      <c r="AA69" s="509"/>
      <c r="AB69" s="509"/>
    </row>
    <row r="70" spans="1:28" s="506" customFormat="1" ht="12.75" customHeight="1">
      <c r="A70" s="785">
        <f t="shared" si="24"/>
        <v>1916</v>
      </c>
      <c r="B70" s="1328">
        <f>IF(I23=0,H23,(((DATE(Voorblad!$D$3,K23,J23)-DATE(Voorblad!$D$3,1,1))*H23)/Voorblad!L$3))</f>
        <v>0</v>
      </c>
      <c r="C70" s="1328"/>
      <c r="D70" s="1319">
        <f>IF(K23=0,0,(IF(L23=0,((DATE(Voorblad!D$3+1,1,1)-DATE(Voorblad!$D$3,(K23),J23))*(H23-(1*I23)))/Voorblad!L$3,((DATE(Voorblad!$D$3,(L23),J23)-DATE(Voorblad!$D$3,(K23),J23))*(H23-(1*I23)))/Voorblad!L$3)))</f>
        <v>0</v>
      </c>
      <c r="E70" s="1319"/>
      <c r="F70" s="1319">
        <f>IF(L23=0,0,(IF(M23=0,((DATE(Voorblad!D$3+1,1,1)-DATE(Voorblad!$D$3,(L23),J23))*(H23-(2*I23)))/365,((DATE(Voorblad!$D$3,(M23),J23)-DATE(Voorblad!$D$3,(L23),J23))*(H23-(2*I23)))/Voorblad!L$3)))</f>
        <v>0</v>
      </c>
      <c r="G70" s="1319"/>
      <c r="H70" s="507">
        <f>IF(M23=0,0,(IF(N23=0,((DATE(Voorblad!D$3+1,1,1)-DATE(Voorblad!$D$3,(M23),J23))*(H23-(3*I23)))/Voorblad!L$3,((DATE(Voorblad!$D$3,(N23),J23)-DATE(Voorblad!$D$3,(M23),J23))*(H23-(3*I23)))/Voorblad!L$3)))</f>
        <v>0</v>
      </c>
      <c r="I70" s="1319">
        <f>IF(N23=0,0,(IF(O23=0,((DATE(Voorblad!D$3+1,1,1)-DATE(Voorblad!$D$3,(N23),J23))*(H23-(4*I23)))/Voorblad!L$3,((DATE(Voorblad!$D$3,(O23),J23)-DATE(Voorblad!$D$3,(N23),J23))*(H23-(4*I23)))/Voorblad!L$3)))</f>
        <v>0</v>
      </c>
      <c r="J70" s="1319"/>
      <c r="K70" s="1319">
        <f>IF(O23=0,0,(IF(P23=0,((DATE(Voorblad!D$3+1,1,1)-DATE(Voorblad!$D$3,(O23),J23))*(H23-(5*I23)))/Voorblad!L$3,((DATE(Voorblad!$D$3,(P23),J23)-DATE(Voorblad!$D$3,(O23),J23))*(H23-(5*I23)))/Voorblad!L$3)))</f>
        <v>0</v>
      </c>
      <c r="L70" s="1319"/>
      <c r="M70" s="1319"/>
      <c r="N70" s="1319"/>
      <c r="O70" s="1319"/>
      <c r="P70" s="1319"/>
      <c r="Q70" s="508">
        <f>IF(P23=0,0,((DATE(Voorblad!D$3+1,1,1)-DATE(Voorblad!$D$3,(P23),J23))*(H23-(6*I23)))/Voorblad!L$3)</f>
        <v>0</v>
      </c>
      <c r="R70" s="580">
        <f aca="true" t="shared" si="25" ref="R70:R81">SUM(B70:Q70)</f>
        <v>0</v>
      </c>
      <c r="S70" s="575">
        <f t="shared" si="21"/>
        <v>0</v>
      </c>
      <c r="T70"/>
      <c r="U70"/>
      <c r="V70"/>
      <c r="W70"/>
      <c r="X70"/>
      <c r="Y70"/>
      <c r="Z70"/>
      <c r="AA70" s="509">
        <f t="shared" si="22"/>
        <v>0</v>
      </c>
      <c r="AB70" s="509">
        <f t="shared" si="23"/>
        <v>0</v>
      </c>
    </row>
    <row r="71" spans="1:28" s="506" customFormat="1" ht="12.75" customHeight="1">
      <c r="A71" s="785">
        <f t="shared" si="24"/>
        <v>1917</v>
      </c>
      <c r="B71" s="1328">
        <f>IF(I24=0,H24,(((DATE(Voorblad!$D$3,K24,J24)-DATE(Voorblad!$D$3,1,1))*H24)/Voorblad!L$3))</f>
        <v>0</v>
      </c>
      <c r="C71" s="1328"/>
      <c r="D71" s="1319">
        <f>IF(K24=0,0,(IF(L24=0,((DATE(Voorblad!D$3+1,1,1)-DATE(Voorblad!$D$3,(K24),J24))*(H24-(1*I24)))/Voorblad!L$3,((DATE(Voorblad!$D$3,(L24),J24)-DATE(Voorblad!$D$3,(K24),J24))*(H24-(1*I24)))/Voorblad!L$3)))</f>
        <v>0</v>
      </c>
      <c r="E71" s="1319"/>
      <c r="F71" s="1319">
        <f>IF(L24=0,0,(IF(M24=0,((DATE(Voorblad!D$3+1,1,1)-DATE(Voorblad!$D$3,(L24),J24))*(H24-(2*I24)))/365,((DATE(Voorblad!$D$3,(M24),J24)-DATE(Voorblad!$D$3,(L24),J24))*(H24-(2*I24)))/Voorblad!L$3)))</f>
        <v>0</v>
      </c>
      <c r="G71" s="1319"/>
      <c r="H71" s="507">
        <f>IF(M24=0,0,(IF(N24=0,((DATE(Voorblad!D$3+1,1,1)-DATE(Voorblad!$D$3,(M24),J24))*(H24-(3*I24)))/Voorblad!L$3,((DATE(Voorblad!$D$3,(N24),J24)-DATE(Voorblad!$D$3,(M24),J24))*(H24-(3*I24)))/Voorblad!L$3)))</f>
        <v>0</v>
      </c>
      <c r="I71" s="1319">
        <f>IF(N24=0,0,(IF(O24=0,((DATE(Voorblad!D$3+1,1,1)-DATE(Voorblad!$D$3,(N24),J24))*(H24-(4*I24)))/Voorblad!L$3,((DATE(Voorblad!$D$3,(O24),J24)-DATE(Voorblad!$D$3,(N24),J24))*(H24-(4*I24)))/Voorblad!L$3)))</f>
        <v>0</v>
      </c>
      <c r="J71" s="1319"/>
      <c r="K71" s="1319">
        <f>IF(O24=0,0,(IF(P24=0,((DATE(Voorblad!D$3+1,1,1)-DATE(Voorblad!$D$3,(O24),J24))*(H24-(5*I24)))/Voorblad!L$3,((DATE(Voorblad!$D$3,(P24),J24)-DATE(Voorblad!$D$3,(O24),J24))*(H24-(5*I24)))/Voorblad!L$3)))</f>
        <v>0</v>
      </c>
      <c r="L71" s="1319"/>
      <c r="M71" s="1319"/>
      <c r="N71" s="1319"/>
      <c r="O71" s="1319"/>
      <c r="P71" s="1319"/>
      <c r="Q71" s="508">
        <f>IF(P24=0,0,((DATE(Voorblad!D$3+1,1,1)-DATE(Voorblad!$D$3,(P24),J24))*(H24-(6*I24)))/Voorblad!L$3)</f>
        <v>0</v>
      </c>
      <c r="R71" s="580">
        <f t="shared" si="25"/>
        <v>0</v>
      </c>
      <c r="S71" s="575">
        <f t="shared" si="21"/>
        <v>0</v>
      </c>
      <c r="T71"/>
      <c r="U71"/>
      <c r="V71"/>
      <c r="W71"/>
      <c r="X71"/>
      <c r="Y71"/>
      <c r="Z71"/>
      <c r="AA71" s="509">
        <f t="shared" si="22"/>
        <v>0</v>
      </c>
      <c r="AB71" s="509">
        <f t="shared" si="23"/>
        <v>0</v>
      </c>
    </row>
    <row r="72" spans="1:28" s="506" customFormat="1" ht="12.75" customHeight="1">
      <c r="A72" s="785">
        <f t="shared" si="24"/>
        <v>1918</v>
      </c>
      <c r="B72" s="1328">
        <f>IF(I25=0,H25,(((DATE(Voorblad!$D$3,K25,J25)-DATE(Voorblad!$D$3,1,1))*H25)/Voorblad!L$3))</f>
        <v>0</v>
      </c>
      <c r="C72" s="1328"/>
      <c r="D72" s="1319">
        <f>IF(K25=0,0,(IF(L25=0,((DATE(Voorblad!D$3+1,1,1)-DATE(Voorblad!$D$3,(K25),J25))*(H25-(1*I25)))/Voorblad!L$3,((DATE(Voorblad!$D$3,(L25),J25)-DATE(Voorblad!$D$3,(K25),J25))*(H25-(1*I25)))/Voorblad!L$3)))</f>
        <v>0</v>
      </c>
      <c r="E72" s="1319"/>
      <c r="F72" s="1319">
        <f>IF(L25=0,0,(IF(M25=0,((DATE(Voorblad!D$3+1,1,1)-DATE(Voorblad!$D$3,(L25),J25))*(H25-(2*I25)))/365,((DATE(Voorblad!$D$3,(M25),J25)-DATE(Voorblad!$D$3,(L25),J25))*(H25-(2*I25)))/Voorblad!L$3)))</f>
        <v>0</v>
      </c>
      <c r="G72" s="1319"/>
      <c r="H72" s="507">
        <f>IF(M25=0,0,(IF(N25=0,((DATE(Voorblad!D$3+1,1,1)-DATE(Voorblad!$D$3,(M25),J25))*(H25-(3*I25)))/Voorblad!L$3,((DATE(Voorblad!$D$3,(N25),J25)-DATE(Voorblad!$D$3,(M25),J25))*(H25-(3*I25)))/Voorblad!L$3)))</f>
        <v>0</v>
      </c>
      <c r="I72" s="1319">
        <f>IF(N25=0,0,(IF(O25=0,((DATE(Voorblad!D$3+1,1,1)-DATE(Voorblad!$D$3,(N25),J25))*(H25-(4*I25)))/Voorblad!L$3,((DATE(Voorblad!$D$3,(O25),J25)-DATE(Voorblad!$D$3,(N25),J25))*(H25-(4*I25)))/Voorblad!L$3)))</f>
        <v>0</v>
      </c>
      <c r="J72" s="1319"/>
      <c r="K72" s="1319">
        <f>IF(O25=0,0,(IF(P25=0,((DATE(Voorblad!D$3+1,1,1)-DATE(Voorblad!$D$3,(O25),J25))*(H25-(5*I25)))/Voorblad!L$3,((DATE(Voorblad!$D$3,(P25),J25)-DATE(Voorblad!$D$3,(O25),J25))*(H25-(5*I25)))/Voorblad!L$3)))</f>
        <v>0</v>
      </c>
      <c r="L72" s="1319"/>
      <c r="M72" s="1319"/>
      <c r="N72" s="1319"/>
      <c r="O72" s="1319"/>
      <c r="P72" s="1319"/>
      <c r="Q72" s="508">
        <f>IF(P25=0,0,((DATE(Voorblad!D$3+1,1,1)-DATE(Voorblad!$D$3,(P25),J25))*(H25-(6*I25)))/Voorblad!L$3)</f>
        <v>0</v>
      </c>
      <c r="R72" s="580">
        <f t="shared" si="25"/>
        <v>0</v>
      </c>
      <c r="S72" s="575">
        <f t="shared" si="21"/>
        <v>0</v>
      </c>
      <c r="T72"/>
      <c r="U72"/>
      <c r="V72"/>
      <c r="W72"/>
      <c r="X72"/>
      <c r="Y72"/>
      <c r="Z72"/>
      <c r="AA72" s="509">
        <f t="shared" si="22"/>
        <v>0</v>
      </c>
      <c r="AB72" s="509">
        <f t="shared" si="23"/>
        <v>0</v>
      </c>
    </row>
    <row r="73" spans="1:28" s="506" customFormat="1" ht="12.75" customHeight="1">
      <c r="A73" s="785">
        <f t="shared" si="24"/>
        <v>1919</v>
      </c>
      <c r="B73" s="1328">
        <f>IF(I26=0,H26,(((DATE(Voorblad!$D$3,K26,J26)-DATE(Voorblad!$D$3,1,1))*H26)/Voorblad!L$3))</f>
        <v>0</v>
      </c>
      <c r="C73" s="1328"/>
      <c r="D73" s="1319">
        <f>IF(K26=0,0,(IF(L26=0,((DATE(Voorblad!D$3+1,1,1)-DATE(Voorblad!$D$3,(K26),J26))*(H26-(1*I26)))/Voorblad!L$3,((DATE(Voorblad!$D$3,(L26),J26)-DATE(Voorblad!$D$3,(K26),J26))*(H26-(1*I26)))/Voorblad!L$3)))</f>
        <v>0</v>
      </c>
      <c r="E73" s="1319"/>
      <c r="F73" s="1319">
        <f>IF(L26=0,0,(IF(M26=0,((DATE(Voorblad!D$3+1,1,1)-DATE(Voorblad!$D$3,(L26),J26))*(H26-(2*I26)))/365,((DATE(Voorblad!$D$3,(M26),J26)-DATE(Voorblad!$D$3,(L26),J26))*(H26-(2*I26)))/Voorblad!L$3)))</f>
        <v>0</v>
      </c>
      <c r="G73" s="1319"/>
      <c r="H73" s="507">
        <f>IF(M26=0,0,(IF(N26=0,((DATE(Voorblad!D$3+1,1,1)-DATE(Voorblad!$D$3,(M26),J26))*(H26-(3*I26)))/Voorblad!L$3,((DATE(Voorblad!$D$3,(N26),J26)-DATE(Voorblad!$D$3,(M26),J26))*(H26-(3*I26)))/Voorblad!L$3)))</f>
        <v>0</v>
      </c>
      <c r="I73" s="1319">
        <f>IF(N26=0,0,(IF(O26=0,((DATE(Voorblad!D$3+1,1,1)-DATE(Voorblad!$D$3,(N26),J26))*(H26-(4*I26)))/Voorblad!L$3,((DATE(Voorblad!$D$3,(O26),J26)-DATE(Voorblad!$D$3,(N26),J26))*(H26-(4*I26)))/Voorblad!L$3)))</f>
        <v>0</v>
      </c>
      <c r="J73" s="1319"/>
      <c r="K73" s="1319">
        <f>IF(O26=0,0,(IF(P26=0,((DATE(Voorblad!D$3+1,1,1)-DATE(Voorblad!$D$3,(O26),J26))*(H26-(5*I26)))/Voorblad!L$3,((DATE(Voorblad!$D$3,(P26),J26)-DATE(Voorblad!$D$3,(O26),J26))*(H26-(5*I26)))/Voorblad!L$3)))</f>
        <v>0</v>
      </c>
      <c r="L73" s="1319"/>
      <c r="M73" s="1319"/>
      <c r="N73" s="1319"/>
      <c r="O73" s="1319"/>
      <c r="P73" s="1319"/>
      <c r="Q73" s="508">
        <f>IF(P26=0,0,((DATE(Voorblad!D$3+1,1,1)-DATE(Voorblad!$D$3,(P26),J26))*(H26-(6*I26)))/Voorblad!L$3)</f>
        <v>0</v>
      </c>
      <c r="R73" s="580">
        <f t="shared" si="25"/>
        <v>0</v>
      </c>
      <c r="S73" s="575">
        <f t="shared" si="21"/>
        <v>0</v>
      </c>
      <c r="T73"/>
      <c r="U73"/>
      <c r="V73"/>
      <c r="W73"/>
      <c r="X73"/>
      <c r="Y73"/>
      <c r="Z73"/>
      <c r="AA73" s="509">
        <f t="shared" si="22"/>
        <v>0</v>
      </c>
      <c r="AB73" s="509">
        <f t="shared" si="23"/>
        <v>0</v>
      </c>
    </row>
    <row r="74" spans="1:28" s="506" customFormat="1" ht="12.75" customHeight="1">
      <c r="A74" s="785">
        <f t="shared" si="24"/>
        <v>1920</v>
      </c>
      <c r="B74" s="1328">
        <f>IF(I27=0,H27,(((DATE(Voorblad!$D$3,K27,J27)-DATE(Voorblad!$D$3,1,1))*H27)/Voorblad!L$3))</f>
        <v>0</v>
      </c>
      <c r="C74" s="1328"/>
      <c r="D74" s="1319">
        <f>IF(K27=0,0,(IF(L27=0,((DATE(Voorblad!D$3+1,1,1)-DATE(Voorblad!$D$3,(K27),J27))*(H27-(1*I27)))/Voorblad!L$3,((DATE(Voorblad!$D$3,(L27),J27)-DATE(Voorblad!$D$3,(K27),J27))*(H27-(1*I27)))/Voorblad!L$3)))</f>
        <v>0</v>
      </c>
      <c r="E74" s="1319"/>
      <c r="F74" s="1319">
        <f>IF(L27=0,0,(IF(M27=0,((DATE(Voorblad!D$3+1,1,1)-DATE(Voorblad!$D$3,(L27),J27))*(H27-(2*I27)))/365,((DATE(Voorblad!$D$3,(M27),J27)-DATE(Voorblad!$D$3,(L27),J27))*(H27-(2*I27)))/Voorblad!L$3)))</f>
        <v>0</v>
      </c>
      <c r="G74" s="1319"/>
      <c r="H74" s="507">
        <f>IF(M27=0,0,(IF(N27=0,((DATE(Voorblad!D$3+1,1,1)-DATE(Voorblad!$D$3,(M27),J27))*(H27-(3*I27)))/Voorblad!L$3,((DATE(Voorblad!$D$3,(N27),J27)-DATE(Voorblad!$D$3,(M27),J27))*(H27-(3*I27)))/Voorblad!L$3)))</f>
        <v>0</v>
      </c>
      <c r="I74" s="1319">
        <f>IF(N27=0,0,(IF(O27=0,((DATE(Voorblad!D$3+1,1,1)-DATE(Voorblad!$D$3,(N27),J27))*(H27-(4*I27)))/Voorblad!L$3,((DATE(Voorblad!$D$3,(O27),J27)-DATE(Voorblad!$D$3,(N27),J27))*(H27-(4*I27)))/Voorblad!L$3)))</f>
        <v>0</v>
      </c>
      <c r="J74" s="1319"/>
      <c r="K74" s="1319">
        <f>IF(O27=0,0,(IF(P27=0,((DATE(Voorblad!D$3+1,1,1)-DATE(Voorblad!$D$3,(O27),J27))*(H27-(5*I27)))/Voorblad!L$3,((DATE(Voorblad!$D$3,(P27),J27)-DATE(Voorblad!$D$3,(O27),J27))*(H27-(5*I27)))/Voorblad!L$3)))</f>
        <v>0</v>
      </c>
      <c r="L74" s="1319"/>
      <c r="M74" s="1319"/>
      <c r="N74" s="1319"/>
      <c r="O74" s="1319"/>
      <c r="P74" s="1319"/>
      <c r="Q74" s="508">
        <f>IF(P27=0,0,((DATE(Voorblad!D$3+1,1,1)-DATE(Voorblad!$D$3,(P27),J27))*(H27-(6*I27)))/Voorblad!L$3)</f>
        <v>0</v>
      </c>
      <c r="R74" s="580">
        <f t="shared" si="25"/>
        <v>0</v>
      </c>
      <c r="S74" s="575">
        <f t="shared" si="21"/>
        <v>0</v>
      </c>
      <c r="T74"/>
      <c r="U74"/>
      <c r="V74"/>
      <c r="W74"/>
      <c r="X74"/>
      <c r="Y74"/>
      <c r="Z74"/>
      <c r="AA74" s="509">
        <f t="shared" si="22"/>
        <v>0</v>
      </c>
      <c r="AB74" s="509">
        <f t="shared" si="23"/>
        <v>0</v>
      </c>
    </row>
    <row r="75" spans="1:28" s="506" customFormat="1" ht="12.75" customHeight="1">
      <c r="A75" s="785">
        <f t="shared" si="24"/>
        <v>1921</v>
      </c>
      <c r="B75" s="1328">
        <f>IF(I28=0,H28,(((DATE(Voorblad!$D$3,K28,J28)-DATE(Voorblad!$D$3,1,1))*H28)/Voorblad!L$3))</f>
        <v>0</v>
      </c>
      <c r="C75" s="1328"/>
      <c r="D75" s="1319">
        <f>IF(K28=0,0,(IF(L28=0,((DATE(Voorblad!D$3+1,1,1)-DATE(Voorblad!$D$3,(K28),J28))*(H28-(1*I28)))/Voorblad!L$3,((DATE(Voorblad!$D$3,(L28),J28)-DATE(Voorblad!$D$3,(K28),J28))*(H28-(1*I28)))/Voorblad!L$3)))</f>
        <v>0</v>
      </c>
      <c r="E75" s="1319"/>
      <c r="F75" s="1319">
        <f>IF(L28=0,0,(IF(M28=0,((DATE(Voorblad!D$3+1,1,1)-DATE(Voorblad!$D$3,(L28),J28))*(H28-(2*I28)))/365,((DATE(Voorblad!$D$3,(M28),J28)-DATE(Voorblad!$D$3,(L28),J28))*(H28-(2*I28)))/Voorblad!L$3)))</f>
        <v>0</v>
      </c>
      <c r="G75" s="1319"/>
      <c r="H75" s="507">
        <f>IF(M28=0,0,(IF(N28=0,((DATE(Voorblad!D$3+1,1,1)-DATE(Voorblad!$D$3,(M28),J28))*(H28-(3*I28)))/Voorblad!L$3,((DATE(Voorblad!$D$3,(N28),J28)-DATE(Voorblad!$D$3,(M28),J28))*(H28-(3*I28)))/Voorblad!L$3)))</f>
        <v>0</v>
      </c>
      <c r="I75" s="1319">
        <f>IF(N28=0,0,(IF(O28=0,((DATE(Voorblad!D$3+1,1,1)-DATE(Voorblad!$D$3,(N28),J28))*(H28-(4*I28)))/Voorblad!L$3,((DATE(Voorblad!$D$3,(O28),J28)-DATE(Voorblad!$D$3,(N28),J28))*(H28-(4*I28)))/Voorblad!L$3)))</f>
        <v>0</v>
      </c>
      <c r="J75" s="1319"/>
      <c r="K75" s="1319">
        <f>IF(O28=0,0,(IF(P28=0,((DATE(Voorblad!D$3+1,1,1)-DATE(Voorblad!$D$3,(O28),J28))*(H28-(5*I28)))/Voorblad!L$3,((DATE(Voorblad!$D$3,(P28),J28)-DATE(Voorblad!$D$3,(O28),J28))*(H28-(5*I28)))/Voorblad!L$3)))</f>
        <v>0</v>
      </c>
      <c r="L75" s="1319"/>
      <c r="M75" s="1319"/>
      <c r="N75" s="1319"/>
      <c r="O75" s="1319"/>
      <c r="P75" s="1319"/>
      <c r="Q75" s="508">
        <f>IF(P28=0,0,((DATE(Voorblad!D$3+1,1,1)-DATE(Voorblad!$D$3,(P28),J28))*(H28-(6*I28)))/Voorblad!L$3)</f>
        <v>0</v>
      </c>
      <c r="R75" s="580">
        <f t="shared" si="25"/>
        <v>0</v>
      </c>
      <c r="S75" s="575">
        <f t="shared" si="21"/>
        <v>0</v>
      </c>
      <c r="T75"/>
      <c r="U75"/>
      <c r="V75"/>
      <c r="W75"/>
      <c r="X75"/>
      <c r="Y75"/>
      <c r="Z75"/>
      <c r="AA75" s="509">
        <f t="shared" si="22"/>
        <v>0</v>
      </c>
      <c r="AB75" s="509">
        <f t="shared" si="23"/>
        <v>0</v>
      </c>
    </row>
    <row r="76" spans="1:28" s="506" customFormat="1" ht="12.75" customHeight="1">
      <c r="A76" s="785">
        <f t="shared" si="24"/>
        <v>1922</v>
      </c>
      <c r="B76" s="1328">
        <f>IF(I29=0,H29,(((DATE(Voorblad!$D$3,K29,J29)-DATE(Voorblad!$D$3,1,1))*H29)/Voorblad!L$3))</f>
        <v>0</v>
      </c>
      <c r="C76" s="1328"/>
      <c r="D76" s="1319">
        <f>IF(K29=0,0,(IF(L29=0,((DATE(Voorblad!D$3+1,1,1)-DATE(Voorblad!$D$3,(K29),J29))*(H29-(1*I29)))/Voorblad!L$3,((DATE(Voorblad!$D$3,(L29),J29)-DATE(Voorblad!$D$3,(K29),J29))*(H29-(1*I29)))/Voorblad!L$3)))</f>
        <v>0</v>
      </c>
      <c r="E76" s="1319"/>
      <c r="F76" s="1319">
        <f>IF(L29=0,0,(IF(M29=0,((DATE(Voorblad!D$3+1,1,1)-DATE(Voorblad!$D$3,(L29),J29))*(H29-(2*I29)))/365,((DATE(Voorblad!$D$3,(M29),J29)-DATE(Voorblad!$D$3,(L29),J29))*(H29-(2*I29)))/Voorblad!L$3)))</f>
        <v>0</v>
      </c>
      <c r="G76" s="1319"/>
      <c r="H76" s="507">
        <f>IF(M29=0,0,(IF(N29=0,((DATE(Voorblad!D$3+1,1,1)-DATE(Voorblad!$D$3,(M29),J29))*(H29-(3*I29)))/Voorblad!L$3,((DATE(Voorblad!$D$3,(N29),J29)-DATE(Voorblad!$D$3,(M29),J29))*(H29-(3*I29)))/Voorblad!L$3)))</f>
        <v>0</v>
      </c>
      <c r="I76" s="1319">
        <f>IF(N29=0,0,(IF(O29=0,((DATE(Voorblad!D$3+1,1,1)-DATE(Voorblad!$D$3,(N29),J29))*(H29-(4*I29)))/Voorblad!L$3,((DATE(Voorblad!$D$3,(O29),J29)-DATE(Voorblad!$D$3,(N29),J29))*(H29-(4*I29)))/Voorblad!L$3)))</f>
        <v>0</v>
      </c>
      <c r="J76" s="1319"/>
      <c r="K76" s="1319">
        <f>IF(O29=0,0,(IF(P29=0,((DATE(Voorblad!D$3+1,1,1)-DATE(Voorblad!$D$3,(O29),J29))*(H29-(5*I29)))/Voorblad!L$3,((DATE(Voorblad!$D$3,(P29),J29)-DATE(Voorblad!$D$3,(O29),J29))*(H29-(5*I29)))/Voorblad!L$3)))</f>
        <v>0</v>
      </c>
      <c r="L76" s="1319"/>
      <c r="M76" s="1319"/>
      <c r="N76" s="1319"/>
      <c r="O76" s="1319"/>
      <c r="P76" s="1319"/>
      <c r="Q76" s="508">
        <f>IF(P29=0,0,((DATE(Voorblad!D$3+1,1,1)-DATE(Voorblad!$D$3,(P29),J29))*(H29-(6*I29)))/Voorblad!L$3)</f>
        <v>0</v>
      </c>
      <c r="R76" s="580">
        <f t="shared" si="25"/>
        <v>0</v>
      </c>
      <c r="S76" s="575">
        <f t="shared" si="21"/>
        <v>0</v>
      </c>
      <c r="T76"/>
      <c r="U76"/>
      <c r="V76"/>
      <c r="W76"/>
      <c r="X76"/>
      <c r="Y76"/>
      <c r="Z76"/>
      <c r="AA76" s="509">
        <f t="shared" si="22"/>
        <v>0</v>
      </c>
      <c r="AB76" s="509">
        <f t="shared" si="23"/>
        <v>0</v>
      </c>
    </row>
    <row r="77" spans="1:28" s="506" customFormat="1" ht="12.75" customHeight="1">
      <c r="A77" s="785">
        <f t="shared" si="24"/>
        <v>1923</v>
      </c>
      <c r="B77" s="1328">
        <f>IF(I30=0,H30,(((DATE(Voorblad!$D$3,K30,J30)-DATE(Voorblad!$D$3,1,1))*H30)/Voorblad!L$3))</f>
        <v>0</v>
      </c>
      <c r="C77" s="1328"/>
      <c r="D77" s="1319">
        <f>IF(K30=0,0,(IF(L30=0,((DATE(Voorblad!D$3+1,1,1)-DATE(Voorblad!$D$3,(K30),J30))*(H30-(1*I30)))/Voorblad!L$3,((DATE(Voorblad!$D$3,(L30),J30)-DATE(Voorblad!$D$3,(K30),J30))*(H30-(1*I30)))/Voorblad!L$3)))</f>
        <v>0</v>
      </c>
      <c r="E77" s="1319"/>
      <c r="F77" s="1319">
        <f>IF(L30=0,0,(IF(M30=0,((DATE(Voorblad!D$3+1,1,1)-DATE(Voorblad!$D$3,(L30),J30))*(H30-(2*I30)))/365,((DATE(Voorblad!$D$3,(M30),J30)-DATE(Voorblad!$D$3,(L30),J30))*(H30-(2*I30)))/Voorblad!L$3)))</f>
        <v>0</v>
      </c>
      <c r="G77" s="1319"/>
      <c r="H77" s="507">
        <f>IF(M30=0,0,(IF(N30=0,((DATE(Voorblad!D$3+1,1,1)-DATE(Voorblad!$D$3,(M30),J30))*(H30-(3*I30)))/Voorblad!L$3,((DATE(Voorblad!$D$3,(N30),J30)-DATE(Voorblad!$D$3,(M30),J30))*(H30-(3*I30)))/Voorblad!L$3)))</f>
        <v>0</v>
      </c>
      <c r="I77" s="1319">
        <f>IF(N30=0,0,(IF(O30=0,((DATE(Voorblad!D$3+1,1,1)-DATE(Voorblad!$D$3,(N30),J30))*(H30-(4*I30)))/Voorblad!L$3,((DATE(Voorblad!$D$3,(O30),J30)-DATE(Voorblad!$D$3,(N30),J30))*(H30-(4*I30)))/Voorblad!L$3)))</f>
        <v>0</v>
      </c>
      <c r="J77" s="1319"/>
      <c r="K77" s="1319">
        <f>IF(O30=0,0,(IF(P30=0,((DATE(Voorblad!D$3+1,1,1)-DATE(Voorblad!$D$3,(O30),J30))*(H30-(5*I30)))/Voorblad!L$3,((DATE(Voorblad!$D$3,(P30),J30)-DATE(Voorblad!$D$3,(O30),J30))*(H30-(5*I30)))/Voorblad!L$3)))</f>
        <v>0</v>
      </c>
      <c r="L77" s="1319"/>
      <c r="M77" s="1319"/>
      <c r="N77" s="1319"/>
      <c r="O77" s="1319"/>
      <c r="P77" s="1319"/>
      <c r="Q77" s="508">
        <f>IF(P30=0,0,((DATE(Voorblad!D$3+1,1,1)-DATE(Voorblad!$D$3,(P30),J30))*(H30-(6*I30)))/Voorblad!L$3)</f>
        <v>0</v>
      </c>
      <c r="R77" s="580">
        <f t="shared" si="25"/>
        <v>0</v>
      </c>
      <c r="S77" s="575">
        <f t="shared" si="21"/>
        <v>0</v>
      </c>
      <c r="T77"/>
      <c r="U77"/>
      <c r="V77"/>
      <c r="W77"/>
      <c r="X77"/>
      <c r="Y77"/>
      <c r="Z77"/>
      <c r="AA77" s="509">
        <f t="shared" si="22"/>
        <v>0</v>
      </c>
      <c r="AB77" s="509">
        <f t="shared" si="23"/>
        <v>0</v>
      </c>
    </row>
    <row r="78" spans="1:28" s="506" customFormat="1" ht="12.75" customHeight="1">
      <c r="A78" s="785">
        <f t="shared" si="24"/>
        <v>1924</v>
      </c>
      <c r="B78" s="1328">
        <f>IF(I31=0,H31,(((DATE(Voorblad!$D$3,K31,J31)-DATE(Voorblad!$D$3,1,1))*H31)/Voorblad!L$3))</f>
        <v>0</v>
      </c>
      <c r="C78" s="1328"/>
      <c r="D78" s="1319">
        <f>IF(K31=0,0,(IF(L31=0,((DATE(Voorblad!D$3+1,1,1)-DATE(Voorblad!$D$3,(K31),J31))*(H31-(1*I31)))/Voorblad!L$3,((DATE(Voorblad!$D$3,(L31),J31)-DATE(Voorblad!$D$3,(K31),J31))*(H31-(1*I31)))/Voorblad!L$3)))</f>
        <v>0</v>
      </c>
      <c r="E78" s="1319"/>
      <c r="F78" s="1319">
        <f>IF(L31=0,0,(IF(M31=0,((DATE(Voorblad!D$3+1,1,1)-DATE(Voorblad!$D$3,(L31),J31))*(H31-(2*I31)))/365,((DATE(Voorblad!$D$3,(M31),J31)-DATE(Voorblad!$D$3,(L31),J31))*(H31-(2*I31)))/Voorblad!L$3)))</f>
        <v>0</v>
      </c>
      <c r="G78" s="1319"/>
      <c r="H78" s="507">
        <f>IF(M31=0,0,(IF(N31=0,((DATE(Voorblad!D$3+1,1,1)-DATE(Voorblad!$D$3,(M31),J31))*(H31-(3*I31)))/Voorblad!L$3,((DATE(Voorblad!$D$3,(N31),J31)-DATE(Voorblad!$D$3,(M31),J31))*(H31-(3*I31)))/Voorblad!L$3)))</f>
        <v>0</v>
      </c>
      <c r="I78" s="1319">
        <f>IF(N31=0,0,(IF(O31=0,((DATE(Voorblad!D$3+1,1,1)-DATE(Voorblad!$D$3,(N31),J31))*(H31-(4*I31)))/Voorblad!L$3,((DATE(Voorblad!$D$3,(O31),J31)-DATE(Voorblad!$D$3,(N31),J31))*(H31-(4*I31)))/Voorblad!L$3)))</f>
        <v>0</v>
      </c>
      <c r="J78" s="1319"/>
      <c r="K78" s="1319">
        <f>IF(O31=0,0,(IF(P31=0,((DATE(Voorblad!D$3+1,1,1)-DATE(Voorblad!$D$3,(O31),J31))*(H31-(5*I31)))/Voorblad!L$3,((DATE(Voorblad!$D$3,(P31),J31)-DATE(Voorblad!$D$3,(O31),J31))*(H31-(5*I31)))/Voorblad!L$3)))</f>
        <v>0</v>
      </c>
      <c r="L78" s="1319"/>
      <c r="M78" s="1319"/>
      <c r="N78" s="1319"/>
      <c r="O78" s="1319"/>
      <c r="P78" s="1319"/>
      <c r="Q78" s="508">
        <f>IF(P31=0,0,((DATE(Voorblad!D$3+1,1,1)-DATE(Voorblad!$D$3,(P31),J31))*(H31-(6*I31)))/Voorblad!L$3)</f>
        <v>0</v>
      </c>
      <c r="R78" s="580">
        <f t="shared" si="25"/>
        <v>0</v>
      </c>
      <c r="S78" s="575">
        <f t="shared" si="21"/>
        <v>0</v>
      </c>
      <c r="T78"/>
      <c r="U78"/>
      <c r="V78"/>
      <c r="W78"/>
      <c r="X78"/>
      <c r="Y78"/>
      <c r="Z78"/>
      <c r="AA78" s="509">
        <f t="shared" si="22"/>
        <v>0</v>
      </c>
      <c r="AB78" s="509">
        <f t="shared" si="23"/>
        <v>0</v>
      </c>
    </row>
    <row r="79" spans="1:28" s="506" customFormat="1" ht="12.75" customHeight="1">
      <c r="A79" s="785">
        <f t="shared" si="24"/>
        <v>1925</v>
      </c>
      <c r="B79" s="1328">
        <f>IF(I32=0,H32,(((DATE(Voorblad!$D$3,K32,J32)-DATE(Voorblad!$D$3,1,1))*H32)/Voorblad!L$3))</f>
        <v>0</v>
      </c>
      <c r="C79" s="1328"/>
      <c r="D79" s="1319">
        <f>IF(K32=0,0,(IF(L32=0,((DATE(Voorblad!D$3+1,1,1)-DATE(Voorblad!$D$3,(K32),J32))*(H32-(1*I32)))/Voorblad!L$3,((DATE(Voorblad!$D$3,(L32),J32)-DATE(Voorblad!$D$3,(K32),J32))*(H32-(1*I32)))/Voorblad!L$3)))</f>
        <v>0</v>
      </c>
      <c r="E79" s="1319"/>
      <c r="F79" s="1319">
        <f>IF(L32=0,0,(IF(M32=0,((DATE(Voorblad!D$3+1,1,1)-DATE(Voorblad!$D$3,(L32),J32))*(H32-(2*I32)))/365,((DATE(Voorblad!$D$3,(M32),J32)-DATE(Voorblad!$D$3,(L32),J32))*(H32-(2*I32)))/Voorblad!L$3)))</f>
        <v>0</v>
      </c>
      <c r="G79" s="1319"/>
      <c r="H79" s="507">
        <f>IF(M32=0,0,(IF(N32=0,((DATE(Voorblad!D$3+1,1,1)-DATE(Voorblad!$D$3,(M32),J32))*(H32-(3*I32)))/Voorblad!L$3,((DATE(Voorblad!$D$3,(N32),J32)-DATE(Voorblad!$D$3,(M32),J32))*(H32-(3*I32)))/Voorblad!L$3)))</f>
        <v>0</v>
      </c>
      <c r="I79" s="1319">
        <f>IF(N32=0,0,(IF(O32=0,((DATE(Voorblad!D$3+1,1,1)-DATE(Voorblad!$D$3,(N32),J32))*(H32-(4*I32)))/Voorblad!L$3,((DATE(Voorblad!$D$3,(O32),J32)-DATE(Voorblad!$D$3,(N32),J32))*(H32-(4*I32)))/Voorblad!L$3)))</f>
        <v>0</v>
      </c>
      <c r="J79" s="1319"/>
      <c r="K79" s="1319">
        <f>IF(O32=0,0,(IF(P32=0,((DATE(Voorblad!D$3+1,1,1)-DATE(Voorblad!$D$3,(O32),J32))*(H32-(5*I32)))/Voorblad!L$3,((DATE(Voorblad!$D$3,(P32),J32)-DATE(Voorblad!$D$3,(O32),J32))*(H32-(5*I32)))/Voorblad!L$3)))</f>
        <v>0</v>
      </c>
      <c r="L79" s="1319"/>
      <c r="M79" s="1319"/>
      <c r="N79" s="1319"/>
      <c r="O79" s="1319"/>
      <c r="P79" s="1319"/>
      <c r="Q79" s="508">
        <f>IF(P32=0,0,((DATE(Voorblad!D$3+1,1,1)-DATE(Voorblad!$D$3,(P32),J32))*(H32-(6*I32)))/Voorblad!L$3)</f>
        <v>0</v>
      </c>
      <c r="R79" s="580">
        <f t="shared" si="25"/>
        <v>0</v>
      </c>
      <c r="S79" s="575">
        <f t="shared" si="21"/>
        <v>0</v>
      </c>
      <c r="T79"/>
      <c r="U79"/>
      <c r="V79"/>
      <c r="W79"/>
      <c r="X79"/>
      <c r="Y79"/>
      <c r="Z79"/>
      <c r="AA79" s="509">
        <f t="shared" si="22"/>
        <v>0</v>
      </c>
      <c r="AB79" s="509">
        <f t="shared" si="23"/>
        <v>0</v>
      </c>
    </row>
    <row r="80" spans="1:28" s="506" customFormat="1" ht="12.75" customHeight="1">
      <c r="A80" s="785">
        <f t="shared" si="24"/>
        <v>1926</v>
      </c>
      <c r="B80" s="1328">
        <f>IF(I33=0,H33,(((DATE(Voorblad!$D$3,K33,J33)-DATE(Voorblad!$D$3,1,1))*H33)/Voorblad!L$3))</f>
        <v>0</v>
      </c>
      <c r="C80" s="1328"/>
      <c r="D80" s="1319">
        <f>IF(K33=0,0,(IF(L33=0,((DATE(Voorblad!D$3+1,1,1)-DATE(Voorblad!$D$3,(K33),J33))*(H33-(1*I33)))/Voorblad!L$3,((DATE(Voorblad!$D$3,(L33),J33)-DATE(Voorblad!$D$3,(K33),J33))*(H33-(1*I33)))/Voorblad!L$3)))</f>
        <v>0</v>
      </c>
      <c r="E80" s="1319"/>
      <c r="F80" s="1319">
        <f>IF(L33=0,0,(IF(M33=0,((DATE(Voorblad!D$3+1,1,1)-DATE(Voorblad!$D$3,(L33),J33))*(H33-(2*I33)))/365,((DATE(Voorblad!$D$3,(M33),J33)-DATE(Voorblad!$D$3,(L33),J33))*(H33-(2*I33)))/Voorblad!L$3)))</f>
        <v>0</v>
      </c>
      <c r="G80" s="1319"/>
      <c r="H80" s="507">
        <f>IF(M33=0,0,(IF(N33=0,((DATE(Voorblad!D$3+1,1,1)-DATE(Voorblad!$D$3,(M33),J33))*(H33-(3*I33)))/Voorblad!L$3,((DATE(Voorblad!$D$3,(N33),J33)-DATE(Voorblad!$D$3,(M33),J33))*(H33-(3*I33)))/Voorblad!L$3)))</f>
        <v>0</v>
      </c>
      <c r="I80" s="1319">
        <f>IF(N33=0,0,(IF(O33=0,((DATE(Voorblad!D$3+1,1,1)-DATE(Voorblad!$D$3,(N33),J33))*(H33-(4*I33)))/Voorblad!L$3,((DATE(Voorblad!$D$3,(O33),J33)-DATE(Voorblad!$D$3,(N33),J33))*(H33-(4*I33)))/Voorblad!L$3)))</f>
        <v>0</v>
      </c>
      <c r="J80" s="1319"/>
      <c r="K80" s="1319">
        <f>IF(O33=0,0,(IF(P33=0,((DATE(Voorblad!D$3+1,1,1)-DATE(Voorblad!$D$3,(O33),J33))*(H33-(5*I33)))/Voorblad!L$3,((DATE(Voorblad!$D$3,(P33),J33)-DATE(Voorblad!$D$3,(O33),J33))*(H33-(5*I33)))/Voorblad!L$3)))</f>
        <v>0</v>
      </c>
      <c r="L80" s="1319"/>
      <c r="M80" s="1319"/>
      <c r="N80" s="1319"/>
      <c r="O80" s="1319"/>
      <c r="P80" s="1319"/>
      <c r="Q80" s="508">
        <f>IF(P33=0,0,((DATE(Voorblad!D$3+1,1,1)-DATE(Voorblad!$D$3,(P33),J33))*(H33-(6*I33)))/Voorblad!L$3)</f>
        <v>0</v>
      </c>
      <c r="R80" s="580">
        <f t="shared" si="25"/>
        <v>0</v>
      </c>
      <c r="S80" s="575">
        <f t="shared" si="21"/>
        <v>0</v>
      </c>
      <c r="T80"/>
      <c r="U80"/>
      <c r="V80"/>
      <c r="W80"/>
      <c r="X80"/>
      <c r="Y80"/>
      <c r="Z80"/>
      <c r="AA80" s="509">
        <f t="shared" si="22"/>
        <v>0</v>
      </c>
      <c r="AB80" s="509">
        <f t="shared" si="23"/>
        <v>0</v>
      </c>
    </row>
    <row r="81" spans="1:28" s="506" customFormat="1" ht="12.75" customHeight="1">
      <c r="A81" s="785">
        <f t="shared" si="24"/>
        <v>1927</v>
      </c>
      <c r="B81" s="1329">
        <f>IF(I34=0,H34,(((DATE(Voorblad!$D$3,K34,J34)-DATE(Voorblad!$D$3,1,1))*H34)/Voorblad!L$3))</f>
        <v>0</v>
      </c>
      <c r="C81" s="1329"/>
      <c r="D81" s="1327">
        <f>IF(K34=0,0,(IF(L34=0,((DATE(Voorblad!D$3+1,1,1)-DATE(Voorblad!$D$3,(K34),J34))*(H34-(1*I34)))/Voorblad!L$3,((DATE(Voorblad!$D$3,(L34),J34)-DATE(Voorblad!$D$3,(K34),J34))*(H34-(1*I34)))/Voorblad!L$3)))</f>
        <v>0</v>
      </c>
      <c r="E81" s="1327"/>
      <c r="F81" s="1327">
        <f>IF(L34=0,0,(IF(M34=0,((DATE(Voorblad!D$3+1,1,1)-DATE(Voorblad!$D$3,(L34),J34))*(H34-(2*I34)))/365,((DATE(Voorblad!$D$3,(M34),J34)-DATE(Voorblad!$D$3,(L34),J34))*(H34-(2*I34)))/Voorblad!L$3)))</f>
        <v>0</v>
      </c>
      <c r="G81" s="1327"/>
      <c r="H81" s="786">
        <f>IF(M34=0,0,(IF(N34=0,((DATE(Voorblad!D$3+1,1,1)-DATE(Voorblad!$D$3,(M34),J34))*(H34-(3*I34)))/Voorblad!L$3,((DATE(Voorblad!$D$3,(N34),J34)-DATE(Voorblad!$D$3,(M34),J34))*(H34-(3*I34)))/Voorblad!L$3)))</f>
        <v>0</v>
      </c>
      <c r="I81" s="1327">
        <f>IF(N34=0,0,(IF(O34=0,((DATE(Voorblad!D$3+1,1,1)-DATE(Voorblad!$D$3,(N34),J34))*(H34-(4*I34)))/Voorblad!L$3,((DATE(Voorblad!$D$3,(O34),J34)-DATE(Voorblad!$D$3,(N34),J34))*(H34-(4*I34)))/Voorblad!L$3)))</f>
        <v>0</v>
      </c>
      <c r="J81" s="1327"/>
      <c r="K81" s="1327">
        <f>IF(O34=0,0,(IF(P34=0,((DATE(Voorblad!D$3+1,1,1)-DATE(Voorblad!$D$3,(O34),J34))*(H34-(5*I34)))/Voorblad!L$3,((DATE(Voorblad!$D$3,(P34),J34)-DATE(Voorblad!$D$3,(O34),J34))*(H34-(5*I34)))/Voorblad!L$3)))</f>
        <v>0</v>
      </c>
      <c r="L81" s="1327"/>
      <c r="M81" s="1327"/>
      <c r="N81" s="1327"/>
      <c r="O81" s="1327"/>
      <c r="P81" s="1327"/>
      <c r="Q81" s="787">
        <f>IF(P34=0,0,((DATE(Voorblad!D$3+1,1,1)-DATE(Voorblad!$D$3,(P34),J34))*(H34-(6*I34)))/Voorblad!L$3)</f>
        <v>0</v>
      </c>
      <c r="R81" s="791">
        <f t="shared" si="25"/>
        <v>0</v>
      </c>
      <c r="S81" s="575">
        <f t="shared" si="21"/>
        <v>0</v>
      </c>
      <c r="T81"/>
      <c r="U81"/>
      <c r="V81"/>
      <c r="W81"/>
      <c r="X81"/>
      <c r="Y81"/>
      <c r="Z81"/>
      <c r="AA81" s="509">
        <f t="shared" si="22"/>
        <v>0</v>
      </c>
      <c r="AB81" s="509">
        <f t="shared" si="23"/>
        <v>0</v>
      </c>
    </row>
    <row r="82" spans="1:28" s="506" customFormat="1" ht="12.75" customHeight="1">
      <c r="A82" s="785">
        <f aca="true" t="shared" si="26" ref="A82:A90">A81+1</f>
        <v>1928</v>
      </c>
      <c r="B82" s="1329">
        <f>IF(I35=0,H35,(((DATE(Voorblad!$D$3,K35,J35)-DATE(Voorblad!$D$3,1,1))*H35)/Voorblad!L$3))</f>
        <v>0</v>
      </c>
      <c r="C82" s="1329"/>
      <c r="D82" s="1327">
        <f>IF(K35=0,0,(IF(L35=0,((DATE(Voorblad!D$3+1,1,1)-DATE(Voorblad!$D$3,(K35),J35))*(H35-(1*I35)))/Voorblad!L$3,((DATE(Voorblad!$D$3,(L35),J35)-DATE(Voorblad!$D$3,(K35),J35))*(H35-(1*I35)))/Voorblad!L$3)))</f>
        <v>0</v>
      </c>
      <c r="E82" s="1327"/>
      <c r="F82" s="1327">
        <f>IF(L35=0,0,(IF(M35=0,((DATE(Voorblad!D$3+1,1,1)-DATE(Voorblad!$D$3,(L35),J35))*(H35-(2*I35)))/365,((DATE(Voorblad!$D$3,(M35),J35)-DATE(Voorblad!$D$3,(L35),J35))*(H35-(2*I35)))/Voorblad!L$3)))</f>
        <v>0</v>
      </c>
      <c r="G82" s="1327"/>
      <c r="H82" s="786">
        <f>IF(M35=0,0,(IF(N35=0,((DATE(Voorblad!D$3+1,1,1)-DATE(Voorblad!$D$3,(M35),J35))*(H35-(3*I35)))/Voorblad!L$3,((DATE(Voorblad!$D$3,(N35),J35)-DATE(Voorblad!$D$3,(M35),J35))*(H35-(3*I35)))/Voorblad!L$3)))</f>
        <v>0</v>
      </c>
      <c r="I82" s="1327">
        <f>IF(N35=0,0,(IF(O35=0,((DATE(Voorblad!D$3+1,1,1)-DATE(Voorblad!$D$3,(N35),J35))*(H35-(4*I35)))/Voorblad!L$3,((DATE(Voorblad!$D$3,(O35),J35)-DATE(Voorblad!$D$3,(N35),J35))*(H35-(4*I35)))/Voorblad!L$3)))</f>
        <v>0</v>
      </c>
      <c r="J82" s="1327"/>
      <c r="K82" s="1327">
        <f>IF(O35=0,0,(IF(P35=0,((DATE(Voorblad!D$3+1,1,1)-DATE(Voorblad!$D$3,(O35),J35))*(H35-(5*I35)))/Voorblad!L$3,((DATE(Voorblad!$D$3,(P35),J35)-DATE(Voorblad!$D$3,(O35),J35))*(H35-(5*I35)))/Voorblad!L$3)))</f>
        <v>0</v>
      </c>
      <c r="L82" s="1327"/>
      <c r="M82" s="1327"/>
      <c r="N82" s="1327"/>
      <c r="O82" s="1327"/>
      <c r="P82" s="1327"/>
      <c r="Q82" s="787">
        <f>IF(P35=0,0,((DATE(Voorblad!D$3+1,1,1)-DATE(Voorblad!$D$3,(P35),J35))*(H35-(6*I35)))/Voorblad!L$3)</f>
        <v>0</v>
      </c>
      <c r="R82" s="791">
        <f aca="true" t="shared" si="27" ref="R82:R89">SUM(B82:Q82)</f>
        <v>0</v>
      </c>
      <c r="S82" s="575">
        <f t="shared" si="21"/>
        <v>0</v>
      </c>
      <c r="T82"/>
      <c r="U82"/>
      <c r="V82"/>
      <c r="W82"/>
      <c r="X82"/>
      <c r="Y82"/>
      <c r="Z82"/>
      <c r="AA82" s="509"/>
      <c r="AB82" s="509"/>
    </row>
    <row r="83" spans="1:28" s="506" customFormat="1" ht="12.75" customHeight="1">
      <c r="A83" s="785">
        <f t="shared" si="26"/>
        <v>1929</v>
      </c>
      <c r="B83" s="1329">
        <f>IF(I36=0,H36,(((DATE(Voorblad!$D$3,K36,J36)-DATE(Voorblad!$D$3,1,1))*H36)/Voorblad!L$3))</f>
        <v>0</v>
      </c>
      <c r="C83" s="1329"/>
      <c r="D83" s="1327">
        <f>IF(K36=0,0,(IF(L36=0,((DATE(Voorblad!D$3+1,1,1)-DATE(Voorblad!$D$3,(K36),J36))*(H36-(1*I36)))/Voorblad!L$3,((DATE(Voorblad!$D$3,(L36),J36)-DATE(Voorblad!$D$3,(K36),J36))*(H36-(1*I36)))/Voorblad!L$3)))</f>
        <v>0</v>
      </c>
      <c r="E83" s="1327"/>
      <c r="F83" s="1327">
        <f>IF(L36=0,0,(IF(M36=0,((DATE(Voorblad!D$3+1,1,1)-DATE(Voorblad!$D$3,(L36),J36))*(H36-(2*I36)))/365,((DATE(Voorblad!$D$3,(M36),J36)-DATE(Voorblad!$D$3,(L36),J36))*(H36-(2*I36)))/Voorblad!L$3)))</f>
        <v>0</v>
      </c>
      <c r="G83" s="1327"/>
      <c r="H83" s="786">
        <f>IF(M36=0,0,(IF(N36=0,((DATE(Voorblad!D$3+1,1,1)-DATE(Voorblad!$D$3,(M36),J36))*(H36-(3*I36)))/Voorblad!L$3,((DATE(Voorblad!$D$3,(N36),J36)-DATE(Voorblad!$D$3,(M36),J36))*(H36-(3*I36)))/Voorblad!L$3)))</f>
        <v>0</v>
      </c>
      <c r="I83" s="1327">
        <f>IF(N36=0,0,(IF(O36=0,((DATE(Voorblad!D$3+1,1,1)-DATE(Voorblad!$D$3,(N36),J36))*(H36-(4*I36)))/Voorblad!L$3,((DATE(Voorblad!$D$3,(O36),J36)-DATE(Voorblad!$D$3,(N36),J36))*(H36-(4*I36)))/Voorblad!L$3)))</f>
        <v>0</v>
      </c>
      <c r="J83" s="1327"/>
      <c r="K83" s="1327">
        <f>IF(O36=0,0,(IF(P36=0,((DATE(Voorblad!D$3+1,1,1)-DATE(Voorblad!$D$3,(O36),J36))*(H36-(5*I36)))/Voorblad!L$3,((DATE(Voorblad!$D$3,(P36),J36)-DATE(Voorblad!$D$3,(O36),J36))*(H36-(5*I36)))/Voorblad!L$3)))</f>
        <v>0</v>
      </c>
      <c r="L83" s="1327"/>
      <c r="M83" s="1327"/>
      <c r="N83" s="1327"/>
      <c r="O83" s="1327"/>
      <c r="P83" s="1327"/>
      <c r="Q83" s="787">
        <f>IF(P36=0,0,((DATE(Voorblad!D$3+1,1,1)-DATE(Voorblad!$D$3,(P36),J36))*(H36-(6*I36)))/Voorblad!L$3)</f>
        <v>0</v>
      </c>
      <c r="R83" s="791">
        <f t="shared" si="27"/>
        <v>0</v>
      </c>
      <c r="S83" s="575">
        <f t="shared" si="21"/>
        <v>0</v>
      </c>
      <c r="T83"/>
      <c r="U83"/>
      <c r="V83"/>
      <c r="W83"/>
      <c r="X83"/>
      <c r="Y83"/>
      <c r="Z83"/>
      <c r="AA83" s="509"/>
      <c r="AB83" s="509"/>
    </row>
    <row r="84" spans="1:28" s="506" customFormat="1" ht="12.75" customHeight="1">
      <c r="A84" s="785">
        <f t="shared" si="26"/>
        <v>1930</v>
      </c>
      <c r="B84" s="1329">
        <f>IF(I37=0,H37,(((DATE(Voorblad!$D$3,K37,J37)-DATE(Voorblad!$D$3,1,1))*H37)/Voorblad!L$3))</f>
        <v>0</v>
      </c>
      <c r="C84" s="1329"/>
      <c r="D84" s="1327">
        <f>IF(K37=0,0,(IF(L37=0,((DATE(Voorblad!D$3+1,1,1)-DATE(Voorblad!$D$3,(K37),J37))*(H37-(1*I37)))/Voorblad!L$3,((DATE(Voorblad!$D$3,(L37),J37)-DATE(Voorblad!$D$3,(K37),J37))*(H37-(1*I37)))/Voorblad!L$3)))</f>
        <v>0</v>
      </c>
      <c r="E84" s="1327"/>
      <c r="F84" s="1327">
        <f>IF(L37=0,0,(IF(M37=0,((DATE(Voorblad!D$3+1,1,1)-DATE(Voorblad!$D$3,(L37),J37))*(H37-(2*I37)))/365,((DATE(Voorblad!$D$3,(M37),J37)-DATE(Voorblad!$D$3,(L37),J37))*(H37-(2*I37)))/Voorblad!L$3)))</f>
        <v>0</v>
      </c>
      <c r="G84" s="1327"/>
      <c r="H84" s="786">
        <f>IF(M37=0,0,(IF(N37=0,((DATE(Voorblad!D$3+1,1,1)-DATE(Voorblad!$D$3,(M37),J37))*(H37-(3*I37)))/Voorblad!L$3,((DATE(Voorblad!$D$3,(N37),J37)-DATE(Voorblad!$D$3,(M37),J37))*(H37-(3*I37)))/Voorblad!L$3)))</f>
        <v>0</v>
      </c>
      <c r="I84" s="1327">
        <f>IF(N37=0,0,(IF(O37=0,((DATE(Voorblad!D$3+1,1,1)-DATE(Voorblad!$D$3,(N37),J37))*(H37-(4*I37)))/Voorblad!L$3,((DATE(Voorblad!$D$3,(O37),J37)-DATE(Voorblad!$D$3,(N37),J37))*(H37-(4*I37)))/Voorblad!L$3)))</f>
        <v>0</v>
      </c>
      <c r="J84" s="1327"/>
      <c r="K84" s="1327">
        <f>IF(O37=0,0,(IF(P37=0,((DATE(Voorblad!D$3+1,1,1)-DATE(Voorblad!$D$3,(O37),J37))*(H37-(5*I37)))/Voorblad!L$3,((DATE(Voorblad!$D$3,(P37),J37)-DATE(Voorblad!$D$3,(O37),J37))*(H37-(5*I37)))/Voorblad!L$3)))</f>
        <v>0</v>
      </c>
      <c r="L84" s="1327"/>
      <c r="M84" s="1327"/>
      <c r="N84" s="1327"/>
      <c r="O84" s="1327"/>
      <c r="P84" s="1327"/>
      <c r="Q84" s="787">
        <f>IF(P37=0,0,((DATE(Voorblad!D$3+1,1,1)-DATE(Voorblad!$D$3,(P37),J37))*(H37-(6*I37)))/Voorblad!L$3)</f>
        <v>0</v>
      </c>
      <c r="R84" s="791">
        <f t="shared" si="27"/>
        <v>0</v>
      </c>
      <c r="S84" s="575">
        <f t="shared" si="21"/>
        <v>0</v>
      </c>
      <c r="T84"/>
      <c r="U84"/>
      <c r="V84"/>
      <c r="W84"/>
      <c r="X84"/>
      <c r="Y84"/>
      <c r="Z84"/>
      <c r="AA84" s="509"/>
      <c r="AB84" s="509"/>
    </row>
    <row r="85" spans="1:28" s="506" customFormat="1" ht="12.75" customHeight="1">
      <c r="A85" s="785">
        <f t="shared" si="26"/>
        <v>1931</v>
      </c>
      <c r="B85" s="1329">
        <f>IF(I38=0,H38,(((DATE(Voorblad!$D$3,K38,J38)-DATE(Voorblad!$D$3,1,1))*H38)/Voorblad!L$3))</f>
        <v>0</v>
      </c>
      <c r="C85" s="1329"/>
      <c r="D85" s="1327">
        <f>IF(K38=0,0,(IF(L38=0,((DATE(Voorblad!D$3+1,1,1)-DATE(Voorblad!$D$3,(K38),J38))*(H38-(1*I38)))/Voorblad!L$3,((DATE(Voorblad!$D$3,(L38),J38)-DATE(Voorblad!$D$3,(K38),J38))*(H38-(1*I38)))/Voorblad!L$3)))</f>
        <v>0</v>
      </c>
      <c r="E85" s="1327"/>
      <c r="F85" s="1327">
        <f>IF(L38=0,0,(IF(M38=0,((DATE(Voorblad!D$3+1,1,1)-DATE(Voorblad!$D$3,(L38),J38))*(H38-(2*I38)))/365,((DATE(Voorblad!$D$3,(M38),J38)-DATE(Voorblad!$D$3,(L38),J38))*(H38-(2*I38)))/Voorblad!L$3)))</f>
        <v>0</v>
      </c>
      <c r="G85" s="1327"/>
      <c r="H85" s="786">
        <f>IF(M38=0,0,(IF(N38=0,((DATE(Voorblad!D$3+1,1,1)-DATE(Voorblad!$D$3,(M38),J38))*(H38-(3*I38)))/Voorblad!L$3,((DATE(Voorblad!$D$3,(N38),J38)-DATE(Voorblad!$D$3,(M38),J38))*(H38-(3*I38)))/Voorblad!L$3)))</f>
        <v>0</v>
      </c>
      <c r="I85" s="1327">
        <f>IF(N38=0,0,(IF(O38=0,((DATE(Voorblad!D$3+1,1,1)-DATE(Voorblad!$D$3,(N38),J38))*(H38-(4*I38)))/Voorblad!L$3,((DATE(Voorblad!$D$3,(O38),J38)-DATE(Voorblad!$D$3,(N38),J38))*(H38-(4*I38)))/Voorblad!L$3)))</f>
        <v>0</v>
      </c>
      <c r="J85" s="1327"/>
      <c r="K85" s="1327">
        <f>IF(O38=0,0,(IF(P38=0,((DATE(Voorblad!D$3+1,1,1)-DATE(Voorblad!$D$3,(O38),J38))*(H38-(5*I38)))/Voorblad!L$3,((DATE(Voorblad!$D$3,(P38),J38)-DATE(Voorblad!$D$3,(O38),J38))*(H38-(5*I38)))/Voorblad!L$3)))</f>
        <v>0</v>
      </c>
      <c r="L85" s="1327"/>
      <c r="M85" s="1327"/>
      <c r="N85" s="1327"/>
      <c r="O85" s="1327"/>
      <c r="P85" s="1327"/>
      <c r="Q85" s="787">
        <f>IF(P38=0,0,((DATE(Voorblad!D$3+1,1,1)-DATE(Voorblad!$D$3,(P38),J38))*(H38-(6*I38)))/Voorblad!L$3)</f>
        <v>0</v>
      </c>
      <c r="R85" s="791">
        <f t="shared" si="27"/>
        <v>0</v>
      </c>
      <c r="S85" s="575">
        <f t="shared" si="21"/>
        <v>0</v>
      </c>
      <c r="T85"/>
      <c r="U85"/>
      <c r="V85"/>
      <c r="W85"/>
      <c r="X85"/>
      <c r="Y85"/>
      <c r="Z85"/>
      <c r="AA85" s="509"/>
      <c r="AB85" s="509"/>
    </row>
    <row r="86" spans="1:28" s="506" customFormat="1" ht="12.75" customHeight="1">
      <c r="A86" s="785">
        <f t="shared" si="26"/>
        <v>1932</v>
      </c>
      <c r="B86" s="1329">
        <f>IF(I39=0,H39,(((DATE(Voorblad!$D$3,K39,J39)-DATE(Voorblad!$D$3,1,1))*H39)/Voorblad!L$3))</f>
        <v>0</v>
      </c>
      <c r="C86" s="1329"/>
      <c r="D86" s="1327">
        <f>IF(K39=0,0,(IF(L39=0,((DATE(Voorblad!D$3+1,1,1)-DATE(Voorblad!$D$3,(K39),J39))*(H39-(1*I39)))/Voorblad!L$3,((DATE(Voorblad!$D$3,(L39),J39)-DATE(Voorblad!$D$3,(K39),J39))*(H39-(1*I39)))/Voorblad!L$3)))</f>
        <v>0</v>
      </c>
      <c r="E86" s="1327"/>
      <c r="F86" s="1327">
        <f>IF(L39=0,0,(IF(M39=0,((DATE(Voorblad!D$3+1,1,1)-DATE(Voorblad!$D$3,(L39),J39))*(H39-(2*I39)))/365,((DATE(Voorblad!$D$3,(M39),J39)-DATE(Voorblad!$D$3,(L39),J39))*(H39-(2*I39)))/Voorblad!L$3)))</f>
        <v>0</v>
      </c>
      <c r="G86" s="1327"/>
      <c r="H86" s="786">
        <f>IF(M39=0,0,(IF(N39=0,((DATE(Voorblad!D$3+1,1,1)-DATE(Voorblad!$D$3,(M39),J39))*(H39-(3*I39)))/Voorblad!L$3,((DATE(Voorblad!$D$3,(N39),J39)-DATE(Voorblad!$D$3,(M39),J39))*(H39-(3*I39)))/Voorblad!L$3)))</f>
        <v>0</v>
      </c>
      <c r="I86" s="1327">
        <f>IF(N39=0,0,(IF(O39=0,((DATE(Voorblad!D$3+1,1,1)-DATE(Voorblad!$D$3,(N39),J39))*(H39-(4*I39)))/Voorblad!L$3,((DATE(Voorblad!$D$3,(O39),J39)-DATE(Voorblad!$D$3,(N39),J39))*(H39-(4*I39)))/Voorblad!L$3)))</f>
        <v>0</v>
      </c>
      <c r="J86" s="1327"/>
      <c r="K86" s="1327">
        <f>IF(O39=0,0,(IF(P39=0,((DATE(Voorblad!D$3+1,1,1)-DATE(Voorblad!$D$3,(O39),J39))*(H39-(5*I39)))/Voorblad!L$3,((DATE(Voorblad!$D$3,(P39),J39)-DATE(Voorblad!$D$3,(O39),J39))*(H39-(5*I39)))/Voorblad!L$3)))</f>
        <v>0</v>
      </c>
      <c r="L86" s="1327"/>
      <c r="M86" s="1327"/>
      <c r="N86" s="1327"/>
      <c r="O86" s="1327"/>
      <c r="P86" s="1327"/>
      <c r="Q86" s="787">
        <f>IF(P39=0,0,((DATE(Voorblad!D$3+1,1,1)-DATE(Voorblad!$D$3,(P39),J39))*(H39-(6*I39)))/Voorblad!L$3)</f>
        <v>0</v>
      </c>
      <c r="R86" s="791">
        <f t="shared" si="27"/>
        <v>0</v>
      </c>
      <c r="S86" s="575">
        <f t="shared" si="21"/>
        <v>0</v>
      </c>
      <c r="T86"/>
      <c r="U86"/>
      <c r="V86"/>
      <c r="W86"/>
      <c r="X86"/>
      <c r="Y86"/>
      <c r="Z86"/>
      <c r="AA86" s="509"/>
      <c r="AB86" s="509"/>
    </row>
    <row r="87" spans="1:28" s="506" customFormat="1" ht="12.75" customHeight="1">
      <c r="A87" s="785">
        <f t="shared" si="26"/>
        <v>1933</v>
      </c>
      <c r="B87" s="1329">
        <f>IF(I40=0,H40,(((DATE(Voorblad!$D$3,K40,J40)-DATE(Voorblad!$D$3,1,1))*H40)/Voorblad!L$3))</f>
        <v>0</v>
      </c>
      <c r="C87" s="1329"/>
      <c r="D87" s="1327">
        <f>IF(K40=0,0,(IF(L40=0,((DATE(Voorblad!D$3+1,1,1)-DATE(Voorblad!$D$3,(K40),J40))*(H40-(1*I40)))/Voorblad!L$3,((DATE(Voorblad!$D$3,(L40),J40)-DATE(Voorblad!$D$3,(K40),J40))*(H40-(1*I40)))/Voorblad!L$3)))</f>
        <v>0</v>
      </c>
      <c r="E87" s="1327"/>
      <c r="F87" s="1327">
        <f>IF(L40=0,0,(IF(M40=0,((DATE(Voorblad!D$3+1,1,1)-DATE(Voorblad!$D$3,(L40),J40))*(H40-(2*I40)))/365,((DATE(Voorblad!$D$3,(M40),J40)-DATE(Voorblad!$D$3,(L40),J40))*(H40-(2*I40)))/Voorblad!L$3)))</f>
        <v>0</v>
      </c>
      <c r="G87" s="1327"/>
      <c r="H87" s="786">
        <f>IF(M40=0,0,(IF(N40=0,((DATE(Voorblad!D$3+1,1,1)-DATE(Voorblad!$D$3,(M40),J40))*(H40-(3*I40)))/Voorblad!L$3,((DATE(Voorblad!$D$3,(N40),J40)-DATE(Voorblad!$D$3,(M40),J40))*(H40-(3*I40)))/Voorblad!L$3)))</f>
        <v>0</v>
      </c>
      <c r="I87" s="1327">
        <f>IF(N40=0,0,(IF(O40=0,((DATE(Voorblad!D$3+1,1,1)-DATE(Voorblad!$D$3,(N40),J40))*(H40-(4*I40)))/Voorblad!L$3,((DATE(Voorblad!$D$3,(O40),J40)-DATE(Voorblad!$D$3,(N40),J40))*(H40-(4*I40)))/Voorblad!L$3)))</f>
        <v>0</v>
      </c>
      <c r="J87" s="1327"/>
      <c r="K87" s="1327">
        <f>IF(O40=0,0,(IF(P40=0,((DATE(Voorblad!D$3+1,1,1)-DATE(Voorblad!$D$3,(O40),J40))*(H40-(5*I40)))/Voorblad!L$3,((DATE(Voorblad!$D$3,(P40),J40)-DATE(Voorblad!$D$3,(O40),J40))*(H40-(5*I40)))/Voorblad!L$3)))</f>
        <v>0</v>
      </c>
      <c r="L87" s="1327"/>
      <c r="M87" s="1327"/>
      <c r="N87" s="1327"/>
      <c r="O87" s="1327"/>
      <c r="P87" s="1327"/>
      <c r="Q87" s="787">
        <f>IF(P40=0,0,((DATE(Voorblad!D$3+1,1,1)-DATE(Voorblad!$D$3,(P40),J40))*(H40-(6*I40)))/Voorblad!L$3)</f>
        <v>0</v>
      </c>
      <c r="R87" s="791">
        <f t="shared" si="27"/>
        <v>0</v>
      </c>
      <c r="S87" s="575">
        <f t="shared" si="21"/>
        <v>0</v>
      </c>
      <c r="T87"/>
      <c r="U87"/>
      <c r="V87"/>
      <c r="W87"/>
      <c r="X87"/>
      <c r="Y87"/>
      <c r="Z87"/>
      <c r="AA87" s="509"/>
      <c r="AB87" s="509"/>
    </row>
    <row r="88" spans="1:28" s="506" customFormat="1" ht="12.75" customHeight="1">
      <c r="A88" s="785">
        <f t="shared" si="26"/>
        <v>1934</v>
      </c>
      <c r="B88" s="1329">
        <f>IF(I41=0,H41,(((DATE(Voorblad!$D$3,K41,J41)-DATE(Voorblad!$D$3,1,1))*H41)/Voorblad!L$3))</f>
        <v>0</v>
      </c>
      <c r="C88" s="1329"/>
      <c r="D88" s="1327">
        <f>IF(K41=0,0,(IF(L41=0,((DATE(Voorblad!D$3+1,1,1)-DATE(Voorblad!$D$3,(K41),J41))*(H41-(1*I41)))/Voorblad!L$3,((DATE(Voorblad!$D$3,(L41),J41)-DATE(Voorblad!$D$3,(K41),J41))*(H41-(1*I41)))/Voorblad!L$3)))</f>
        <v>0</v>
      </c>
      <c r="E88" s="1327"/>
      <c r="F88" s="1327">
        <f>IF(L41=0,0,(IF(M41=0,((DATE(Voorblad!D$3+1,1,1)-DATE(Voorblad!$D$3,(L41),J41))*(H41-(2*I41)))/365,((DATE(Voorblad!$D$3,(M41),J41)-DATE(Voorblad!$D$3,(L41),J41))*(H41-(2*I41)))/Voorblad!L$3)))</f>
        <v>0</v>
      </c>
      <c r="G88" s="1327"/>
      <c r="H88" s="786">
        <f>IF(M41=0,0,(IF(N41=0,((DATE(Voorblad!D$3+1,1,1)-DATE(Voorblad!$D$3,(M41),J41))*(H41-(3*I41)))/Voorblad!L$3,((DATE(Voorblad!$D$3,(N41),J41)-DATE(Voorblad!$D$3,(M41),J41))*(H41-(3*I41)))/Voorblad!L$3)))</f>
        <v>0</v>
      </c>
      <c r="I88" s="1327">
        <f>IF(N41=0,0,(IF(O41=0,((DATE(Voorblad!D$3+1,1,1)-DATE(Voorblad!$D$3,(N41),J41))*(H41-(4*I41)))/Voorblad!L$3,((DATE(Voorblad!$D$3,(O41),J41)-DATE(Voorblad!$D$3,(N41),J41))*(H41-(4*I41)))/Voorblad!L$3)))</f>
        <v>0</v>
      </c>
      <c r="J88" s="1327"/>
      <c r="K88" s="1327">
        <f>IF(O41=0,0,(IF(P41=0,((DATE(Voorblad!D$3+1,1,1)-DATE(Voorblad!$D$3,(O41),J41))*(H41-(5*I41)))/Voorblad!L$3,((DATE(Voorblad!$D$3,(P41),J41)-DATE(Voorblad!$D$3,(O41),J41))*(H41-(5*I41)))/Voorblad!L$3)))</f>
        <v>0</v>
      </c>
      <c r="L88" s="1327"/>
      <c r="M88" s="1327"/>
      <c r="N88" s="1327"/>
      <c r="O88" s="1327"/>
      <c r="P88" s="1327"/>
      <c r="Q88" s="787">
        <f>IF(P41=0,0,((DATE(Voorblad!D$3+1,1,1)-DATE(Voorblad!$D$3,(P41),J41))*(H41-(6*I41)))/Voorblad!L$3)</f>
        <v>0</v>
      </c>
      <c r="R88" s="791">
        <f t="shared" si="27"/>
        <v>0</v>
      </c>
      <c r="S88" s="575">
        <f t="shared" si="21"/>
        <v>0</v>
      </c>
      <c r="T88"/>
      <c r="U88"/>
      <c r="V88"/>
      <c r="W88"/>
      <c r="X88"/>
      <c r="Y88"/>
      <c r="Z88"/>
      <c r="AA88" s="509"/>
      <c r="AB88" s="509"/>
    </row>
    <row r="89" spans="1:28" s="506" customFormat="1" ht="12.75" customHeight="1">
      <c r="A89" s="785">
        <f t="shared" si="26"/>
        <v>1935</v>
      </c>
      <c r="B89" s="1329">
        <f>IF(I42=0,H42,(((DATE(Voorblad!$D$3,K42,J42)-DATE(Voorblad!$D$3,1,1))*H42)/Voorblad!L$3))</f>
        <v>0</v>
      </c>
      <c r="C89" s="1329"/>
      <c r="D89" s="1327">
        <f>IF(K42=0,0,(IF(L42=0,((DATE(Voorblad!D$3+1,1,1)-DATE(Voorblad!$D$3,(K42),J42))*(H42-(1*I42)))/Voorblad!L$3,((DATE(Voorblad!$D$3,(L42),J42)-DATE(Voorblad!$D$3,(K42),J42))*(H42-(1*I42)))/Voorblad!L$3)))</f>
        <v>0</v>
      </c>
      <c r="E89" s="1327"/>
      <c r="F89" s="1327">
        <f>IF(L42=0,0,(IF(M42=0,((DATE(Voorblad!D$3+1,1,1)-DATE(Voorblad!$D$3,(L42),J42))*(H42-(2*I42)))/365,((DATE(Voorblad!$D$3,(M42),J42)-DATE(Voorblad!$D$3,(L42),J42))*(H42-(2*I42)))/Voorblad!L$3)))</f>
        <v>0</v>
      </c>
      <c r="G89" s="1327"/>
      <c r="H89" s="786">
        <f>IF(M42=0,0,(IF(N42=0,((DATE(Voorblad!D$3+1,1,1)-DATE(Voorblad!$D$3,(M42),J42))*(H42-(3*I42)))/Voorblad!L$3,((DATE(Voorblad!$D$3,(N42),J42)-DATE(Voorblad!$D$3,(M42),J42))*(H42-(3*I42)))/Voorblad!L$3)))</f>
        <v>0</v>
      </c>
      <c r="I89" s="1327">
        <f>IF(N42=0,0,(IF(O42=0,((DATE(Voorblad!D$3+1,1,1)-DATE(Voorblad!$D$3,(N42),J42))*(H42-(4*I42)))/Voorblad!L$3,((DATE(Voorblad!$D$3,(O42),J42)-DATE(Voorblad!$D$3,(N42),J42))*(H42-(4*I42)))/Voorblad!L$3)))</f>
        <v>0</v>
      </c>
      <c r="J89" s="1327"/>
      <c r="K89" s="1327">
        <f>IF(O42=0,0,(IF(P42=0,((DATE(Voorblad!D$3+1,1,1)-DATE(Voorblad!$D$3,(O42),J42))*(H42-(5*I42)))/Voorblad!L$3,((DATE(Voorblad!$D$3,(P42),J42)-DATE(Voorblad!$D$3,(O42),J42))*(H42-(5*I42)))/Voorblad!L$3)))</f>
        <v>0</v>
      </c>
      <c r="L89" s="1327"/>
      <c r="M89" s="1327"/>
      <c r="N89" s="1327"/>
      <c r="O89" s="1327"/>
      <c r="P89" s="1327"/>
      <c r="Q89" s="787">
        <f>IF(P42=0,0,((DATE(Voorblad!D$3+1,1,1)-DATE(Voorblad!$D$3,(P42),J42))*(H42-(6*I42)))/Voorblad!L$3)</f>
        <v>0</v>
      </c>
      <c r="R89" s="791">
        <f t="shared" si="27"/>
        <v>0</v>
      </c>
      <c r="S89" s="575">
        <f t="shared" si="21"/>
        <v>0</v>
      </c>
      <c r="T89"/>
      <c r="U89"/>
      <c r="V89"/>
      <c r="W89"/>
      <c r="X89"/>
      <c r="Y89"/>
      <c r="Z89"/>
      <c r="AA89" s="509"/>
      <c r="AB89" s="509"/>
    </row>
    <row r="90" spans="1:28" s="506" customFormat="1" ht="12.75" customHeight="1">
      <c r="A90" s="785">
        <f t="shared" si="26"/>
        <v>1936</v>
      </c>
      <c r="B90" s="788"/>
      <c r="C90" s="789"/>
      <c r="D90" s="789"/>
      <c r="E90" s="789"/>
      <c r="F90" s="789"/>
      <c r="G90" s="789"/>
      <c r="H90" s="789"/>
      <c r="I90" s="789"/>
      <c r="J90" s="789"/>
      <c r="K90" s="789"/>
      <c r="L90" s="789"/>
      <c r="M90" s="789"/>
      <c r="N90" s="789"/>
      <c r="O90" s="789"/>
      <c r="P90" s="789"/>
      <c r="Q90" s="790"/>
      <c r="R90" s="781">
        <f>SUM(R55:R89)</f>
        <v>0</v>
      </c>
      <c r="S90" s="781">
        <f>SUM(S55:S89)</f>
        <v>0</v>
      </c>
      <c r="T90"/>
      <c r="U90"/>
      <c r="V90"/>
      <c r="W90"/>
      <c r="X90"/>
      <c r="Y90"/>
      <c r="Z90"/>
      <c r="AA90" s="509"/>
      <c r="AB90" s="509"/>
    </row>
    <row r="91" ht="12.75">
      <c r="A91" s="483"/>
    </row>
    <row r="92" spans="1:19" ht="12.75">
      <c r="A92" s="676"/>
      <c r="B92" s="677"/>
      <c r="C92" s="677"/>
      <c r="D92" s="678"/>
      <c r="E92" s="677"/>
      <c r="F92" s="677"/>
      <c r="G92" s="677"/>
      <c r="H92" s="679"/>
      <c r="I92" s="679"/>
      <c r="J92" s="679"/>
      <c r="K92" s="679"/>
      <c r="L92" s="679"/>
      <c r="M92" s="679"/>
      <c r="N92" s="679"/>
      <c r="O92" s="679"/>
      <c r="P92" s="679"/>
      <c r="Q92" s="679"/>
      <c r="R92" s="679"/>
      <c r="S92" s="677"/>
    </row>
    <row r="93" spans="1:19" ht="12.75">
      <c r="A93" s="676"/>
      <c r="B93" s="677"/>
      <c r="C93" s="677"/>
      <c r="D93" s="678"/>
      <c r="E93" s="677"/>
      <c r="F93" s="677"/>
      <c r="G93" s="677"/>
      <c r="H93" s="679"/>
      <c r="I93" s="679"/>
      <c r="J93" s="679"/>
      <c r="K93" s="679"/>
      <c r="L93" s="679"/>
      <c r="M93" s="679"/>
      <c r="N93" s="679"/>
      <c r="O93" s="679"/>
      <c r="P93" s="679"/>
      <c r="Q93" s="679"/>
      <c r="R93" s="679"/>
      <c r="S93" s="677"/>
    </row>
    <row r="94" spans="1:19" ht="12.75">
      <c r="A94" s="676"/>
      <c r="B94" s="677"/>
      <c r="C94" s="677"/>
      <c r="D94" s="678"/>
      <c r="E94" s="677"/>
      <c r="F94" s="677"/>
      <c r="G94" s="677"/>
      <c r="H94" s="679"/>
      <c r="I94" s="679"/>
      <c r="J94" s="679"/>
      <c r="K94" s="679"/>
      <c r="L94" s="679"/>
      <c r="M94" s="679"/>
      <c r="N94" s="679"/>
      <c r="O94" s="679"/>
      <c r="P94" s="679"/>
      <c r="Q94" s="679"/>
      <c r="R94" s="679"/>
      <c r="S94" s="677"/>
    </row>
    <row r="95" spans="1:19" ht="12.75">
      <c r="A95" s="676"/>
      <c r="B95" s="677"/>
      <c r="C95" s="677"/>
      <c r="D95" s="678"/>
      <c r="E95" s="677"/>
      <c r="F95" s="677"/>
      <c r="G95" s="677"/>
      <c r="H95" s="679"/>
      <c r="I95" s="679"/>
      <c r="J95" s="679"/>
      <c r="K95" s="679"/>
      <c r="L95" s="679"/>
      <c r="M95" s="679"/>
      <c r="N95" s="679"/>
      <c r="O95" s="679"/>
      <c r="P95" s="679"/>
      <c r="Q95" s="679"/>
      <c r="R95" s="679"/>
      <c r="S95" s="677"/>
    </row>
    <row r="96" spans="1:19" ht="12.75">
      <c r="A96" s="676"/>
      <c r="B96" s="677"/>
      <c r="C96" s="677"/>
      <c r="D96" s="678"/>
      <c r="E96" s="677"/>
      <c r="F96" s="677"/>
      <c r="G96" s="677"/>
      <c r="H96" s="679"/>
      <c r="I96" s="679"/>
      <c r="J96" s="679"/>
      <c r="K96" s="679"/>
      <c r="L96" s="679"/>
      <c r="M96" s="679"/>
      <c r="N96" s="679"/>
      <c r="O96" s="679"/>
      <c r="P96" s="679"/>
      <c r="Q96" s="679"/>
      <c r="R96" s="679"/>
      <c r="S96" s="677"/>
    </row>
    <row r="97" spans="1:19" ht="12.75">
      <c r="A97" s="676"/>
      <c r="B97" s="677"/>
      <c r="C97" s="677"/>
      <c r="D97" s="678"/>
      <c r="E97" s="677"/>
      <c r="F97" s="677"/>
      <c r="G97" s="677"/>
      <c r="H97" s="679"/>
      <c r="I97" s="679"/>
      <c r="J97" s="679"/>
      <c r="K97" s="679"/>
      <c r="L97" s="679"/>
      <c r="M97" s="679"/>
      <c r="N97" s="679"/>
      <c r="O97" s="679"/>
      <c r="P97" s="679"/>
      <c r="Q97" s="679"/>
      <c r="R97" s="679"/>
      <c r="S97" s="677"/>
    </row>
  </sheetData>
  <sheetProtection password="CFAD" sheet="1" objects="1" scenarios="1"/>
  <mergeCells count="179">
    <mergeCell ref="K88:P88"/>
    <mergeCell ref="B89:C89"/>
    <mergeCell ref="D89:E89"/>
    <mergeCell ref="F89:G89"/>
    <mergeCell ref="I89:J89"/>
    <mergeCell ref="K89:P89"/>
    <mergeCell ref="B88:C88"/>
    <mergeCell ref="D88:E88"/>
    <mergeCell ref="F88:G88"/>
    <mergeCell ref="I88:J88"/>
    <mergeCell ref="K86:P86"/>
    <mergeCell ref="B87:C87"/>
    <mergeCell ref="D87:E87"/>
    <mergeCell ref="F87:G87"/>
    <mergeCell ref="I87:J87"/>
    <mergeCell ref="K87:P87"/>
    <mergeCell ref="B86:C86"/>
    <mergeCell ref="D86:E86"/>
    <mergeCell ref="F86:G86"/>
    <mergeCell ref="I86:J86"/>
    <mergeCell ref="K84:P84"/>
    <mergeCell ref="B85:C85"/>
    <mergeCell ref="D85:E85"/>
    <mergeCell ref="F85:G85"/>
    <mergeCell ref="I85:J85"/>
    <mergeCell ref="K85:P85"/>
    <mergeCell ref="B84:C84"/>
    <mergeCell ref="D84:E84"/>
    <mergeCell ref="F84:G84"/>
    <mergeCell ref="I84:J84"/>
    <mergeCell ref="K82:P82"/>
    <mergeCell ref="B83:C83"/>
    <mergeCell ref="D83:E83"/>
    <mergeCell ref="F83:G83"/>
    <mergeCell ref="I83:J83"/>
    <mergeCell ref="K83:P83"/>
    <mergeCell ref="B82:C82"/>
    <mergeCell ref="D82:E82"/>
    <mergeCell ref="F82:G82"/>
    <mergeCell ref="I82:J82"/>
    <mergeCell ref="B79:C79"/>
    <mergeCell ref="B80:C80"/>
    <mergeCell ref="B81:C81"/>
    <mergeCell ref="B75:C75"/>
    <mergeCell ref="B76:C76"/>
    <mergeCell ref="B77:C77"/>
    <mergeCell ref="B78:C78"/>
    <mergeCell ref="B71:C71"/>
    <mergeCell ref="B72:C72"/>
    <mergeCell ref="B73:C73"/>
    <mergeCell ref="B74:C74"/>
    <mergeCell ref="B67:C67"/>
    <mergeCell ref="B68:C68"/>
    <mergeCell ref="B69:C69"/>
    <mergeCell ref="B70:C70"/>
    <mergeCell ref="B63:C63"/>
    <mergeCell ref="B64:C64"/>
    <mergeCell ref="B65:C65"/>
    <mergeCell ref="B66:C66"/>
    <mergeCell ref="B59:C59"/>
    <mergeCell ref="B60:C60"/>
    <mergeCell ref="B61:C61"/>
    <mergeCell ref="B62:C62"/>
    <mergeCell ref="B55:C55"/>
    <mergeCell ref="B56:C56"/>
    <mergeCell ref="B57:C57"/>
    <mergeCell ref="B58:C58"/>
    <mergeCell ref="D69:E69"/>
    <mergeCell ref="F69:G69"/>
    <mergeCell ref="I69:J69"/>
    <mergeCell ref="K69:P69"/>
    <mergeCell ref="D68:E68"/>
    <mergeCell ref="F68:G68"/>
    <mergeCell ref="I68:J68"/>
    <mergeCell ref="K68:P68"/>
    <mergeCell ref="D67:E67"/>
    <mergeCell ref="F67:G67"/>
    <mergeCell ref="I67:J67"/>
    <mergeCell ref="K67:P67"/>
    <mergeCell ref="D66:E66"/>
    <mergeCell ref="F66:G66"/>
    <mergeCell ref="I66:J66"/>
    <mergeCell ref="K66:P66"/>
    <mergeCell ref="D65:E65"/>
    <mergeCell ref="F65:G65"/>
    <mergeCell ref="I65:J65"/>
    <mergeCell ref="K65:P65"/>
    <mergeCell ref="K63:P63"/>
    <mergeCell ref="D64:E64"/>
    <mergeCell ref="F64:G64"/>
    <mergeCell ref="I64:J64"/>
    <mergeCell ref="K64:P64"/>
    <mergeCell ref="F76:G76"/>
    <mergeCell ref="F77:G77"/>
    <mergeCell ref="F78:G78"/>
    <mergeCell ref="F79:G79"/>
    <mergeCell ref="F71:G71"/>
    <mergeCell ref="F72:G72"/>
    <mergeCell ref="F73:G73"/>
    <mergeCell ref="F74:G74"/>
    <mergeCell ref="F59:G59"/>
    <mergeCell ref="F60:G60"/>
    <mergeCell ref="F61:G61"/>
    <mergeCell ref="F62:G62"/>
    <mergeCell ref="F55:G55"/>
    <mergeCell ref="F56:G56"/>
    <mergeCell ref="F57:G57"/>
    <mergeCell ref="F58:G58"/>
    <mergeCell ref="I80:J80"/>
    <mergeCell ref="I81:J81"/>
    <mergeCell ref="D80:E80"/>
    <mergeCell ref="D81:E81"/>
    <mergeCell ref="F80:G80"/>
    <mergeCell ref="F81:G81"/>
    <mergeCell ref="K80:P80"/>
    <mergeCell ref="K81:P81"/>
    <mergeCell ref="D56:E56"/>
    <mergeCell ref="D72:E72"/>
    <mergeCell ref="D73:E73"/>
    <mergeCell ref="D74:E74"/>
    <mergeCell ref="D75:E75"/>
    <mergeCell ref="D76:E76"/>
    <mergeCell ref="D77:E77"/>
    <mergeCell ref="D78:E78"/>
    <mergeCell ref="K72:P72"/>
    <mergeCell ref="K77:P77"/>
    <mergeCell ref="K78:P78"/>
    <mergeCell ref="K79:P79"/>
    <mergeCell ref="K73:P73"/>
    <mergeCell ref="K74:P74"/>
    <mergeCell ref="K75:P75"/>
    <mergeCell ref="K76:P76"/>
    <mergeCell ref="D79:E79"/>
    <mergeCell ref="I75:J75"/>
    <mergeCell ref="I76:J76"/>
    <mergeCell ref="I72:J72"/>
    <mergeCell ref="I73:J73"/>
    <mergeCell ref="I74:J74"/>
    <mergeCell ref="I77:J77"/>
    <mergeCell ref="I78:J78"/>
    <mergeCell ref="I79:J79"/>
    <mergeCell ref="F75:G75"/>
    <mergeCell ref="I4:P4"/>
    <mergeCell ref="I56:J56"/>
    <mergeCell ref="I54:J54"/>
    <mergeCell ref="K54:P54"/>
    <mergeCell ref="K56:P56"/>
    <mergeCell ref="I55:J55"/>
    <mergeCell ref="K55:P55"/>
    <mergeCell ref="D59:E59"/>
    <mergeCell ref="I59:J59"/>
    <mergeCell ref="K59:P59"/>
    <mergeCell ref="K5:P5"/>
    <mergeCell ref="D55:E55"/>
    <mergeCell ref="D57:E57"/>
    <mergeCell ref="I57:J57"/>
    <mergeCell ref="K57:P57"/>
    <mergeCell ref="D58:E58"/>
    <mergeCell ref="I58:J58"/>
    <mergeCell ref="K58:P58"/>
    <mergeCell ref="D71:E71"/>
    <mergeCell ref="I71:J71"/>
    <mergeCell ref="K71:P71"/>
    <mergeCell ref="D61:E61"/>
    <mergeCell ref="I61:J61"/>
    <mergeCell ref="K61:P61"/>
    <mergeCell ref="D62:E62"/>
    <mergeCell ref="I62:J62"/>
    <mergeCell ref="K62:P62"/>
    <mergeCell ref="D70:E70"/>
    <mergeCell ref="I70:J70"/>
    <mergeCell ref="K70:P70"/>
    <mergeCell ref="D60:E60"/>
    <mergeCell ref="I60:J60"/>
    <mergeCell ref="K60:P60"/>
    <mergeCell ref="F70:G70"/>
    <mergeCell ref="D63:E63"/>
    <mergeCell ref="F63:G63"/>
    <mergeCell ref="I63:J63"/>
  </mergeCells>
  <conditionalFormatting sqref="A55:A90">
    <cfRule type="cellIs" priority="1" dxfId="4" operator="equal" stopIfTrue="1">
      <formula>0</formula>
    </cfRule>
  </conditionalFormatting>
  <conditionalFormatting sqref="R44:R45 B8:P42">
    <cfRule type="expression" priority="2" dxfId="0" stopIfTrue="1">
      <formula>$I$2=TRUE</formula>
    </cfRule>
  </conditionalFormatting>
  <printOptions/>
  <pageMargins left="0.3937007874015748" right="0.3937007874015748" top="0.3937007874015748" bottom="0.3937007874015748" header="0.5118110236220472" footer="0.5118110236220472"/>
  <pageSetup horizontalDpi="300" verticalDpi="300" orientation="landscape" paperSize="9" scale="90" r:id="rId2"/>
  <rowBreaks count="1" manualBreakCount="1">
    <brk id="48" max="21" man="1"/>
  </rowBreaks>
  <ignoredErrors>
    <ignoredError sqref="R8:R9 T8:T33" unlockedFormula="1"/>
  </ignoredErrors>
  <drawing r:id="rId1"/>
</worksheet>
</file>

<file path=xl/worksheets/sheet15.xml><?xml version="1.0" encoding="utf-8"?>
<worksheet xmlns="http://schemas.openxmlformats.org/spreadsheetml/2006/main" xmlns:r="http://schemas.openxmlformats.org/officeDocument/2006/relationships">
  <sheetPr codeName="Blad20">
    <pageSetUpPr fitToPage="1"/>
  </sheetPr>
  <dimension ref="A1:Q40"/>
  <sheetViews>
    <sheetView showGridLines="0" zoomScale="86" zoomScaleNormal="86" workbookViewId="0" topLeftCell="A1">
      <selection activeCell="B23" sqref="B23"/>
    </sheetView>
  </sheetViews>
  <sheetFormatPr defaultColWidth="9.140625" defaultRowHeight="12.75"/>
  <cols>
    <col min="1" max="1" width="5.7109375" style="470" customWidth="1"/>
    <col min="2" max="2" width="66.140625" style="439" customWidth="1"/>
    <col min="3" max="4" width="17.7109375" style="435" customWidth="1"/>
    <col min="5" max="5" width="17.7109375" style="439" customWidth="1"/>
    <col min="6" max="6" width="9.140625" style="439" customWidth="1"/>
    <col min="7" max="7" width="10.7109375" style="440" customWidth="1"/>
    <col min="8" max="8" width="10.7109375" style="441" customWidth="1"/>
    <col min="9" max="13" width="10.7109375" style="440" customWidth="1"/>
    <col min="14" max="21" width="9.140625" style="439" customWidth="1"/>
    <col min="22" max="22" width="1.7109375" style="439" customWidth="1"/>
    <col min="23" max="16384" width="9.140625" style="439" customWidth="1"/>
  </cols>
  <sheetData>
    <row r="1" spans="1:5" ht="15.75" customHeight="1">
      <c r="A1" s="657"/>
      <c r="B1" s="635"/>
      <c r="C1" s="2"/>
      <c r="D1" s="2"/>
      <c r="E1" s="635"/>
    </row>
    <row r="2" spans="1:13" s="447" customFormat="1" ht="15.75" customHeight="1">
      <c r="A2" s="6" t="str">
        <f>CONCATENATE("Nacalculatieformulier ",Voorblad!D3," ")</f>
        <v>Nacalculatieformulier 2004 </v>
      </c>
      <c r="B2" s="7"/>
      <c r="C2" s="8" t="b">
        <f>Voorblad!D30</f>
        <v>1</v>
      </c>
      <c r="D2" s="8"/>
      <c r="E2" s="10">
        <f>H!S50+1</f>
        <v>20</v>
      </c>
      <c r="G2" s="448"/>
      <c r="H2" s="449"/>
      <c r="I2" s="448"/>
      <c r="J2" s="448"/>
      <c r="K2" s="448"/>
      <c r="L2" s="448"/>
      <c r="M2" s="448"/>
    </row>
    <row r="3" spans="1:8" s="457" customFormat="1" ht="12.75" customHeight="1">
      <c r="A3" s="619"/>
      <c r="B3" s="571"/>
      <c r="C3" s="42"/>
      <c r="D3" s="42"/>
      <c r="E3" s="571"/>
      <c r="H3" s="455"/>
    </row>
    <row r="4" spans="1:5" s="447" customFormat="1" ht="12.75" customHeight="1">
      <c r="A4" s="21"/>
      <c r="B4" s="222"/>
      <c r="C4" s="223" t="str">
        <f>CONCATENATE("31-12-",Voorblad!D3-1," ")</f>
        <v>31-12-2003 </v>
      </c>
      <c r="D4" s="223" t="str">
        <f>CONCATENATE("31-12-",Voorblad!D3," ")</f>
        <v>31-12-2004 </v>
      </c>
      <c r="E4" s="223" t="str">
        <f>CONCATENATE("Gemiddeld ",Voorblad!D3," ")</f>
        <v>Gemiddeld 2004 </v>
      </c>
    </row>
    <row r="5" spans="1:5" s="457" customFormat="1" ht="12.75" customHeight="1">
      <c r="A5" s="640"/>
      <c r="B5" s="571"/>
      <c r="C5" s="175"/>
      <c r="D5" s="42"/>
      <c r="E5" s="571"/>
    </row>
    <row r="6" spans="1:8" s="457" customFormat="1" ht="12.75" customHeight="1">
      <c r="A6" s="619" t="s">
        <v>31</v>
      </c>
      <c r="B6" s="660" t="s">
        <v>30</v>
      </c>
      <c r="C6" s="168"/>
      <c r="D6" s="168"/>
      <c r="E6" s="571"/>
      <c r="H6" s="455"/>
    </row>
    <row r="7" spans="1:5" s="457" customFormat="1" ht="12.75" customHeight="1">
      <c r="A7" s="733">
        <f>(100*E2)+1</f>
        <v>2001</v>
      </c>
      <c r="B7" s="792" t="s">
        <v>377</v>
      </c>
      <c r="C7" s="433"/>
      <c r="D7" s="433"/>
      <c r="E7" s="482">
        <f>(C7+D7)/2</f>
        <v>0</v>
      </c>
    </row>
    <row r="8" spans="1:5" s="457" customFormat="1" ht="12.75" customHeight="1">
      <c r="A8" s="733">
        <f>A7+1</f>
        <v>2002</v>
      </c>
      <c r="B8" s="792" t="s">
        <v>379</v>
      </c>
      <c r="C8" s="433"/>
      <c r="D8" s="433"/>
      <c r="E8" s="482">
        <f aca="true" t="shared" si="0" ref="E8:E16">(C8+D8)/2</f>
        <v>0</v>
      </c>
    </row>
    <row r="9" spans="1:5" s="457" customFormat="1" ht="12.75" customHeight="1">
      <c r="A9" s="733">
        <f aca="true" t="shared" si="1" ref="A9:A18">A8+1</f>
        <v>2003</v>
      </c>
      <c r="B9" s="457" t="s">
        <v>378</v>
      </c>
      <c r="C9" s="433"/>
      <c r="D9" s="433"/>
      <c r="E9" s="482">
        <f t="shared" si="0"/>
        <v>0</v>
      </c>
    </row>
    <row r="10" spans="1:17" s="457" customFormat="1" ht="12.75" customHeight="1">
      <c r="A10" s="733">
        <f t="shared" si="1"/>
        <v>2004</v>
      </c>
      <c r="B10" s="792" t="s">
        <v>273</v>
      </c>
      <c r="C10" s="433"/>
      <c r="D10" s="433"/>
      <c r="E10" s="482">
        <f t="shared" si="0"/>
        <v>0</v>
      </c>
      <c r="Q10" s="467"/>
    </row>
    <row r="11" spans="1:5" s="457" customFormat="1" ht="12.75" customHeight="1">
      <c r="A11" s="733">
        <f t="shared" si="1"/>
        <v>2005</v>
      </c>
      <c r="B11" s="792" t="s">
        <v>274</v>
      </c>
      <c r="C11" s="433"/>
      <c r="D11" s="433"/>
      <c r="E11" s="482">
        <f t="shared" si="0"/>
        <v>0</v>
      </c>
    </row>
    <row r="12" spans="1:5" s="457" customFormat="1" ht="12.75" customHeight="1">
      <c r="A12" s="733">
        <f t="shared" si="1"/>
        <v>2006</v>
      </c>
      <c r="B12" s="792" t="s">
        <v>275</v>
      </c>
      <c r="C12" s="433"/>
      <c r="D12" s="433"/>
      <c r="E12" s="482">
        <f t="shared" si="0"/>
        <v>0</v>
      </c>
    </row>
    <row r="13" spans="1:5" s="457" customFormat="1" ht="12.75" customHeight="1">
      <c r="A13" s="733">
        <f t="shared" si="1"/>
        <v>2007</v>
      </c>
      <c r="B13" s="792" t="s">
        <v>276</v>
      </c>
      <c r="C13" s="433"/>
      <c r="D13" s="433"/>
      <c r="E13" s="482">
        <f t="shared" si="0"/>
        <v>0</v>
      </c>
    </row>
    <row r="14" spans="1:5" s="457" customFormat="1" ht="12.75" customHeight="1">
      <c r="A14" s="733">
        <f t="shared" si="1"/>
        <v>2008</v>
      </c>
      <c r="B14" s="792" t="s">
        <v>277</v>
      </c>
      <c r="C14" s="433"/>
      <c r="D14" s="433"/>
      <c r="E14" s="482">
        <f t="shared" si="0"/>
        <v>0</v>
      </c>
    </row>
    <row r="15" spans="1:5" s="457" customFormat="1" ht="12.75" customHeight="1">
      <c r="A15" s="733">
        <f t="shared" si="1"/>
        <v>2009</v>
      </c>
      <c r="B15" s="792" t="s">
        <v>278</v>
      </c>
      <c r="C15" s="433"/>
      <c r="D15" s="433"/>
      <c r="E15" s="482">
        <f t="shared" si="0"/>
        <v>0</v>
      </c>
    </row>
    <row r="16" spans="1:5" s="457" customFormat="1" ht="12.75" customHeight="1">
      <c r="A16" s="733">
        <f t="shared" si="1"/>
        <v>2010</v>
      </c>
      <c r="B16" s="792" t="s">
        <v>279</v>
      </c>
      <c r="C16" s="433"/>
      <c r="D16" s="433"/>
      <c r="E16" s="482">
        <f t="shared" si="0"/>
        <v>0</v>
      </c>
    </row>
    <row r="17" spans="1:5" s="457" customFormat="1" ht="12.75" customHeight="1">
      <c r="A17" s="733">
        <f t="shared" si="1"/>
        <v>2011</v>
      </c>
      <c r="B17" s="792" t="s">
        <v>380</v>
      </c>
      <c r="C17" s="433"/>
      <c r="D17" s="433"/>
      <c r="E17" s="482">
        <f>(C17+D17)/2</f>
        <v>0</v>
      </c>
    </row>
    <row r="18" spans="1:5" s="457" customFormat="1" ht="12.75" customHeight="1">
      <c r="A18" s="733">
        <f t="shared" si="1"/>
        <v>2012</v>
      </c>
      <c r="B18" s="796" t="s">
        <v>303</v>
      </c>
      <c r="C18" s="848"/>
      <c r="D18" s="745"/>
      <c r="E18" s="794">
        <f>(C18+D18)/2</f>
        <v>0</v>
      </c>
    </row>
    <row r="19" spans="1:5" s="457" customFormat="1" ht="12.75" customHeight="1">
      <c r="A19" s="733">
        <f>A18+1</f>
        <v>2013</v>
      </c>
      <c r="B19" s="255" t="s">
        <v>396</v>
      </c>
      <c r="C19" s="793"/>
      <c r="D19" s="745"/>
      <c r="E19" s="794">
        <f>(C19+D19)/2</f>
        <v>0</v>
      </c>
    </row>
    <row r="20" spans="1:5" s="457" customFormat="1" ht="12.75" customHeight="1">
      <c r="A20" s="733">
        <f>A19+1</f>
        <v>2014</v>
      </c>
      <c r="B20" s="255"/>
      <c r="C20" s="1065"/>
      <c r="D20" s="1065"/>
      <c r="E20" s="482">
        <f>(C20+D20)/2</f>
        <v>0</v>
      </c>
    </row>
    <row r="21" spans="1:5" s="457" customFormat="1" ht="12.75" customHeight="1">
      <c r="A21" s="733">
        <f>A20+1</f>
        <v>2015</v>
      </c>
      <c r="B21" s="773" t="str">
        <f>CONCATENATE("Totaal regels ",A7," t/m ",A20)</f>
        <v>Totaal regels 2001 t/m 2014</v>
      </c>
      <c r="C21" s="763">
        <f>SUM(C7:C17)-C18-C19+C20</f>
        <v>0</v>
      </c>
      <c r="D21" s="763">
        <f>SUM(D7:D17)-D18-D19+D20</f>
        <v>0</v>
      </c>
      <c r="E21" s="763">
        <f>SUM(E7:E17)-E18-E19+E20</f>
        <v>0</v>
      </c>
    </row>
    <row r="22" spans="1:4" s="457" customFormat="1" ht="12.75" customHeight="1">
      <c r="A22" s="619"/>
      <c r="B22" s="571"/>
      <c r="C22" s="459"/>
      <c r="D22" s="459"/>
    </row>
    <row r="23" spans="1:3" s="457" customFormat="1" ht="12.75" customHeight="1">
      <c r="A23" s="571"/>
      <c r="B23" s="632"/>
      <c r="C23" s="474"/>
    </row>
    <row r="24" spans="1:8" s="457" customFormat="1" ht="12.75" customHeight="1">
      <c r="A24" s="178"/>
      <c r="B24" s="179"/>
      <c r="C24" s="510"/>
      <c r="D24" s="471"/>
      <c r="E24" s="221" t="s">
        <v>424</v>
      </c>
      <c r="H24" s="455"/>
    </row>
    <row r="25" spans="1:9" s="457" customFormat="1" ht="12.75" customHeight="1">
      <c r="A25" s="619" t="s">
        <v>292</v>
      </c>
      <c r="B25" s="622" t="s">
        <v>158</v>
      </c>
      <c r="C25" s="474"/>
      <c r="E25" s="459"/>
      <c r="I25" s="459"/>
    </row>
    <row r="26" spans="1:9" s="457" customFormat="1" ht="12.75" customHeight="1">
      <c r="A26" s="733">
        <f>A21+1</f>
        <v>2016</v>
      </c>
      <c r="B26" s="849" t="str">
        <f>CONCATENATE("Rente lange leningen bijlage ",LEFT(H!A7)," (exclusief eventuele boeterente van conversies)")</f>
        <v>Rente lange leningen bijlage H (exclusief eventuele boeterente van conversies)</v>
      </c>
      <c r="C26" s="500"/>
      <c r="D26" s="469"/>
      <c r="E26" s="482">
        <f>H!T43</f>
        <v>0</v>
      </c>
      <c r="F26" s="471"/>
      <c r="G26" s="471"/>
      <c r="H26" s="471"/>
      <c r="I26" s="471"/>
    </row>
    <row r="27" spans="1:11" s="457" customFormat="1" ht="12.75" customHeight="1">
      <c r="A27" s="733">
        <f>A26+1</f>
        <v>2017</v>
      </c>
      <c r="B27" s="796" t="s">
        <v>395</v>
      </c>
      <c r="C27" s="500"/>
      <c r="D27" s="469"/>
      <c r="E27" s="433"/>
      <c r="I27" s="459"/>
      <c r="J27" s="471"/>
      <c r="K27" s="471"/>
    </row>
    <row r="28" spans="1:11" s="471" customFormat="1" ht="12.75" customHeight="1">
      <c r="A28" s="733">
        <f>A27+1</f>
        <v>2018</v>
      </c>
      <c r="B28" s="795" t="s">
        <v>159</v>
      </c>
      <c r="C28" s="500"/>
      <c r="D28" s="469"/>
      <c r="E28" s="433"/>
      <c r="F28" s="459"/>
      <c r="G28" s="459"/>
      <c r="H28" s="459"/>
      <c r="I28" s="459"/>
      <c r="J28" s="457"/>
      <c r="K28" s="457"/>
    </row>
    <row r="29" spans="1:11" s="457" customFormat="1" ht="12.75" customHeight="1">
      <c r="A29" s="733">
        <f>A28+1</f>
        <v>2019</v>
      </c>
      <c r="B29" s="797" t="s">
        <v>18</v>
      </c>
      <c r="C29" s="798"/>
      <c r="D29" s="799"/>
      <c r="E29" s="734"/>
      <c r="F29" s="459"/>
      <c r="G29" s="459"/>
      <c r="H29" s="459"/>
      <c r="I29" s="459"/>
      <c r="J29" s="459"/>
      <c r="K29" s="459"/>
    </row>
    <row r="30" spans="1:5" s="459" customFormat="1" ht="12.75" customHeight="1">
      <c r="A30" s="733">
        <f>A29+1</f>
        <v>2020</v>
      </c>
      <c r="B30" s="797" t="s">
        <v>381</v>
      </c>
      <c r="C30" s="798"/>
      <c r="D30" s="799"/>
      <c r="E30" s="734"/>
    </row>
    <row r="31" spans="1:5" s="459" customFormat="1" ht="12.75" customHeight="1">
      <c r="A31" s="733">
        <f>A30+1</f>
        <v>2021</v>
      </c>
      <c r="B31" s="773" t="str">
        <f>CONCATENATE("Totaal regels ",A26," t/m ",A30)</f>
        <v>Totaal regels 2016 t/m 2020</v>
      </c>
      <c r="C31" s="800"/>
      <c r="D31" s="801"/>
      <c r="E31" s="771">
        <f>SUM(E26:E30)</f>
        <v>0</v>
      </c>
    </row>
    <row r="32" spans="1:5" s="459" customFormat="1" ht="12.75" customHeight="1">
      <c r="A32"/>
      <c r="B32"/>
      <c r="C32"/>
      <c r="D32"/>
      <c r="E32"/>
    </row>
    <row r="33" spans="1:5" s="459" customFormat="1" ht="12.75" customHeight="1">
      <c r="A33" s="673"/>
      <c r="B33" s="673"/>
      <c r="C33" s="673"/>
      <c r="D33" s="673"/>
      <c r="E33" s="673"/>
    </row>
    <row r="34" spans="1:11" s="459" customFormat="1" ht="12.75">
      <c r="A34" s="673"/>
      <c r="B34" s="673"/>
      <c r="C34" s="673"/>
      <c r="D34" s="673"/>
      <c r="E34" s="673"/>
      <c r="F34"/>
      <c r="G34"/>
      <c r="H34"/>
      <c r="I34"/>
      <c r="J34"/>
      <c r="K34"/>
    </row>
    <row r="35" spans="1:5" ht="12.75" customHeight="1">
      <c r="A35" s="673"/>
      <c r="B35" s="673"/>
      <c r="C35" s="673"/>
      <c r="D35" s="673"/>
      <c r="E35" s="673"/>
    </row>
    <row r="36" spans="1:5" ht="12.75" customHeight="1">
      <c r="A36" s="673"/>
      <c r="B36" s="673"/>
      <c r="C36" s="673"/>
      <c r="D36" s="673"/>
      <c r="E36" s="673"/>
    </row>
    <row r="37" spans="1:5" ht="12.75" customHeight="1">
      <c r="A37" s="673"/>
      <c r="B37" s="673"/>
      <c r="C37" s="673"/>
      <c r="D37" s="673"/>
      <c r="E37" s="673"/>
    </row>
    <row r="38" spans="1:5" ht="12.75" customHeight="1">
      <c r="A38" s="673"/>
      <c r="B38" s="673"/>
      <c r="C38" s="673"/>
      <c r="D38" s="673"/>
      <c r="E38" s="673"/>
    </row>
    <row r="39" spans="1:5" ht="12.75" customHeight="1">
      <c r="A39" s="673"/>
      <c r="B39" s="673"/>
      <c r="C39" s="673"/>
      <c r="D39" s="673"/>
      <c r="E39" s="673"/>
    </row>
    <row r="40" spans="1:5" ht="12.75" customHeight="1">
      <c r="A40" s="674"/>
      <c r="B40" s="673"/>
      <c r="C40" s="675"/>
      <c r="D40" s="675"/>
      <c r="E40" s="673"/>
    </row>
    <row r="41" ht="12.75"/>
    <row r="42" ht="12.75"/>
  </sheetData>
  <sheetProtection password="CFAD" sheet="1" objects="1" scenarios="1"/>
  <conditionalFormatting sqref="E27:E30 C7:D17 C19:D20 D18">
    <cfRule type="expression" priority="1" dxfId="0" stopIfTrue="1">
      <formula>$C$2=TRUE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sheetPr codeName="Blad21"/>
  <dimension ref="A1:F87"/>
  <sheetViews>
    <sheetView showGridLines="0" zoomScale="75" zoomScaleNormal="75" workbookViewId="0" topLeftCell="A1">
      <selection activeCell="A1" sqref="A1"/>
    </sheetView>
  </sheetViews>
  <sheetFormatPr defaultColWidth="9.140625" defaultRowHeight="12.75"/>
  <cols>
    <col min="1" max="1" width="5.7109375" style="0" customWidth="1"/>
    <col min="2" max="2" width="109.57421875" style="0" customWidth="1"/>
    <col min="3" max="3" width="4.28125" style="0" customWidth="1"/>
    <col min="4" max="6" width="8.28125" style="0" customWidth="1"/>
    <col min="7" max="7" width="0.85546875" style="0" customWidth="1"/>
  </cols>
  <sheetData>
    <row r="1" spans="1:6" ht="15" customHeight="1">
      <c r="A1" s="850"/>
      <c r="B1" s="851"/>
      <c r="C1" s="851"/>
      <c r="D1" s="852"/>
      <c r="E1" s="852"/>
      <c r="F1" s="853"/>
    </row>
    <row r="2" spans="1:6" ht="12.75">
      <c r="A2" s="854" t="str">
        <f>Inhoud!A2</f>
        <v>Nacalculatieformulier 2004</v>
      </c>
      <c r="B2" s="855"/>
      <c r="C2" s="870" t="b">
        <f>Voorblad!D30</f>
        <v>1</v>
      </c>
      <c r="D2" s="857"/>
      <c r="E2" s="858"/>
      <c r="F2" s="859">
        <f>'I-J'!E2+1</f>
        <v>21</v>
      </c>
    </row>
    <row r="3" spans="1:6" ht="12.75">
      <c r="A3" s="850"/>
      <c r="B3" s="851"/>
      <c r="C3" s="851"/>
      <c r="D3" s="852"/>
      <c r="E3" s="852"/>
      <c r="F3" s="853"/>
    </row>
    <row r="4" spans="1:6" ht="12.75">
      <c r="A4" s="860" t="s">
        <v>311</v>
      </c>
      <c r="B4" s="861"/>
      <c r="C4" s="862"/>
      <c r="D4" s="862"/>
      <c r="E4" s="862"/>
      <c r="F4" s="862"/>
    </row>
    <row r="5" spans="1:6" ht="12.75">
      <c r="A5" t="s">
        <v>308</v>
      </c>
      <c r="B5" s="864"/>
      <c r="C5" s="862"/>
      <c r="D5" s="862"/>
      <c r="E5" s="862"/>
      <c r="F5" s="862"/>
    </row>
    <row r="6" spans="1:6" ht="12.75">
      <c r="A6" s="863" t="s">
        <v>309</v>
      </c>
      <c r="B6" s="864"/>
      <c r="C6" s="862"/>
      <c r="D6" s="862"/>
      <c r="E6" s="862"/>
      <c r="F6" s="1074"/>
    </row>
    <row r="7" spans="1:6" ht="12.75">
      <c r="A7" s="863" t="s">
        <v>310</v>
      </c>
      <c r="B7" s="864"/>
      <c r="C7" s="862"/>
      <c r="D7" s="862"/>
      <c r="E7" s="862"/>
      <c r="F7" s="862"/>
    </row>
    <row r="8" spans="1:6" ht="12" customHeight="1">
      <c r="A8" s="862"/>
      <c r="B8" s="862"/>
      <c r="C8" s="862"/>
      <c r="D8" s="862"/>
      <c r="E8" s="862"/>
      <c r="F8" s="862"/>
    </row>
    <row r="9" spans="1:6" ht="12" customHeight="1">
      <c r="A9" s="865"/>
      <c r="B9" s="865"/>
      <c r="C9" s="862"/>
      <c r="D9" s="862"/>
      <c r="E9" s="862"/>
      <c r="F9" s="862"/>
    </row>
    <row r="10" spans="1:6" ht="12" customHeight="1">
      <c r="A10" s="862"/>
      <c r="B10" s="862"/>
      <c r="C10" s="862"/>
      <c r="D10" s="1346" t="s">
        <v>306</v>
      </c>
      <c r="E10" s="1347"/>
      <c r="F10" s="1348"/>
    </row>
    <row r="11" spans="1:6" ht="12" customHeight="1">
      <c r="A11" s="862"/>
      <c r="B11" s="862"/>
      <c r="C11" s="862"/>
      <c r="D11" s="866">
        <v>1</v>
      </c>
      <c r="E11" s="866">
        <v>2</v>
      </c>
      <c r="F11" s="866">
        <v>3</v>
      </c>
    </row>
    <row r="12" spans="1:6" ht="12" customHeight="1">
      <c r="A12" s="860" t="s">
        <v>307</v>
      </c>
      <c r="B12" s="862"/>
      <c r="C12" s="862"/>
      <c r="D12" s="862"/>
      <c r="E12" s="862"/>
      <c r="F12" s="862"/>
    </row>
    <row r="13" spans="1:6" ht="12" customHeight="1">
      <c r="A13" s="1340">
        <v>1</v>
      </c>
      <c r="B13" s="1337" t="s">
        <v>120</v>
      </c>
      <c r="C13" s="1330"/>
      <c r="D13" s="1331"/>
      <c r="E13" s="1331"/>
      <c r="F13" s="1349"/>
    </row>
    <row r="14" spans="1:6" ht="12" customHeight="1">
      <c r="A14" s="1341"/>
      <c r="B14" s="1338"/>
      <c r="C14" s="1330"/>
      <c r="D14" s="1332"/>
      <c r="E14" s="1332"/>
      <c r="F14" s="1349"/>
    </row>
    <row r="15" spans="1:6" ht="12.75" customHeight="1">
      <c r="A15" s="1342"/>
      <c r="B15" s="1338"/>
      <c r="C15" s="1330"/>
      <c r="D15" s="1332"/>
      <c r="E15" s="1332"/>
      <c r="F15" s="1349"/>
    </row>
    <row r="16" ht="12" customHeight="1"/>
    <row r="17" ht="12" customHeight="1">
      <c r="A17" s="860" t="s">
        <v>348</v>
      </c>
    </row>
    <row r="18" spans="1:6" ht="12" customHeight="1">
      <c r="A18" s="1340">
        <f>+A13+1</f>
        <v>2</v>
      </c>
      <c r="B18" s="1350" t="s">
        <v>326</v>
      </c>
      <c r="C18" s="1038"/>
      <c r="D18" s="1331"/>
      <c r="E18" s="1331"/>
      <c r="F18" s="1339"/>
    </row>
    <row r="19" spans="1:6" ht="12" customHeight="1">
      <c r="A19" s="1341"/>
      <c r="B19" s="1351"/>
      <c r="C19" s="1038"/>
      <c r="D19" s="1332"/>
      <c r="E19" s="1332"/>
      <c r="F19" s="1339"/>
    </row>
    <row r="20" spans="1:6" ht="12" customHeight="1">
      <c r="A20" s="1342"/>
      <c r="B20" s="1352"/>
      <c r="C20" s="1038"/>
      <c r="D20" s="1333"/>
      <c r="E20" s="1333"/>
      <c r="F20" s="1339"/>
    </row>
    <row r="21" spans="1:6" ht="12" customHeight="1">
      <c r="A21" s="1340">
        <f>A18+1</f>
        <v>3</v>
      </c>
      <c r="B21" s="1337" t="str">
        <f>CONCATENATE("Wijkt de definitieve nacalculatie op de productie parameters aanzienlijk af van de voorlopige nacalculatie, zoals die is opgegeven bij de productieafspraken ",Voorblad!D3,"?")</f>
        <v>Wijkt de definitieve nacalculatie op de productie parameters aanzienlijk af van de voorlopige nacalculatie, zoals die is opgegeven bij de productieafspraken 2004?</v>
      </c>
      <c r="C21" s="1330"/>
      <c r="D21" s="1331"/>
      <c r="E21" s="1331"/>
      <c r="F21" s="1339"/>
    </row>
    <row r="22" spans="1:6" ht="12" customHeight="1">
      <c r="A22" s="1341"/>
      <c r="B22" s="1338"/>
      <c r="C22" s="1330"/>
      <c r="D22" s="1332"/>
      <c r="E22" s="1332"/>
      <c r="F22" s="1339"/>
    </row>
    <row r="23" spans="1:6" ht="12" customHeight="1">
      <c r="A23" s="1342"/>
      <c r="B23" s="1338"/>
      <c r="C23" s="1330"/>
      <c r="D23" s="1333"/>
      <c r="E23" s="1333"/>
      <c r="F23" s="1339"/>
    </row>
    <row r="24" spans="1:6" ht="12" customHeight="1">
      <c r="A24" s="1340">
        <f>A21+1</f>
        <v>4</v>
      </c>
      <c r="B24" s="1337" t="s">
        <v>119</v>
      </c>
      <c r="C24" s="1330"/>
      <c r="D24" s="1331"/>
      <c r="E24" s="1331"/>
      <c r="F24" s="1339"/>
    </row>
    <row r="25" spans="1:6" ht="12" customHeight="1">
      <c r="A25" s="1341"/>
      <c r="B25" s="1338"/>
      <c r="C25" s="1330"/>
      <c r="D25" s="1332"/>
      <c r="E25" s="1332"/>
      <c r="F25" s="1339"/>
    </row>
    <row r="26" spans="1:6" ht="12" customHeight="1">
      <c r="A26" s="1342"/>
      <c r="B26" s="1338"/>
      <c r="C26" s="1330"/>
      <c r="D26" s="1333"/>
      <c r="E26" s="1333"/>
      <c r="F26" s="1339"/>
    </row>
    <row r="27" spans="1:6" ht="12" customHeight="1">
      <c r="A27" s="1340">
        <f>A24+1</f>
        <v>5</v>
      </c>
      <c r="B27" s="1337" t="s">
        <v>24</v>
      </c>
      <c r="C27" s="1330"/>
      <c r="D27" s="1331"/>
      <c r="E27" s="1331"/>
      <c r="F27" s="1339"/>
    </row>
    <row r="28" spans="1:6" ht="12" customHeight="1">
      <c r="A28" s="1341"/>
      <c r="B28" s="1338"/>
      <c r="C28" s="1330"/>
      <c r="D28" s="1332"/>
      <c r="E28" s="1332"/>
      <c r="F28" s="1339"/>
    </row>
    <row r="29" spans="1:6" ht="12" customHeight="1">
      <c r="A29" s="1342"/>
      <c r="B29" s="1338"/>
      <c r="C29" s="1330"/>
      <c r="D29" s="1333"/>
      <c r="E29" s="1333"/>
      <c r="F29" s="1339"/>
    </row>
    <row r="30" ht="12" customHeight="1"/>
    <row r="31" ht="12" customHeight="1">
      <c r="A31" s="860" t="s">
        <v>349</v>
      </c>
    </row>
    <row r="32" spans="1:6" ht="12" customHeight="1">
      <c r="A32" s="1340">
        <f>+A27+1</f>
        <v>6</v>
      </c>
      <c r="B32" s="1337" t="s">
        <v>350</v>
      </c>
      <c r="C32" s="1330"/>
      <c r="D32" s="1331"/>
      <c r="E32" s="1331"/>
      <c r="F32" s="862"/>
    </row>
    <row r="33" spans="1:6" ht="12" customHeight="1">
      <c r="A33" s="1341"/>
      <c r="B33" s="1338"/>
      <c r="C33" s="1330"/>
      <c r="D33" s="1332"/>
      <c r="E33" s="1332"/>
      <c r="F33" s="862"/>
    </row>
    <row r="34" spans="1:6" ht="12" customHeight="1">
      <c r="A34" s="1342"/>
      <c r="B34" s="1338"/>
      <c r="C34" s="1330"/>
      <c r="D34" s="1333"/>
      <c r="E34" s="1333"/>
      <c r="F34" s="862"/>
    </row>
    <row r="35" spans="1:6" ht="12" customHeight="1">
      <c r="A35" s="1340">
        <v>7</v>
      </c>
      <c r="B35" s="1337" t="s">
        <v>327</v>
      </c>
      <c r="C35" s="1330"/>
      <c r="D35" s="1331"/>
      <c r="E35" s="1331"/>
      <c r="F35" s="862"/>
    </row>
    <row r="36" spans="1:6" ht="12" customHeight="1">
      <c r="A36" s="1341"/>
      <c r="B36" s="1338"/>
      <c r="C36" s="1330"/>
      <c r="D36" s="1332"/>
      <c r="E36" s="1332"/>
      <c r="F36" s="1102"/>
    </row>
    <row r="37" spans="1:6" ht="12" customHeight="1">
      <c r="A37" s="1342"/>
      <c r="B37" s="1338"/>
      <c r="C37" s="1330"/>
      <c r="D37" s="1333"/>
      <c r="E37" s="1333"/>
      <c r="F37" s="862"/>
    </row>
    <row r="38" spans="1:6" ht="12" customHeight="1">
      <c r="A38" s="1340">
        <f>A35+1</f>
        <v>8</v>
      </c>
      <c r="B38" s="1337" t="s">
        <v>480</v>
      </c>
      <c r="C38" s="1330"/>
      <c r="D38" s="1331"/>
      <c r="E38" s="1343"/>
      <c r="F38" s="1339"/>
    </row>
    <row r="39" spans="1:6" ht="12" customHeight="1">
      <c r="A39" s="1341"/>
      <c r="B39" s="1338"/>
      <c r="C39" s="1330"/>
      <c r="D39" s="1332"/>
      <c r="E39" s="1344"/>
      <c r="F39" s="1339"/>
    </row>
    <row r="40" spans="1:6" ht="12" customHeight="1">
      <c r="A40" s="1342"/>
      <c r="B40" s="1338"/>
      <c r="C40" s="1330"/>
      <c r="D40" s="1333"/>
      <c r="E40" s="1345"/>
      <c r="F40" s="1339"/>
    </row>
    <row r="41" spans="1:6" ht="12" customHeight="1">
      <c r="A41" s="862"/>
      <c r="B41" s="862"/>
      <c r="C41" s="862"/>
      <c r="D41" s="862"/>
      <c r="E41" s="862"/>
      <c r="F41" s="862"/>
    </row>
    <row r="42" spans="1:6" ht="12" customHeight="1">
      <c r="A42" s="850"/>
      <c r="B42" s="851"/>
      <c r="C42" s="851"/>
      <c r="D42" s="852"/>
      <c r="E42" s="852"/>
      <c r="F42" s="853"/>
    </row>
    <row r="43" spans="1:6" ht="12" customHeight="1">
      <c r="A43" s="854" t="str">
        <f>Inhoud!A2</f>
        <v>Nacalculatieformulier 2004</v>
      </c>
      <c r="B43" s="855"/>
      <c r="C43" s="856"/>
      <c r="D43" s="857"/>
      <c r="E43" s="858"/>
      <c r="F43" s="859">
        <f>F2+1</f>
        <v>22</v>
      </c>
    </row>
    <row r="44" spans="1:6" ht="12" customHeight="1">
      <c r="A44" s="850"/>
      <c r="B44" s="851"/>
      <c r="C44" s="851"/>
      <c r="D44" s="852"/>
      <c r="E44" s="852"/>
      <c r="F44" s="853"/>
    </row>
    <row r="45" spans="1:6" ht="12" customHeight="1">
      <c r="A45" s="860" t="s">
        <v>312</v>
      </c>
      <c r="B45" s="861"/>
      <c r="C45" s="862"/>
      <c r="D45" s="1346" t="s">
        <v>306</v>
      </c>
      <c r="E45" s="1347"/>
      <c r="F45" s="1348"/>
    </row>
    <row r="46" spans="1:6" ht="12" customHeight="1">
      <c r="A46" s="862"/>
      <c r="B46" s="862"/>
      <c r="C46" s="862"/>
      <c r="D46" s="866">
        <v>1</v>
      </c>
      <c r="E46" s="866">
        <v>2</v>
      </c>
      <c r="F46" s="866">
        <v>3</v>
      </c>
    </row>
    <row r="47" spans="1:6" ht="12" customHeight="1">
      <c r="A47" s="860" t="s">
        <v>351</v>
      </c>
      <c r="B47" s="862"/>
      <c r="C47" s="862"/>
      <c r="D47" s="862"/>
      <c r="E47" s="862"/>
      <c r="F47" s="862"/>
    </row>
    <row r="48" spans="1:6" ht="12" customHeight="1">
      <c r="A48" s="860"/>
      <c r="B48" s="862"/>
      <c r="C48" s="862"/>
      <c r="D48" s="862"/>
      <c r="E48" s="862"/>
      <c r="F48" s="862"/>
    </row>
    <row r="49" spans="1:6" ht="12" customHeight="1">
      <c r="A49" s="1340">
        <v>9</v>
      </c>
      <c r="B49" s="1337" t="str">
        <f>CONCATENATE("Zijn, voor de berekening van de nacalculeerbare afschrijvingskosten van de voor ",Voorblad!D3," geactiveerde activa, de door het CTG geaccepteerde afschrijvingspercentages, gecontinueerd? Indien voor ",Voorblad!D3," geen activa zijn geactiveerd, kies dan 'nvt'")</f>
        <v>Zijn, voor de berekening van de nacalculeerbare afschrijvingskosten van de voor 2004 geactiveerde activa, de door het CTG geaccepteerde afschrijvingspercentages, gecontinueerd? Indien voor 2004 geen activa zijn geactiveerd, kies dan 'nvt'</v>
      </c>
      <c r="C49" s="1330"/>
      <c r="D49" s="1331"/>
      <c r="E49" s="1343"/>
      <c r="F49" s="1339"/>
    </row>
    <row r="50" spans="1:6" ht="12" customHeight="1">
      <c r="A50" s="1341"/>
      <c r="B50" s="1338"/>
      <c r="C50" s="1330"/>
      <c r="D50" s="1332"/>
      <c r="E50" s="1344"/>
      <c r="F50" s="1339"/>
    </row>
    <row r="51" spans="1:6" ht="12" customHeight="1">
      <c r="A51" s="1342"/>
      <c r="B51" s="1338"/>
      <c r="C51" s="1330"/>
      <c r="D51" s="1333"/>
      <c r="E51" s="1345"/>
      <c r="F51" s="1339"/>
    </row>
    <row r="52" spans="1:6" ht="12" customHeight="1">
      <c r="A52" s="1340">
        <f>A49+1</f>
        <v>10</v>
      </c>
      <c r="B52" s="1338" t="str">
        <f>CONCATENATE("Passen de in ",Voorblad!D3," geactiveerde investeringen in immateriele en materiele vaste activa (investeringskosten) binnen de WZV-vergunningen die voor deze projecten zijn afgegeven? Als er geen investeringen zijn geactiveerd, kies dan 'nvt'")</f>
        <v>Passen de in 2004 geactiveerde investeringen in immateriele en materiele vaste activa (investeringskosten) binnen de WZV-vergunningen die voor deze projecten zijn afgegeven? Als er geen investeringen zijn geactiveerd, kies dan 'nvt'</v>
      </c>
      <c r="C52" s="1330"/>
      <c r="D52" s="1331"/>
      <c r="E52" s="1343"/>
      <c r="F52" s="1339"/>
    </row>
    <row r="53" spans="1:6" ht="12" customHeight="1">
      <c r="A53" s="1341"/>
      <c r="B53" s="1338"/>
      <c r="C53" s="1330"/>
      <c r="D53" s="1332"/>
      <c r="E53" s="1344"/>
      <c r="F53" s="1339"/>
    </row>
    <row r="54" spans="1:6" ht="12" customHeight="1">
      <c r="A54" s="1342"/>
      <c r="B54" s="1338"/>
      <c r="C54" s="1330"/>
      <c r="D54" s="1333"/>
      <c r="E54" s="1345"/>
      <c r="F54" s="1339"/>
    </row>
    <row r="55" spans="1:6" ht="12" customHeight="1">
      <c r="A55" s="1340">
        <f>A52+1</f>
        <v>11</v>
      </c>
      <c r="B55" s="1337" t="str">
        <f>CONCATENATE("Passen de in ",Voorblad!D3," geactiveerde instandhoudingsinvesteringen binnen de meldingsverklaringen die door het CBZ zijn afgegeven voor deze projecten? Als er geen investeringen zijn geactiveerd, kies dan 'nvt'")</f>
        <v>Passen de in 2004 geactiveerde instandhoudingsinvesteringen binnen de meldingsverklaringen die door het CBZ zijn afgegeven voor deze projecten? Als er geen investeringen zijn geactiveerd, kies dan 'nvt'</v>
      </c>
      <c r="C55" s="1330"/>
      <c r="D55" s="1331"/>
      <c r="E55" s="1343"/>
      <c r="F55" s="1339"/>
    </row>
    <row r="56" spans="1:6" ht="12" customHeight="1">
      <c r="A56" s="1341"/>
      <c r="B56" s="1338"/>
      <c r="C56" s="1330"/>
      <c r="D56" s="1332"/>
      <c r="E56" s="1344"/>
      <c r="F56" s="1339"/>
    </row>
    <row r="57" spans="1:6" ht="12" customHeight="1">
      <c r="A57" s="1342"/>
      <c r="B57" s="1338"/>
      <c r="C57" s="1330"/>
      <c r="D57" s="1333"/>
      <c r="E57" s="1345"/>
      <c r="F57" s="1339"/>
    </row>
    <row r="58" spans="1:6" ht="12" customHeight="1">
      <c r="A58" s="1340">
        <f>A55+1</f>
        <v>12</v>
      </c>
      <c r="B58" s="1337" t="s">
        <v>481</v>
      </c>
      <c r="C58" s="1330"/>
      <c r="D58" s="1331"/>
      <c r="E58" s="1343"/>
      <c r="F58" s="1339"/>
    </row>
    <row r="59" spans="1:6" ht="12" customHeight="1">
      <c r="A59" s="1341"/>
      <c r="B59" s="1338"/>
      <c r="C59" s="1330"/>
      <c r="D59" s="1332"/>
      <c r="E59" s="1344"/>
      <c r="F59" s="1339"/>
    </row>
    <row r="60" spans="1:6" ht="12" customHeight="1">
      <c r="A60" s="1342"/>
      <c r="B60" s="1338"/>
      <c r="C60" s="1330"/>
      <c r="D60" s="1333"/>
      <c r="E60" s="1345"/>
      <c r="F60" s="1339"/>
    </row>
    <row r="61" spans="1:6" ht="12" customHeight="1">
      <c r="A61" s="1340">
        <f>A58+1</f>
        <v>13</v>
      </c>
      <c r="B61" s="1337" t="s">
        <v>328</v>
      </c>
      <c r="C61" s="1330"/>
      <c r="D61" s="1331"/>
      <c r="E61" s="1343"/>
      <c r="F61" s="1339"/>
    </row>
    <row r="62" spans="1:6" ht="12" customHeight="1">
      <c r="A62" s="1341"/>
      <c r="B62" s="1338"/>
      <c r="C62" s="1330"/>
      <c r="D62" s="1332"/>
      <c r="E62" s="1344"/>
      <c r="F62" s="1339"/>
    </row>
    <row r="63" spans="1:6" ht="12" customHeight="1">
      <c r="A63" s="1342"/>
      <c r="B63" s="1338"/>
      <c r="C63" s="1330"/>
      <c r="D63" s="1333"/>
      <c r="E63" s="1345"/>
      <c r="F63" s="1339"/>
    </row>
    <row r="64" spans="1:6" ht="12" customHeight="1">
      <c r="A64" s="1340">
        <f>A61+1</f>
        <v>14</v>
      </c>
      <c r="B64" s="1338" t="s">
        <v>352</v>
      </c>
      <c r="C64" s="1330"/>
      <c r="D64" s="1331"/>
      <c r="E64" s="1331"/>
      <c r="F64" s="862"/>
    </row>
    <row r="65" spans="1:6" ht="12" customHeight="1">
      <c r="A65" s="1341"/>
      <c r="B65" s="1338"/>
      <c r="C65" s="1330"/>
      <c r="D65" s="1332"/>
      <c r="E65" s="1332"/>
      <c r="F65" s="862"/>
    </row>
    <row r="66" spans="1:6" ht="12" customHeight="1">
      <c r="A66" s="1342"/>
      <c r="B66" s="1338"/>
      <c r="C66" s="1330"/>
      <c r="D66" s="1332"/>
      <c r="E66" s="1332"/>
      <c r="F66" s="862"/>
    </row>
    <row r="67" spans="1:6" ht="12" customHeight="1">
      <c r="A67" s="1340">
        <f>A64+1</f>
        <v>15</v>
      </c>
      <c r="B67" s="1338" t="s">
        <v>353</v>
      </c>
      <c r="C67" s="1330"/>
      <c r="D67" s="1331"/>
      <c r="E67" s="1331"/>
      <c r="F67" s="862"/>
    </row>
    <row r="68" spans="1:6" ht="12" customHeight="1">
      <c r="A68" s="1341"/>
      <c r="B68" s="1338"/>
      <c r="C68" s="1330"/>
      <c r="D68" s="1332"/>
      <c r="E68" s="1332"/>
      <c r="F68" s="862"/>
    </row>
    <row r="69" spans="1:6" ht="12" customHeight="1">
      <c r="A69" s="1342"/>
      <c r="B69" s="1338"/>
      <c r="C69" s="1330"/>
      <c r="D69" s="1332"/>
      <c r="E69" s="1332"/>
      <c r="F69" s="862"/>
    </row>
    <row r="70" spans="1:6" ht="12" customHeight="1">
      <c r="A70" s="1334">
        <f>A67+1</f>
        <v>16</v>
      </c>
      <c r="B70" s="1337" t="s">
        <v>22</v>
      </c>
      <c r="C70" s="1330"/>
      <c r="D70" s="1331"/>
      <c r="E70" s="1331"/>
      <c r="F70" s="1339"/>
    </row>
    <row r="71" spans="1:6" ht="12" customHeight="1">
      <c r="A71" s="1335"/>
      <c r="B71" s="1338"/>
      <c r="C71" s="1330"/>
      <c r="D71" s="1332"/>
      <c r="E71" s="1332"/>
      <c r="F71" s="1339"/>
    </row>
    <row r="72" spans="1:6" ht="12" customHeight="1">
      <c r="A72" s="1336"/>
      <c r="B72" s="1338"/>
      <c r="C72" s="1330"/>
      <c r="D72" s="1333"/>
      <c r="E72" s="1333"/>
      <c r="F72" s="1339"/>
    </row>
    <row r="73" spans="1:6" ht="12" customHeight="1">
      <c r="A73" s="1334">
        <f>A70+1</f>
        <v>17</v>
      </c>
      <c r="B73" s="1337" t="s">
        <v>23</v>
      </c>
      <c r="C73" s="1330"/>
      <c r="D73" s="1331"/>
      <c r="E73" s="1331"/>
      <c r="F73" s="1339"/>
    </row>
    <row r="74" spans="1:6" ht="12" customHeight="1">
      <c r="A74" s="1335"/>
      <c r="B74" s="1338"/>
      <c r="C74" s="1330"/>
      <c r="D74" s="1332"/>
      <c r="E74" s="1332"/>
      <c r="F74" s="1339"/>
    </row>
    <row r="75" spans="1:6" ht="12" customHeight="1">
      <c r="A75" s="1336"/>
      <c r="B75" s="1338"/>
      <c r="C75" s="1330"/>
      <c r="D75" s="1333"/>
      <c r="E75" s="1333"/>
      <c r="F75" s="1339"/>
    </row>
    <row r="76" spans="1:6" ht="12" customHeight="1">
      <c r="A76" s="1334">
        <f>A73+1</f>
        <v>18</v>
      </c>
      <c r="B76" s="1337" t="s">
        <v>329</v>
      </c>
      <c r="C76" s="1330"/>
      <c r="D76" s="1331"/>
      <c r="E76" s="1331"/>
      <c r="F76" s="1339"/>
    </row>
    <row r="77" spans="1:6" ht="12" customHeight="1">
      <c r="A77" s="1335"/>
      <c r="B77" s="1338"/>
      <c r="C77" s="1330"/>
      <c r="D77" s="1332"/>
      <c r="E77" s="1332"/>
      <c r="F77" s="1339"/>
    </row>
    <row r="78" spans="1:6" ht="12" customHeight="1">
      <c r="A78" s="1336"/>
      <c r="B78" s="1338"/>
      <c r="C78" s="1330"/>
      <c r="D78" s="1333"/>
      <c r="E78" s="1333"/>
      <c r="F78" s="1339"/>
    </row>
    <row r="79" ht="12" customHeight="1"/>
    <row r="80" ht="12" customHeight="1">
      <c r="A80" s="860" t="s">
        <v>354</v>
      </c>
    </row>
    <row r="81" spans="1:6" ht="12" customHeight="1">
      <c r="A81" s="1334">
        <v>19</v>
      </c>
      <c r="B81" s="1338" t="s">
        <v>355</v>
      </c>
      <c r="C81" s="1330"/>
      <c r="D81" s="1331"/>
      <c r="E81" s="1331"/>
      <c r="F81" s="862"/>
    </row>
    <row r="82" spans="1:6" ht="12" customHeight="1">
      <c r="A82" s="1335"/>
      <c r="B82" s="1338"/>
      <c r="C82" s="1330"/>
      <c r="D82" s="1332"/>
      <c r="E82" s="1332"/>
      <c r="F82" s="862"/>
    </row>
    <row r="83" spans="1:6" ht="12" customHeight="1">
      <c r="A83" s="1336"/>
      <c r="B83" s="1338"/>
      <c r="C83" s="1330"/>
      <c r="D83" s="1333"/>
      <c r="E83" s="1333"/>
      <c r="F83" s="862"/>
    </row>
    <row r="84" spans="1:3" ht="12" customHeight="1">
      <c r="A84" s="862"/>
      <c r="B84" s="867"/>
      <c r="C84" s="862"/>
    </row>
    <row r="85" spans="1:3" ht="12" customHeight="1">
      <c r="A85" s="1353"/>
      <c r="B85" s="1354"/>
      <c r="C85" s="862"/>
    </row>
    <row r="86" spans="1:3" ht="12" customHeight="1">
      <c r="A86" s="1355"/>
      <c r="B86" s="1354"/>
      <c r="C86" s="862"/>
    </row>
    <row r="87" spans="1:6" ht="12" customHeight="1">
      <c r="A87" s="1100"/>
      <c r="B87" s="1100"/>
      <c r="C87" s="865"/>
      <c r="D87" s="865"/>
      <c r="E87" s="868"/>
      <c r="F87" s="865"/>
    </row>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sheetData>
  <sheetProtection password="CFAD" sheet="1" objects="1" scenarios="1"/>
  <mergeCells count="111">
    <mergeCell ref="A85:B86"/>
    <mergeCell ref="E76:E78"/>
    <mergeCell ref="F76:F78"/>
    <mergeCell ref="A81:A83"/>
    <mergeCell ref="B81:B83"/>
    <mergeCell ref="C81:C83"/>
    <mergeCell ref="D81:D83"/>
    <mergeCell ref="E81:E83"/>
    <mergeCell ref="A76:A78"/>
    <mergeCell ref="B76:B78"/>
    <mergeCell ref="C76:C78"/>
    <mergeCell ref="D76:D78"/>
    <mergeCell ref="F61:F63"/>
    <mergeCell ref="A67:A69"/>
    <mergeCell ref="B67:B69"/>
    <mergeCell ref="C67:C69"/>
    <mergeCell ref="D67:D69"/>
    <mergeCell ref="E67:E69"/>
    <mergeCell ref="D61:D63"/>
    <mergeCell ref="E61:E63"/>
    <mergeCell ref="E27:E29"/>
    <mergeCell ref="F27:F29"/>
    <mergeCell ref="A32:A34"/>
    <mergeCell ref="B32:B34"/>
    <mergeCell ref="C32:C34"/>
    <mergeCell ref="D32:D34"/>
    <mergeCell ref="E32:E34"/>
    <mergeCell ref="A27:A29"/>
    <mergeCell ref="B27:B29"/>
    <mergeCell ref="C27:C29"/>
    <mergeCell ref="C35:C37"/>
    <mergeCell ref="D35:D37"/>
    <mergeCell ref="D24:D26"/>
    <mergeCell ref="C21:C23"/>
    <mergeCell ref="A21:A23"/>
    <mergeCell ref="B18:B20"/>
    <mergeCell ref="A35:A37"/>
    <mergeCell ref="B35:B37"/>
    <mergeCell ref="D10:F10"/>
    <mergeCell ref="A13:A15"/>
    <mergeCell ref="B13:B15"/>
    <mergeCell ref="C13:C15"/>
    <mergeCell ref="D13:D15"/>
    <mergeCell ref="E13:E15"/>
    <mergeCell ref="F13:F15"/>
    <mergeCell ref="E18:E20"/>
    <mergeCell ref="E35:E37"/>
    <mergeCell ref="D45:F45"/>
    <mergeCell ref="F21:F23"/>
    <mergeCell ref="D21:D23"/>
    <mergeCell ref="F38:F40"/>
    <mergeCell ref="F24:F26"/>
    <mergeCell ref="D18:D20"/>
    <mergeCell ref="F18:F20"/>
    <mergeCell ref="D27:D29"/>
    <mergeCell ref="C38:C40"/>
    <mergeCell ref="D38:D40"/>
    <mergeCell ref="E38:E40"/>
    <mergeCell ref="A18:A20"/>
    <mergeCell ref="E24:E26"/>
    <mergeCell ref="A24:A26"/>
    <mergeCell ref="B24:B26"/>
    <mergeCell ref="C24:C26"/>
    <mergeCell ref="B21:B23"/>
    <mergeCell ref="E21:E23"/>
    <mergeCell ref="A38:A40"/>
    <mergeCell ref="B38:B40"/>
    <mergeCell ref="A49:A51"/>
    <mergeCell ref="B49:B51"/>
    <mergeCell ref="C49:C51"/>
    <mergeCell ref="D49:D51"/>
    <mergeCell ref="E49:E51"/>
    <mergeCell ref="F49:F51"/>
    <mergeCell ref="E52:E54"/>
    <mergeCell ref="F52:F54"/>
    <mergeCell ref="A52:A54"/>
    <mergeCell ref="B52:B54"/>
    <mergeCell ref="C52:C54"/>
    <mergeCell ref="D52:D54"/>
    <mergeCell ref="A55:A57"/>
    <mergeCell ref="B55:B57"/>
    <mergeCell ref="C55:C57"/>
    <mergeCell ref="D55:D57"/>
    <mergeCell ref="A58:A60"/>
    <mergeCell ref="B58:B60"/>
    <mergeCell ref="C58:C60"/>
    <mergeCell ref="D58:D60"/>
    <mergeCell ref="E55:E57"/>
    <mergeCell ref="F55:F57"/>
    <mergeCell ref="E58:E60"/>
    <mergeCell ref="F58:F60"/>
    <mergeCell ref="C64:C66"/>
    <mergeCell ref="D64:D66"/>
    <mergeCell ref="E64:E66"/>
    <mergeCell ref="A61:A63"/>
    <mergeCell ref="B61:B63"/>
    <mergeCell ref="C61:C63"/>
    <mergeCell ref="A64:A66"/>
    <mergeCell ref="B64:B66"/>
    <mergeCell ref="E70:E72"/>
    <mergeCell ref="F70:F72"/>
    <mergeCell ref="E73:E75"/>
    <mergeCell ref="F73:F75"/>
    <mergeCell ref="C73:C75"/>
    <mergeCell ref="D73:D75"/>
    <mergeCell ref="C70:C72"/>
    <mergeCell ref="A70:A72"/>
    <mergeCell ref="B70:B72"/>
    <mergeCell ref="A73:A75"/>
    <mergeCell ref="B73:B75"/>
    <mergeCell ref="D70:D72"/>
  </mergeCells>
  <conditionalFormatting sqref="D70:F78 D81:E83 D64:E69 D49:F63 D18:F29 D13:E15 D32:E37 D38:F40">
    <cfRule type="expression" priority="1" dxfId="0" stopIfTrue="1">
      <formula>$C$2=TRUE</formula>
    </cfRule>
  </conditionalFormatting>
  <printOptions/>
  <pageMargins left="0.3937007874015748" right="0.3937007874015748" top="0.3937007874015748" bottom="0.3937007874015748" header="0.5118110236220472" footer="0.5118110236220472"/>
  <pageSetup horizontalDpi="300" verticalDpi="300" orientation="landscape" paperSize="9" scale="95" r:id="rId3"/>
  <rowBreaks count="1" manualBreakCount="1">
    <brk id="41" max="6" man="1"/>
  </rowBreaks>
  <drawing r:id="rId2"/>
  <legacyDrawing r:id="rId1"/>
</worksheet>
</file>

<file path=xl/worksheets/sheet2.xml><?xml version="1.0" encoding="utf-8"?>
<worksheet xmlns="http://schemas.openxmlformats.org/spreadsheetml/2006/main" xmlns:r="http://schemas.openxmlformats.org/officeDocument/2006/relationships">
  <sheetPr codeName="Blad2">
    <pageSetUpPr fitToPage="1"/>
  </sheetPr>
  <dimension ref="A1:Q50"/>
  <sheetViews>
    <sheetView showGridLines="0" view="pageBreakPreview" zoomScaleNormal="86" zoomScaleSheetLayoutView="100" workbookViewId="0" topLeftCell="A1">
      <pane ySplit="3" topLeftCell="BM28" activePane="bottomLeft" state="frozen"/>
      <selection pane="topLeft" activeCell="A44" sqref="A44"/>
      <selection pane="bottomLeft" activeCell="B53" sqref="B53"/>
    </sheetView>
  </sheetViews>
  <sheetFormatPr defaultColWidth="9.140625" defaultRowHeight="12.75"/>
  <cols>
    <col min="1" max="1" width="6.7109375" style="439" customWidth="1"/>
    <col min="2" max="2" width="6.7109375" style="435" customWidth="1"/>
    <col min="3" max="3" width="8.140625" style="439" customWidth="1"/>
    <col min="4" max="4" width="27.28125" style="439" customWidth="1"/>
    <col min="5" max="6" width="6.7109375" style="439" customWidth="1"/>
    <col min="7" max="7" width="2.7109375" style="439" customWidth="1"/>
    <col min="8" max="8" width="6.7109375" style="439" customWidth="1"/>
    <col min="9" max="10" width="6.7109375" style="435" customWidth="1"/>
    <col min="11" max="11" width="14.28125" style="435" customWidth="1"/>
    <col min="12" max="12" width="13.7109375" style="435" customWidth="1"/>
    <col min="13" max="14" width="6.7109375" style="439" customWidth="1"/>
    <col min="15" max="16384" width="9.140625" style="439" customWidth="1"/>
  </cols>
  <sheetData>
    <row r="1" spans="1:14" s="513" customFormat="1" ht="15" customHeight="1">
      <c r="A1" s="683" t="s">
        <v>280</v>
      </c>
      <c r="B1" s="684"/>
      <c r="C1" s="684"/>
      <c r="D1" s="684"/>
      <c r="E1" s="685"/>
      <c r="F1" s="685"/>
      <c r="G1" s="686"/>
      <c r="H1" s="686"/>
      <c r="I1" s="687"/>
      <c r="J1" s="687"/>
      <c r="K1" s="687"/>
      <c r="L1" s="687"/>
      <c r="M1" s="686"/>
      <c r="N1" s="686"/>
    </row>
    <row r="2" spans="1:14" s="514" customFormat="1" ht="12.75" customHeight="1">
      <c r="A2" s="688"/>
      <c r="B2" s="688"/>
      <c r="C2" s="688"/>
      <c r="D2" s="688"/>
      <c r="E2" s="688"/>
      <c r="F2" s="688"/>
      <c r="G2" s="688"/>
      <c r="H2" s="688"/>
      <c r="I2" s="689"/>
      <c r="J2" s="689"/>
      <c r="K2" s="689"/>
      <c r="L2" s="689"/>
      <c r="M2" s="688"/>
      <c r="N2" s="688"/>
    </row>
    <row r="3" spans="1:14" ht="25.5">
      <c r="A3" s="690" t="s">
        <v>41</v>
      </c>
      <c r="B3" s="690"/>
      <c r="C3" s="690"/>
      <c r="D3" s="691">
        <v>2004</v>
      </c>
      <c r="E3" s="692" t="str">
        <f>CONCATENATE("INZENDEN VOOR 31 DECEMBER ",D3+1)</f>
        <v>INZENDEN VOOR 31 DECEMBER 2005</v>
      </c>
      <c r="F3" s="693"/>
      <c r="G3" s="694"/>
      <c r="H3" s="694"/>
      <c r="I3" s="695"/>
      <c r="J3" s="695"/>
      <c r="K3" s="695"/>
      <c r="L3" s="696">
        <f>IF(OR(D3=1996,D3=2000,D3=2004),366,365)</f>
        <v>366</v>
      </c>
      <c r="M3" s="695"/>
      <c r="N3" s="697"/>
    </row>
    <row r="4" spans="1:14" ht="12.75">
      <c r="A4" s="635"/>
      <c r="B4" s="2"/>
      <c r="C4" s="635"/>
      <c r="D4" s="635"/>
      <c r="E4" s="635"/>
      <c r="F4" s="635"/>
      <c r="G4" s="698"/>
      <c r="H4" s="635"/>
      <c r="I4" s="2"/>
      <c r="J4" s="2"/>
      <c r="K4" s="2"/>
      <c r="L4" s="2"/>
      <c r="M4" s="635"/>
      <c r="N4" s="635"/>
    </row>
    <row r="5" spans="1:14" ht="12.75">
      <c r="A5" s="635"/>
      <c r="B5" s="2"/>
      <c r="C5" s="635"/>
      <c r="D5" s="635"/>
      <c r="E5" s="635"/>
      <c r="F5" s="635"/>
      <c r="G5" s="698"/>
      <c r="H5" s="635"/>
      <c r="I5" s="2"/>
      <c r="J5" s="2"/>
      <c r="K5" s="2"/>
      <c r="L5" s="2"/>
      <c r="M5" s="635"/>
      <c r="N5" s="635"/>
    </row>
    <row r="6" spans="1:14" s="435" customFormat="1" ht="12.75" customHeight="1">
      <c r="A6" s="2"/>
      <c r="B6" s="2"/>
      <c r="C6" s="2"/>
      <c r="D6" s="2"/>
      <c r="E6" s="2"/>
      <c r="F6" s="833"/>
      <c r="G6" s="5"/>
      <c r="H6" s="2"/>
      <c r="I6" s="2"/>
      <c r="J6" s="2"/>
      <c r="K6" s="2"/>
      <c r="L6" s="1186" t="s">
        <v>51</v>
      </c>
      <c r="M6" s="1184"/>
      <c r="N6" s="1185"/>
    </row>
    <row r="7" spans="1:14" s="435" customFormat="1" ht="12.75">
      <c r="A7" s="2"/>
      <c r="B7" s="2"/>
      <c r="C7" s="2"/>
      <c r="D7" s="2"/>
      <c r="E7" s="2"/>
      <c r="F7" s="2"/>
      <c r="G7" s="5"/>
      <c r="H7" s="2"/>
      <c r="I7" s="2"/>
      <c r="J7" s="2"/>
      <c r="K7" s="699" t="s">
        <v>52</v>
      </c>
      <c r="L7" s="1192" t="str">
        <f>CONCATENATE(RIGHT(D3,4),"-5/1")</f>
        <v>2004-5/1</v>
      </c>
      <c r="M7" s="1193"/>
      <c r="N7" s="1194"/>
    </row>
    <row r="8" spans="1:14" s="435" customFormat="1" ht="12.75">
      <c r="A8" s="2"/>
      <c r="B8" s="2"/>
      <c r="C8" s="2"/>
      <c r="D8" s="2"/>
      <c r="E8" s="2"/>
      <c r="F8" s="2"/>
      <c r="G8" s="5"/>
      <c r="H8" s="2"/>
      <c r="I8" s="2"/>
      <c r="J8" s="2"/>
      <c r="K8" s="700" t="s">
        <v>382</v>
      </c>
      <c r="L8" s="1195"/>
      <c r="M8" s="1196"/>
      <c r="N8" s="1197"/>
    </row>
    <row r="9" spans="1:14" s="435" customFormat="1" ht="12.75">
      <c r="A9" s="2"/>
      <c r="B9" s="2"/>
      <c r="C9" s="2"/>
      <c r="D9" s="2"/>
      <c r="E9" s="2"/>
      <c r="F9" s="2"/>
      <c r="G9" s="5"/>
      <c r="H9" s="2"/>
      <c r="I9" s="2"/>
      <c r="J9" s="2"/>
      <c r="K9" s="701" t="s">
        <v>50</v>
      </c>
      <c r="L9" s="1187"/>
      <c r="M9" s="1188"/>
      <c r="N9" s="1189"/>
    </row>
    <row r="10" spans="1:14" s="464" customFormat="1" ht="12.75">
      <c r="A10" s="45"/>
      <c r="B10" s="90"/>
      <c r="C10" s="90"/>
      <c r="D10" s="90"/>
      <c r="E10" s="702"/>
      <c r="F10" s="90"/>
      <c r="G10" s="698"/>
      <c r="H10" s="698"/>
      <c r="I10" s="5"/>
      <c r="J10" s="5"/>
      <c r="K10" s="847" t="s">
        <v>285</v>
      </c>
      <c r="L10" s="1183"/>
      <c r="M10" s="1184"/>
      <c r="N10" s="1185"/>
    </row>
    <row r="11" spans="1:14" s="464" customFormat="1" ht="12.75">
      <c r="A11" s="45"/>
      <c r="B11" s="90"/>
      <c r="C11" s="90"/>
      <c r="D11" s="90"/>
      <c r="E11" s="702"/>
      <c r="F11" s="90"/>
      <c r="G11" s="698"/>
      <c r="H11" s="698"/>
      <c r="I11" s="5"/>
      <c r="J11" s="5"/>
      <c r="K11" s="90"/>
      <c r="L11" s="888"/>
      <c r="M11" s="889"/>
      <c r="N11" s="889"/>
    </row>
    <row r="12" spans="1:14" s="464" customFormat="1" ht="15.75">
      <c r="A12" s="890" t="s">
        <v>457</v>
      </c>
      <c r="B12" s="90"/>
      <c r="C12" s="90"/>
      <c r="D12" s="90"/>
      <c r="E12" s="702"/>
      <c r="F12" s="90"/>
      <c r="G12" s="698"/>
      <c r="H12" s="698"/>
      <c r="I12" s="5"/>
      <c r="J12" s="5"/>
      <c r="K12" s="90"/>
      <c r="L12" s="888"/>
      <c r="M12" s="889"/>
      <c r="N12" s="889"/>
    </row>
    <row r="13" spans="1:14" s="464" customFormat="1" ht="15.75">
      <c r="A13" s="891"/>
      <c r="B13" s="2"/>
      <c r="C13" s="635"/>
      <c r="D13" s="635"/>
      <c r="E13" s="635"/>
      <c r="F13" s="635"/>
      <c r="G13" s="698"/>
      <c r="H13" s="698"/>
      <c r="I13" s="5"/>
      <c r="J13" s="5"/>
      <c r="K13" s="5"/>
      <c r="L13" s="90"/>
      <c r="M13" s="703"/>
      <c r="N13" s="703"/>
    </row>
    <row r="14" spans="1:14" s="455" customFormat="1" ht="12.75" customHeight="1">
      <c r="A14" s="1190"/>
      <c r="B14" s="1191"/>
      <c r="C14" s="1191"/>
      <c r="D14" s="1191"/>
      <c r="E14" s="1191"/>
      <c r="F14" s="1191"/>
      <c r="G14" s="1191"/>
      <c r="H14" s="1191"/>
      <c r="I14" s="1191"/>
      <c r="J14" s="1191"/>
      <c r="K14" s="1191"/>
      <c r="L14" s="1191"/>
      <c r="M14" s="1191"/>
      <c r="N14" s="1191"/>
    </row>
    <row r="15" spans="1:14" s="455" customFormat="1" ht="12.75" customHeight="1">
      <c r="A15" s="1191"/>
      <c r="B15" s="1191"/>
      <c r="C15" s="1191"/>
      <c r="D15" s="1191"/>
      <c r="E15" s="1191"/>
      <c r="F15" s="1191"/>
      <c r="G15" s="1191"/>
      <c r="H15" s="1191"/>
      <c r="I15" s="1191"/>
      <c r="J15" s="1191"/>
      <c r="K15" s="1191"/>
      <c r="L15" s="1191"/>
      <c r="M15" s="1191"/>
      <c r="N15" s="1191"/>
    </row>
    <row r="16" spans="1:14" s="455" customFormat="1" ht="12.75" customHeight="1">
      <c r="A16" s="1191"/>
      <c r="B16" s="1191"/>
      <c r="C16" s="1191"/>
      <c r="D16" s="1191"/>
      <c r="E16" s="1191"/>
      <c r="F16" s="1191"/>
      <c r="G16" s="1191"/>
      <c r="H16" s="1191"/>
      <c r="I16" s="1191"/>
      <c r="J16" s="1191"/>
      <c r="K16" s="1191"/>
      <c r="L16" s="1191"/>
      <c r="M16" s="1191"/>
      <c r="N16" s="1191"/>
    </row>
    <row r="17" spans="1:14" s="455" customFormat="1" ht="12.75" customHeight="1" thickBot="1">
      <c r="A17" s="515"/>
      <c r="B17" s="515"/>
      <c r="C17" s="515"/>
      <c r="D17" s="515"/>
      <c r="E17" s="515"/>
      <c r="F17" s="515"/>
      <c r="G17" s="515"/>
      <c r="H17" s="515"/>
      <c r="I17" s="515"/>
      <c r="J17" s="515"/>
      <c r="K17" s="515"/>
      <c r="L17" s="515"/>
      <c r="M17" s="515"/>
      <c r="N17" s="515"/>
    </row>
    <row r="18" spans="2:13" ht="12.75">
      <c r="B18" s="516"/>
      <c r="C18" s="517" t="s">
        <v>387</v>
      </c>
      <c r="D18" s="518"/>
      <c r="E18" s="518"/>
      <c r="F18" s="518"/>
      <c r="G18" s="518"/>
      <c r="H18" s="518"/>
      <c r="I18" s="519"/>
      <c r="J18" s="519"/>
      <c r="K18" s="519"/>
      <c r="L18" s="519"/>
      <c r="M18" s="520"/>
    </row>
    <row r="19" spans="2:13" ht="12.75">
      <c r="B19" s="521"/>
      <c r="C19"/>
      <c r="D19" s="464"/>
      <c r="E19" s="464"/>
      <c r="F19" s="464"/>
      <c r="G19" s="464"/>
      <c r="H19" s="464"/>
      <c r="I19" s="438"/>
      <c r="J19" s="438"/>
      <c r="K19" s="438"/>
      <c r="L19" s="438"/>
      <c r="M19" s="522"/>
    </row>
    <row r="20" spans="2:13" ht="12.75">
      <c r="B20" s="521"/>
      <c r="C20" s="464"/>
      <c r="D20" s="1181" t="s">
        <v>466</v>
      </c>
      <c r="E20" s="1182"/>
      <c r="F20" s="1182"/>
      <c r="G20" s="1182"/>
      <c r="H20" s="1182"/>
      <c r="I20" s="1182"/>
      <c r="J20" s="1182"/>
      <c r="K20" s="1182"/>
      <c r="L20" s="1182"/>
      <c r="M20" s="522"/>
    </row>
    <row r="21" spans="2:13" ht="12.75" customHeight="1">
      <c r="B21" s="521"/>
      <c r="C21"/>
      <c r="D21" s="1182"/>
      <c r="E21" s="1182"/>
      <c r="F21" s="1182"/>
      <c r="G21" s="1182"/>
      <c r="H21" s="1182"/>
      <c r="I21" s="1182"/>
      <c r="J21" s="1182"/>
      <c r="K21" s="1182"/>
      <c r="L21" s="1182"/>
      <c r="M21" s="522"/>
    </row>
    <row r="22" spans="2:13" ht="12.75">
      <c r="B22" s="521"/>
      <c r="C22" s="464"/>
      <c r="D22" s="1172" t="s">
        <v>86</v>
      </c>
      <c r="E22" s="1172"/>
      <c r="F22" s="1172"/>
      <c r="G22" s="1172"/>
      <c r="H22" s="1172"/>
      <c r="I22" s="1172"/>
      <c r="J22" s="1172"/>
      <c r="K22" s="1172"/>
      <c r="L22" s="1172"/>
      <c r="M22" s="522"/>
    </row>
    <row r="23" spans="2:13" ht="12.75">
      <c r="B23" s="521"/>
      <c r="C23" s="464"/>
      <c r="D23" s="1172"/>
      <c r="E23" s="1172"/>
      <c r="F23" s="1172"/>
      <c r="G23" s="1172"/>
      <c r="H23" s="1172"/>
      <c r="I23" s="1172"/>
      <c r="J23" s="1172"/>
      <c r="K23" s="1172"/>
      <c r="L23" s="1172"/>
      <c r="M23" s="522"/>
    </row>
    <row r="24" spans="2:13" ht="12.75">
      <c r="B24" s="521"/>
      <c r="C24" s="464"/>
      <c r="D24" s="1172"/>
      <c r="E24" s="1172"/>
      <c r="F24" s="1172"/>
      <c r="G24" s="1172"/>
      <c r="H24" s="1172"/>
      <c r="I24" s="1172"/>
      <c r="J24" s="1172"/>
      <c r="K24" s="1172"/>
      <c r="L24" s="1172"/>
      <c r="M24" s="522"/>
    </row>
    <row r="25" spans="2:13" ht="12.75">
      <c r="B25" s="521"/>
      <c r="C25" s="464"/>
      <c r="D25" s="1171" t="s">
        <v>305</v>
      </c>
      <c r="E25" s="1171"/>
      <c r="F25" s="1171"/>
      <c r="G25" s="1171"/>
      <c r="H25" s="1171"/>
      <c r="I25" s="1171"/>
      <c r="J25" s="1171"/>
      <c r="K25" s="1171"/>
      <c r="L25" s="1171"/>
      <c r="M25" s="522"/>
    </row>
    <row r="26" spans="2:13" ht="12.75">
      <c r="B26" s="521"/>
      <c r="C26" s="464"/>
      <c r="D26" s="1171"/>
      <c r="E26" s="1171"/>
      <c r="F26" s="1171"/>
      <c r="G26" s="1171"/>
      <c r="H26" s="1171"/>
      <c r="I26" s="1171"/>
      <c r="J26" s="1171"/>
      <c r="K26" s="1171"/>
      <c r="L26" s="1171"/>
      <c r="M26" s="522"/>
    </row>
    <row r="27" spans="2:13" ht="12.75">
      <c r="B27" s="521"/>
      <c r="C27" s="464"/>
      <c r="D27" s="1171"/>
      <c r="E27" s="1171"/>
      <c r="F27" s="1171"/>
      <c r="G27" s="1171"/>
      <c r="H27" s="1171"/>
      <c r="I27" s="1171"/>
      <c r="J27" s="1171"/>
      <c r="K27" s="1171"/>
      <c r="L27" s="1171"/>
      <c r="M27" s="522"/>
    </row>
    <row r="28" spans="2:13" ht="12.75">
      <c r="B28" s="521"/>
      <c r="C28" s="464"/>
      <c r="D28" s="438"/>
      <c r="E28" s="438"/>
      <c r="F28" s="438"/>
      <c r="G28" s="438"/>
      <c r="H28" s="438"/>
      <c r="I28" s="438"/>
      <c r="J28" s="438"/>
      <c r="K28" s="438"/>
      <c r="L28" s="438"/>
      <c r="M28" s="522"/>
    </row>
    <row r="29" spans="2:13" ht="12.75">
      <c r="B29" s="521"/>
      <c r="C29" s="464"/>
      <c r="D29" s="523" t="str">
        <f>IF(D30=TRUE,"      Invulvelden gearceerd","      Invulvelden niet gearceerd")</f>
        <v>      Invulvelden gearceerd</v>
      </c>
      <c r="E29" s="524"/>
      <c r="F29" s="525"/>
      <c r="G29" s="464"/>
      <c r="H29" s="464"/>
      <c r="I29"/>
      <c r="J29"/>
      <c r="K29"/>
      <c r="L29"/>
      <c r="M29" s="526"/>
    </row>
    <row r="30" spans="2:13" s="465" customFormat="1" ht="13.5" thickBot="1">
      <c r="B30" s="527"/>
      <c r="C30" s="528"/>
      <c r="D30" s="732" t="b">
        <v>1</v>
      </c>
      <c r="E30" s="529"/>
      <c r="F30" s="529"/>
      <c r="G30" s="528"/>
      <c r="H30" s="528"/>
      <c r="I30" s="732"/>
      <c r="J30" s="529"/>
      <c r="K30" s="529"/>
      <c r="L30" s="530"/>
      <c r="M30" s="531"/>
    </row>
    <row r="31" spans="1:17" s="455" customFormat="1" ht="12.75" customHeight="1">
      <c r="A31" s="488"/>
      <c r="B31" s="459"/>
      <c r="C31" s="457"/>
      <c r="D31" s="457"/>
      <c r="E31" s="457"/>
      <c r="F31" s="457"/>
      <c r="I31" s="468"/>
      <c r="J31" s="468"/>
      <c r="K31" s="892"/>
      <c r="L31" s="468"/>
      <c r="M31" s="532"/>
      <c r="N31" s="532"/>
      <c r="Q31" s="476"/>
    </row>
    <row r="32" spans="1:14" s="535" customFormat="1" ht="16.5" customHeight="1">
      <c r="A32" s="704" t="s">
        <v>364</v>
      </c>
      <c r="B32" s="597"/>
      <c r="C32" s="597"/>
      <c r="D32" s="597"/>
      <c r="E32" s="705" t="s">
        <v>97</v>
      </c>
      <c r="F32" s="706" t="s">
        <v>96</v>
      </c>
      <c r="H32" s="455"/>
      <c r="I32" s="468"/>
      <c r="J32" s="468"/>
      <c r="K32" s="893"/>
      <c r="L32" s="893"/>
      <c r="M32" s="532"/>
      <c r="N32" s="532"/>
    </row>
    <row r="33" spans="1:14" s="535" customFormat="1" ht="16.5" customHeight="1">
      <c r="A33" s="538"/>
      <c r="B33" s="503"/>
      <c r="C33" s="503"/>
      <c r="D33" s="503"/>
      <c r="E33" s="560"/>
      <c r="F33" s="1073"/>
      <c r="K33" s="449"/>
      <c r="L33" s="894"/>
      <c r="M33" s="536"/>
      <c r="N33" s="536"/>
    </row>
    <row r="34" spans="1:3" s="503" customFormat="1" ht="16.5" customHeight="1">
      <c r="A34" s="537"/>
      <c r="B34" s="537"/>
      <c r="C34" s="537"/>
    </row>
    <row r="35" spans="1:14" s="502" customFormat="1" ht="16.5" customHeight="1">
      <c r="A35" s="707" t="s">
        <v>365</v>
      </c>
      <c r="B35" s="708"/>
      <c r="C35" s="709"/>
      <c r="D35" s="1154"/>
      <c r="E35" s="1155"/>
      <c r="F35" s="1142"/>
      <c r="H35" s="1173" t="s">
        <v>173</v>
      </c>
      <c r="I35" s="1174"/>
      <c r="J35" s="1174"/>
      <c r="K35" s="1175"/>
      <c r="L35" s="1175"/>
      <c r="M35" s="1175"/>
      <c r="N35" s="1176"/>
    </row>
    <row r="36" spans="1:14" s="502" customFormat="1" ht="16.5" customHeight="1">
      <c r="A36" s="710" t="s">
        <v>366</v>
      </c>
      <c r="B36" s="711"/>
      <c r="C36" s="711"/>
      <c r="D36" s="1151"/>
      <c r="E36" s="1152"/>
      <c r="F36" s="1153"/>
      <c r="H36" s="1146" t="s">
        <v>42</v>
      </c>
      <c r="I36" s="1139"/>
      <c r="J36" s="1140"/>
      <c r="K36" s="1135"/>
      <c r="L36" s="1136"/>
      <c r="M36" s="1136"/>
      <c r="N36" s="1137"/>
    </row>
    <row r="37" spans="1:14" s="502" customFormat="1" ht="16.5" customHeight="1">
      <c r="A37" s="707" t="s">
        <v>42</v>
      </c>
      <c r="B37" s="709"/>
      <c r="C37" s="709"/>
      <c r="D37" s="1154"/>
      <c r="E37" s="1155"/>
      <c r="F37" s="1142"/>
      <c r="H37" s="1179" t="s">
        <v>382</v>
      </c>
      <c r="I37" s="1180"/>
      <c r="J37" s="1180"/>
      <c r="K37" s="1177"/>
      <c r="L37" s="1177"/>
      <c r="M37" s="1177"/>
      <c r="N37" s="1178"/>
    </row>
    <row r="38" spans="1:14" s="502" customFormat="1" ht="16.5" customHeight="1">
      <c r="A38" s="712" t="s">
        <v>43</v>
      </c>
      <c r="B38" s="713"/>
      <c r="C38" s="713"/>
      <c r="D38" s="1148"/>
      <c r="E38" s="1149"/>
      <c r="F38" s="1150"/>
      <c r="H38" s="1162" t="s">
        <v>356</v>
      </c>
      <c r="I38" s="1163"/>
      <c r="J38" s="1163"/>
      <c r="K38" s="1157"/>
      <c r="L38" s="1157"/>
      <c r="M38" s="1157"/>
      <c r="N38" s="1158"/>
    </row>
    <row r="39" spans="1:14" s="502" customFormat="1" ht="16.5" customHeight="1">
      <c r="A39" s="712" t="s">
        <v>44</v>
      </c>
      <c r="B39" s="713"/>
      <c r="C39" s="713"/>
      <c r="D39" s="1148"/>
      <c r="E39" s="1149"/>
      <c r="F39" s="1150"/>
      <c r="H39" s="1164" t="s">
        <v>174</v>
      </c>
      <c r="I39" s="1165"/>
      <c r="J39" s="1166"/>
      <c r="K39" s="1159"/>
      <c r="L39" s="1160"/>
      <c r="M39" s="1160"/>
      <c r="N39" s="1161"/>
    </row>
    <row r="40" spans="1:14" s="502" customFormat="1" ht="16.5" customHeight="1">
      <c r="A40" s="710" t="s">
        <v>45</v>
      </c>
      <c r="B40" s="711"/>
      <c r="C40" s="711"/>
      <c r="D40" s="1151"/>
      <c r="E40" s="1152"/>
      <c r="F40" s="1153"/>
      <c r="H40" s="1146" t="s">
        <v>42</v>
      </c>
      <c r="I40" s="1139"/>
      <c r="J40" s="1140"/>
      <c r="K40" s="1159"/>
      <c r="L40" s="1160"/>
      <c r="M40" s="1160"/>
      <c r="N40" s="1161"/>
    </row>
    <row r="41" spans="1:14" s="502" customFormat="1" ht="16.5" customHeight="1">
      <c r="A41" s="714" t="s">
        <v>49</v>
      </c>
      <c r="B41" s="715"/>
      <c r="C41" s="715"/>
      <c r="D41" s="715"/>
      <c r="E41" s="715"/>
      <c r="F41" s="716"/>
      <c r="H41" s="1146" t="s">
        <v>382</v>
      </c>
      <c r="I41" s="1139"/>
      <c r="J41" s="1140"/>
      <c r="K41" s="1135"/>
      <c r="L41" s="1136"/>
      <c r="M41" s="1136"/>
      <c r="N41" s="1137"/>
    </row>
    <row r="42" spans="1:14" s="502" customFormat="1" ht="16.5" customHeight="1">
      <c r="A42" s="717"/>
      <c r="B42" s="718"/>
      <c r="C42" s="718"/>
      <c r="D42" s="718"/>
      <c r="E42" s="718"/>
      <c r="F42" s="719"/>
      <c r="H42" s="1141" t="s">
        <v>356</v>
      </c>
      <c r="I42" s="1130"/>
      <c r="J42" s="1131"/>
      <c r="K42" s="1138"/>
      <c r="L42" s="1129"/>
      <c r="M42" s="1129"/>
      <c r="N42" s="1156"/>
    </row>
    <row r="43" spans="1:14" s="502" customFormat="1" ht="16.5" customHeight="1">
      <c r="A43" s="717"/>
      <c r="B43" s="718"/>
      <c r="C43" s="718"/>
      <c r="D43" s="718"/>
      <c r="E43" s="718"/>
      <c r="F43" s="719"/>
      <c r="H43" s="1143" t="s">
        <v>175</v>
      </c>
      <c r="I43" s="1144"/>
      <c r="J43" s="1145"/>
      <c r="K43" s="1132"/>
      <c r="L43" s="1133"/>
      <c r="M43" s="1133"/>
      <c r="N43" s="1134"/>
    </row>
    <row r="44" spans="1:14" s="502" customFormat="1" ht="16.5" customHeight="1">
      <c r="A44" s="717"/>
      <c r="B44" s="718"/>
      <c r="C44" s="718"/>
      <c r="D44" s="718"/>
      <c r="E44" s="718"/>
      <c r="F44" s="720" t="s">
        <v>48</v>
      </c>
      <c r="H44" s="1146" t="s">
        <v>382</v>
      </c>
      <c r="I44" s="1139"/>
      <c r="J44" s="1140"/>
      <c r="K44" s="1135"/>
      <c r="L44" s="1136"/>
      <c r="M44" s="1136"/>
      <c r="N44" s="1137"/>
    </row>
    <row r="45" spans="1:14" s="502" customFormat="1" ht="16.5" customHeight="1">
      <c r="A45" s="1169"/>
      <c r="B45" s="1170"/>
      <c r="C45" s="721" t="s">
        <v>46</v>
      </c>
      <c r="D45" s="1167"/>
      <c r="E45" s="1168"/>
      <c r="F45" s="722" t="s">
        <v>47</v>
      </c>
      <c r="H45" s="1141" t="s">
        <v>356</v>
      </c>
      <c r="I45" s="1130"/>
      <c r="J45" s="1131"/>
      <c r="K45" s="1138"/>
      <c r="L45" s="1129"/>
      <c r="M45" s="1129"/>
      <c r="N45" s="1156"/>
    </row>
    <row r="46" s="448" customFormat="1" ht="16.5" customHeight="1" thickBot="1"/>
    <row r="47" spans="1:14" s="459" customFormat="1" ht="16.5" customHeight="1" thickBot="1">
      <c r="A47" s="639" t="str">
        <f>CONCATENATE("Bovengenoemde partijen verzoeken de definitieve aanvaardbare kosten ",D3," goed te keuren/vast te stellen op:")</f>
        <v>Bovengenoemde partijen verzoeken de definitieve aanvaardbare kosten 2004 goed te keuren/vast te stellen op:</v>
      </c>
      <c r="B47" s="723"/>
      <c r="C47" s="723"/>
      <c r="D47" s="723"/>
      <c r="E47" s="723"/>
      <c r="F47" s="723"/>
      <c r="G47" s="723"/>
      <c r="H47" s="503"/>
      <c r="I47" s="503"/>
      <c r="J47" s="503"/>
      <c r="K47" s="503"/>
      <c r="L47" s="834">
        <f>Mutaties!E21</f>
        <v>0</v>
      </c>
      <c r="M47" s="835"/>
      <c r="N47" s="1093" t="str">
        <f>CONCATENATE("(regel ",Mutaties!A21,")")</f>
        <v>(regel 1313)</v>
      </c>
    </row>
    <row r="48" spans="1:14" ht="13.5" thickBot="1">
      <c r="A48" s="502"/>
      <c r="B48" s="538"/>
      <c r="C48" s="502"/>
      <c r="D48" s="503"/>
      <c r="E48" s="539"/>
      <c r="F48" s="502"/>
      <c r="G48" s="502"/>
      <c r="H48" s="502"/>
      <c r="I48" s="502"/>
      <c r="J48" s="502"/>
      <c r="K48" s="502"/>
      <c r="L48" s="502"/>
      <c r="M48" s="502"/>
      <c r="N48" s="502"/>
    </row>
    <row r="49" spans="1:11" ht="13.5" thickBot="1">
      <c r="A49" s="461" t="s">
        <v>211</v>
      </c>
      <c r="B49" s="468"/>
      <c r="C49" s="468"/>
      <c r="D49" s="468"/>
      <c r="E49" s="468"/>
      <c r="F49" s="846"/>
      <c r="G49" s="459"/>
      <c r="H49" s="723"/>
      <c r="I49" s="723"/>
      <c r="J49" s="723"/>
      <c r="K49" s="723"/>
    </row>
    <row r="50" ht="12.75">
      <c r="I50" s="439"/>
    </row>
  </sheetData>
  <sheetProtection password="CFAD" sheet="1" objects="1" scenarios="1"/>
  <mergeCells count="39">
    <mergeCell ref="D20:L21"/>
    <mergeCell ref="L10:N10"/>
    <mergeCell ref="L6:N6"/>
    <mergeCell ref="L9:N9"/>
    <mergeCell ref="A14:N16"/>
    <mergeCell ref="L7:N7"/>
    <mergeCell ref="L8:N8"/>
    <mergeCell ref="D45:E45"/>
    <mergeCell ref="A45:B45"/>
    <mergeCell ref="D25:L27"/>
    <mergeCell ref="D22:L24"/>
    <mergeCell ref="H35:J35"/>
    <mergeCell ref="K35:N35"/>
    <mergeCell ref="K37:N37"/>
    <mergeCell ref="H37:J37"/>
    <mergeCell ref="H36:J36"/>
    <mergeCell ref="K36:N36"/>
    <mergeCell ref="H38:J38"/>
    <mergeCell ref="H39:J39"/>
    <mergeCell ref="H41:J41"/>
    <mergeCell ref="H42:J42"/>
    <mergeCell ref="H40:J40"/>
    <mergeCell ref="K38:N38"/>
    <mergeCell ref="K39:N39"/>
    <mergeCell ref="K41:N41"/>
    <mergeCell ref="K42:N42"/>
    <mergeCell ref="K40:N40"/>
    <mergeCell ref="H43:J43"/>
    <mergeCell ref="H44:J44"/>
    <mergeCell ref="H45:J45"/>
    <mergeCell ref="K43:N43"/>
    <mergeCell ref="K44:N44"/>
    <mergeCell ref="K45:N45"/>
    <mergeCell ref="D39:F39"/>
    <mergeCell ref="D40:F40"/>
    <mergeCell ref="D35:F35"/>
    <mergeCell ref="D36:F36"/>
    <mergeCell ref="D37:F37"/>
    <mergeCell ref="D38:F38"/>
  </mergeCells>
  <conditionalFormatting sqref="A50:F53 E44:F44 H52:N55 F47:F48 D47:E49 K47:N50">
    <cfRule type="expression" priority="1" dxfId="0" stopIfTrue="1">
      <formula>$D$41=TRUE</formula>
    </cfRule>
  </conditionalFormatting>
  <conditionalFormatting sqref="D29:E29 E33:F33 D45:E45 A45 F49 K35:K45 D35:D40">
    <cfRule type="expression" priority="2" dxfId="0" stopIfTrue="1">
      <formula>$D$30=TRUE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Blad3">
    <pageSetUpPr fitToPage="1"/>
  </sheetPr>
  <dimension ref="A1:M108"/>
  <sheetViews>
    <sheetView showGridLines="0" zoomScale="86" zoomScaleNormal="86" workbookViewId="0" topLeftCell="A1">
      <selection activeCell="C48" sqref="C48"/>
    </sheetView>
  </sheetViews>
  <sheetFormatPr defaultColWidth="9.140625" defaultRowHeight="12.75"/>
  <cols>
    <col min="1" max="1" width="2.7109375" style="541" customWidth="1"/>
    <col min="2" max="2" width="4.28125" style="551" customWidth="1"/>
    <col min="3" max="3" width="50.7109375" style="542" customWidth="1"/>
    <col min="4" max="4" width="4.8515625" style="542" customWidth="1"/>
    <col min="5" max="6" width="2.7109375" style="542" customWidth="1"/>
    <col min="7" max="7" width="4.28125" style="542" customWidth="1"/>
    <col min="8" max="8" width="45.28125" style="542" customWidth="1"/>
    <col min="9" max="9" width="4.7109375" style="542" customWidth="1"/>
    <col min="10" max="16384" width="9.140625" style="542" customWidth="1"/>
  </cols>
  <sheetData>
    <row r="1" spans="1:10" s="440" customFormat="1" ht="15.75" customHeight="1">
      <c r="A1" s="434"/>
      <c r="B1" s="540"/>
      <c r="C1" s="487"/>
      <c r="D1" s="437"/>
      <c r="E1" s="437"/>
      <c r="F1" s="434"/>
      <c r="G1" s="487"/>
      <c r="H1" s="487"/>
      <c r="J1" s="441"/>
    </row>
    <row r="2" spans="1:10" s="447" customFormat="1" ht="15.75" customHeight="1">
      <c r="A2" s="442" t="str">
        <f>CONCATENATE("Nacalculatieformulier ",Voorblad!D3)</f>
        <v>Nacalculatieformulier 2004</v>
      </c>
      <c r="B2" s="444"/>
      <c r="C2" s="445"/>
      <c r="D2" s="445"/>
      <c r="E2" s="445"/>
      <c r="F2" s="445"/>
      <c r="G2" s="443"/>
      <c r="H2" s="443"/>
      <c r="I2" s="446">
        <v>2</v>
      </c>
      <c r="J2" s="497"/>
    </row>
    <row r="3" spans="2:6" ht="12.75">
      <c r="B3" s="542"/>
      <c r="D3" s="543"/>
      <c r="E3" s="543"/>
      <c r="F3" s="541"/>
    </row>
    <row r="4" spans="1:9" s="459" customFormat="1" ht="12">
      <c r="A4" s="458" t="s">
        <v>53</v>
      </c>
      <c r="B4" s="544"/>
      <c r="D4" s="724" t="s">
        <v>168</v>
      </c>
      <c r="I4" s="724" t="s">
        <v>168</v>
      </c>
    </row>
    <row r="5" spans="1:9" s="459" customFormat="1" ht="12">
      <c r="A5" s="458"/>
      <c r="B5" s="458"/>
      <c r="C5" s="458"/>
      <c r="D5" s="725"/>
      <c r="E5" s="458"/>
      <c r="F5" s="458"/>
      <c r="G5" s="458"/>
      <c r="H5" s="458"/>
      <c r="I5" s="725"/>
    </row>
    <row r="6" spans="1:9" s="463" customFormat="1" ht="12">
      <c r="A6" s="14" t="str">
        <f>Productie!A4</f>
        <v>RUBRIEK 1: NACALCULATIE PRODUCTIE</v>
      </c>
      <c r="B6" s="872"/>
      <c r="C6" s="94"/>
      <c r="D6" s="611">
        <f>Productie!J2</f>
        <v>6</v>
      </c>
      <c r="G6" s="14" t="str">
        <f>'Rentecalc.'!A6</f>
        <v>CALCULATIEMODEL RENTEKOSTEN</v>
      </c>
      <c r="H6" s="47"/>
      <c r="I6" s="611">
        <f>'Rentecalc.'!G2</f>
        <v>14</v>
      </c>
    </row>
    <row r="7" spans="1:9" s="463" customFormat="1" ht="12">
      <c r="A7" s="14"/>
      <c r="B7" s="877" t="str">
        <f>Productie!A6</f>
        <v>1.1 </v>
      </c>
      <c r="C7" s="877" t="str">
        <f>Productie!B6</f>
        <v>Productieaantallen en realisatie 2004</v>
      </c>
      <c r="D7" s="611">
        <f>Productie!J2</f>
        <v>6</v>
      </c>
      <c r="F7" s="450"/>
      <c r="G7" s="47"/>
      <c r="H7" s="47"/>
      <c r="I7" s="47"/>
    </row>
    <row r="8" spans="1:9" s="463" customFormat="1" ht="12">
      <c r="A8" s="14"/>
      <c r="B8" s="877" t="s">
        <v>8</v>
      </c>
      <c r="C8" s="877" t="s">
        <v>330</v>
      </c>
      <c r="D8" s="611"/>
      <c r="F8" s="450"/>
      <c r="G8" s="14" t="s">
        <v>178</v>
      </c>
      <c r="H8" s="872"/>
      <c r="I8" s="611"/>
    </row>
    <row r="9" spans="1:9" s="463" customFormat="1" ht="12">
      <c r="A9" s="14"/>
      <c r="D9" s="611"/>
      <c r="E9" s="459"/>
      <c r="F9" s="450"/>
      <c r="G9" s="612" t="str">
        <f>'A-G'!A8</f>
        <v>A. </v>
      </c>
      <c r="H9" s="612" t="str">
        <f>'A-G'!B8</f>
        <v>Boekwaarde investeringen waarvoor vergunning is verleend</v>
      </c>
      <c r="I9" s="873">
        <f>'A-G'!G2</f>
        <v>15</v>
      </c>
    </row>
    <row r="10" spans="1:9" s="459" customFormat="1" ht="12">
      <c r="A10" s="14" t="str">
        <f>+Opbrengsten!A4</f>
        <v>RUBRIEK 2: WERKELIJKE OPBRENGSTEN </v>
      </c>
      <c r="G10" s="612" t="str">
        <f>'A-G'!A31</f>
        <v>B.</v>
      </c>
      <c r="H10" s="1198" t="str">
        <f>'A-G'!B31</f>
        <v>Onderhanden bouwprojecten  met WZV vergunning (geen investeringen meldingsregeling)</v>
      </c>
      <c r="I10" s="42"/>
    </row>
    <row r="11" spans="1:9" s="459" customFormat="1" ht="12">
      <c r="A11" s="14"/>
      <c r="B11" s="612" t="str">
        <f>Opbrengsten!A8</f>
        <v>2.1</v>
      </c>
      <c r="C11" s="95" t="str">
        <f>Opbrengsten!B8</f>
        <v>Verpleeggelden (excl. vaste tarieven)</v>
      </c>
      <c r="D11" s="611">
        <f>Opbrengsten!$J$2</f>
        <v>7</v>
      </c>
      <c r="G11" s="42"/>
      <c r="H11" s="1199"/>
      <c r="I11" s="873">
        <f>'A-G'!G2</f>
        <v>15</v>
      </c>
    </row>
    <row r="12" spans="1:9" s="459" customFormat="1" ht="12">
      <c r="A12" s="14"/>
      <c r="B12" s="612" t="str">
        <f>Opbrengsten!A18</f>
        <v>2.2</v>
      </c>
      <c r="C12" s="95" t="str">
        <f>Opbrengsten!B18</f>
        <v>Opbrengst vaste tarieven</v>
      </c>
      <c r="D12" s="611">
        <f>Opbrengsten!$J$2</f>
        <v>7</v>
      </c>
      <c r="G12" s="612" t="str">
        <f>'A-G'!A53</f>
        <v>C. </v>
      </c>
      <c r="H12" s="1198" t="str">
        <f>'A-G'!B53</f>
        <v>Werkelijke boekwaarde instandhoudingsinvesteringen (inclusief onderhanden werk)</v>
      </c>
      <c r="I12" s="42"/>
    </row>
    <row r="13" spans="1:9" s="459" customFormat="1" ht="12">
      <c r="A13" s="14"/>
      <c r="B13" s="612" t="str">
        <f>Opbrengsten!G8</f>
        <v>2.3</v>
      </c>
      <c r="C13" s="95" t="str">
        <f>Opbrengsten!H8</f>
        <v>Opbrengst nevenverrichtingen</v>
      </c>
      <c r="D13" s="611">
        <f>Opbrengsten!$J$2</f>
        <v>7</v>
      </c>
      <c r="G13" s="42"/>
      <c r="H13" s="1199"/>
      <c r="I13" s="611">
        <f>'A-G'!G48</f>
        <v>16</v>
      </c>
    </row>
    <row r="14" spans="1:9" s="459" customFormat="1" ht="12">
      <c r="A14" s="42"/>
      <c r="B14" s="95" t="str">
        <f>Opbrengsten!G15</f>
        <v>2.4</v>
      </c>
      <c r="C14" s="95" t="str">
        <f>Opbrengsten!H15</f>
        <v>Overige vergoedingen ter dekking van het budget</v>
      </c>
      <c r="D14" s="611">
        <f>Opbrengsten!J2</f>
        <v>7</v>
      </c>
      <c r="G14" s="612" t="str">
        <f>'A-G'!A79</f>
        <v>D  </v>
      </c>
      <c r="H14" s="612" t="str">
        <f>'A-G'!B79</f>
        <v>Werkelijke boekwaarde medische en overige inventarissen</v>
      </c>
      <c r="I14" s="611">
        <f>'A-G'!G48</f>
        <v>16</v>
      </c>
    </row>
    <row r="15" spans="1:9" s="459" customFormat="1" ht="12">
      <c r="A15" s="42"/>
      <c r="B15" s="612" t="str">
        <f>Opbrengsten!G26</f>
        <v>2.5</v>
      </c>
      <c r="C15" s="612" t="str">
        <f>Opbrengsten!H26</f>
        <v>Aanvullende inkomsten (niet ter dekking van het budget)</v>
      </c>
      <c r="D15" s="611">
        <f>Opbrengsten!J2</f>
        <v>7</v>
      </c>
      <c r="G15" s="612" t="str">
        <f>'A-G'!A94</f>
        <v>F.</v>
      </c>
      <c r="H15" s="612" t="str">
        <f>'A-G'!B94</f>
        <v>Normatief werkkapitaal</v>
      </c>
      <c r="I15" s="873">
        <f>+I14</f>
        <v>16</v>
      </c>
    </row>
    <row r="16" spans="1:9" s="459" customFormat="1" ht="12">
      <c r="A16" s="42"/>
      <c r="B16" s="591"/>
      <c r="C16" s="591"/>
      <c r="D16" s="611"/>
      <c r="G16" s="612" t="str">
        <f>'A-G'!A102</f>
        <v>G. </v>
      </c>
      <c r="H16" s="612" t="str">
        <f>'A-G'!B102</f>
        <v>Nog in tarieven te verrekenen kosten/opbrengsten</v>
      </c>
      <c r="I16" s="873">
        <f>'A-G'!G100</f>
        <v>17</v>
      </c>
    </row>
    <row r="17" spans="1:13" s="512" customFormat="1" ht="12">
      <c r="A17" s="14" t="str">
        <f>Afschrijvingen!A4</f>
        <v>RUBRIEK 3: KAPITAALSLASTEN</v>
      </c>
      <c r="B17" s="872"/>
      <c r="C17" s="94"/>
      <c r="D17" s="611">
        <f>Afschrijvingen!I2</f>
        <v>8</v>
      </c>
      <c r="E17" s="459"/>
      <c r="F17" s="459"/>
      <c r="G17" s="612" t="str">
        <f>H!A7</f>
        <v>H. </v>
      </c>
      <c r="H17" s="612" t="str">
        <f>H!B7</f>
        <v>Langlopende leningen (incl. langlopende leasecontracten)</v>
      </c>
      <c r="I17" s="611" t="str">
        <f>CONCATENATE(H!T2,"-",H!S50)</f>
        <v>18-19</v>
      </c>
      <c r="J17" s="459"/>
      <c r="K17" s="548"/>
      <c r="L17" s="548"/>
      <c r="M17" s="548"/>
    </row>
    <row r="18" spans="1:10" s="463" customFormat="1" ht="12">
      <c r="A18" s="459"/>
      <c r="B18" s="612" t="str">
        <f>Afschrijvingen!A6</f>
        <v>3.1</v>
      </c>
      <c r="C18" s="612" t="str">
        <f>Afschrijvingen!B6</f>
        <v>Nacalculeerbare afschrijvingskosten (normale en verkorte procedures)</v>
      </c>
      <c r="D18" s="611">
        <f>Afschrijvingen!I2</f>
        <v>8</v>
      </c>
      <c r="E18" s="512"/>
      <c r="F18" s="459"/>
      <c r="G18" s="612" t="str">
        <f>'I-J'!A6</f>
        <v>I. </v>
      </c>
      <c r="H18" s="612" t="str">
        <f>'I-J'!B6</f>
        <v>Eigen vermogen</v>
      </c>
      <c r="I18" s="611">
        <f>'I-J'!E2</f>
        <v>20</v>
      </c>
      <c r="J18" s="459"/>
    </row>
    <row r="19" spans="2:10" s="459" customFormat="1" ht="12">
      <c r="B19" s="612" t="str">
        <f>Afschrijvingen!A24</f>
        <v>3.2</v>
      </c>
      <c r="C19" s="612" t="str">
        <f>Afschrijvingen!B24</f>
        <v>Instandhoudingsinvesteringen (WZV-meldingsplichtige vaste activa)</v>
      </c>
      <c r="D19" s="611">
        <f>Afschrijvingen!I2</f>
        <v>8</v>
      </c>
      <c r="E19" s="463"/>
      <c r="G19" s="612" t="str">
        <f>'I-J'!A25</f>
        <v>J. </v>
      </c>
      <c r="H19" s="612" t="str">
        <f>'I-J'!B25</f>
        <v>Rentekosten langlopende leningen</v>
      </c>
      <c r="I19" s="611">
        <f>'I-J'!E2</f>
        <v>20</v>
      </c>
      <c r="J19" s="548"/>
    </row>
    <row r="20" spans="1:10" s="512" customFormat="1" ht="12">
      <c r="A20" s="42"/>
      <c r="B20" s="612" t="str">
        <f>WZV!A5</f>
        <v>3.3</v>
      </c>
      <c r="C20" s="612" t="str">
        <f>WZV!B5</f>
        <v>Specificatie in gebruikgenomen nacalculeerbare investeringen</v>
      </c>
      <c r="D20" s="611">
        <f>WZV!M2</f>
        <v>9</v>
      </c>
      <c r="E20" s="459"/>
      <c r="F20" s="546"/>
      <c r="G20" s="47"/>
      <c r="H20" s="47"/>
      <c r="I20" s="47"/>
      <c r="J20" s="463"/>
    </row>
    <row r="21" spans="1:10" s="512" customFormat="1" ht="12">
      <c r="A21" s="42"/>
      <c r="B21" s="612" t="str">
        <f>Instandhouding!A4</f>
        <v>3.4</v>
      </c>
      <c r="C21" s="612" t="str">
        <f>Instandhouding!B4</f>
        <v>Specificatie investeringen in instandhouding (WZV-meldingsplichtige vaste activa)</v>
      </c>
      <c r="D21" s="611">
        <f>Instandhouding!J2</f>
        <v>11</v>
      </c>
      <c r="G21" s="628" t="str">
        <f>vragen!A4</f>
        <v>VRAGENLIJST NACALCULATIE</v>
      </c>
      <c r="H21" s="48"/>
      <c r="I21" s="611" t="str">
        <f>CONCATENATE(vragen!F2,"-",vragen!F43)</f>
        <v>21-22</v>
      </c>
      <c r="J21" s="459"/>
    </row>
    <row r="22" spans="1:9" s="512" customFormat="1" ht="12">
      <c r="A22" s="42"/>
      <c r="B22" s="612" t="str">
        <f>'Afschr.inventaris'!A5</f>
        <v>3.5</v>
      </c>
      <c r="C22" s="612" t="str">
        <f>'Afschr.inventaris'!B5</f>
        <v>Afschrijvingskosten medische en overige inventarissen</v>
      </c>
      <c r="D22" s="611">
        <f>'Afschr.inventaris'!I3</f>
        <v>12</v>
      </c>
      <c r="F22" s="450"/>
      <c r="G22" s="628"/>
      <c r="H22" s="874"/>
      <c r="I22" s="611"/>
    </row>
    <row r="23" spans="1:9" s="512" customFormat="1" ht="12">
      <c r="A23" s="42"/>
      <c r="B23" s="612"/>
      <c r="C23" s="612"/>
      <c r="D23" s="611"/>
      <c r="F23" s="459"/>
      <c r="G23" s="875"/>
      <c r="H23" s="874"/>
      <c r="I23" s="48"/>
    </row>
    <row r="24" spans="1:6" s="512" customFormat="1" ht="12">
      <c r="A24" s="14" t="str">
        <f>Mutaties!A4</f>
        <v>RUBRIEK 4: OVERZICHT MUTATIES</v>
      </c>
      <c r="B24" s="872"/>
      <c r="C24" s="94"/>
      <c r="D24" s="611"/>
      <c r="F24" s="549"/>
    </row>
    <row r="25" spans="1:9" s="512" customFormat="1" ht="12">
      <c r="A25" s="591"/>
      <c r="B25" s="612" t="str">
        <f>Mutaties!A7</f>
        <v>4.1</v>
      </c>
      <c r="C25" s="612" t="str">
        <f>Mutaties!B7</f>
        <v>Mutaties aanvaardbare kosten</v>
      </c>
      <c r="D25" s="611">
        <f>Mutaties!E2</f>
        <v>13</v>
      </c>
      <c r="F25" s="549"/>
      <c r="G25" s="876"/>
      <c r="H25" s="591"/>
      <c r="I25" s="591"/>
    </row>
    <row r="26" spans="2:9" s="512" customFormat="1" ht="12">
      <c r="B26" s="612" t="str">
        <f>Mutaties!A23</f>
        <v>4.2</v>
      </c>
      <c r="C26" s="612" t="str">
        <f>Mutaties!B23</f>
        <v>Opbrengstverrekening 2004</v>
      </c>
      <c r="D26" s="611">
        <f>Mutaties!E2</f>
        <v>13</v>
      </c>
      <c r="E26" s="463"/>
      <c r="F26" s="549"/>
      <c r="G26" s="562"/>
      <c r="H26" s="729"/>
      <c r="I26" s="825"/>
    </row>
    <row r="27" spans="1:10" s="463" customFormat="1" ht="12">
      <c r="A27" s="42"/>
      <c r="B27" s="512"/>
      <c r="C27" s="512"/>
      <c r="D27" s="512"/>
      <c r="E27" s="512"/>
      <c r="F27" s="549"/>
      <c r="G27" s="878"/>
      <c r="H27" s="727"/>
      <c r="I27" s="825"/>
      <c r="J27" s="512"/>
    </row>
    <row r="28" spans="1:9" s="512" customFormat="1" ht="12">
      <c r="A28" s="591"/>
      <c r="E28" s="463"/>
      <c r="G28" s="878"/>
      <c r="H28" s="729"/>
      <c r="I28" s="825"/>
    </row>
    <row r="29" spans="1:9" s="463" customFormat="1" ht="12">
      <c r="A29" s="42"/>
      <c r="B29" s="459"/>
      <c r="C29" s="459"/>
      <c r="D29" s="459"/>
      <c r="E29" s="512"/>
      <c r="F29" s="545"/>
      <c r="G29" s="879"/>
      <c r="H29" s="727"/>
      <c r="I29" s="825"/>
    </row>
    <row r="30" spans="1:9" s="512" customFormat="1" ht="12">
      <c r="A30" s="591"/>
      <c r="B30" s="463"/>
      <c r="C30" s="463"/>
      <c r="D30" s="463"/>
      <c r="G30" s="730"/>
      <c r="H30" s="879"/>
      <c r="I30" s="825"/>
    </row>
    <row r="31" spans="1:10" s="512" customFormat="1" ht="12.75">
      <c r="A31" s="591"/>
      <c r="B31" s="635"/>
      <c r="C31" s="635"/>
      <c r="D31" s="635"/>
      <c r="E31" s="542"/>
      <c r="F31" s="545"/>
      <c r="G31" s="728"/>
      <c r="H31" s="728"/>
      <c r="I31" s="826"/>
      <c r="J31" s="463"/>
    </row>
    <row r="32" spans="1:10" ht="12.75">
      <c r="A32" s="591"/>
      <c r="B32" s="635"/>
      <c r="C32" s="635"/>
      <c r="D32" s="635"/>
      <c r="E32" s="512"/>
      <c r="F32" s="512"/>
      <c r="G32" s="727"/>
      <c r="H32" s="727"/>
      <c r="I32" s="825"/>
      <c r="J32" s="512"/>
    </row>
    <row r="33" spans="1:9" s="512" customFormat="1" ht="12.75">
      <c r="A33" s="591"/>
      <c r="B33" s="635"/>
      <c r="C33" s="635"/>
      <c r="D33" s="635"/>
      <c r="F33" s="533"/>
      <c r="G33" s="727"/>
      <c r="H33" s="727"/>
      <c r="I33" s="825"/>
    </row>
    <row r="34" spans="1:10" s="512" customFormat="1" ht="12.75">
      <c r="A34" s="14"/>
      <c r="B34" s="635"/>
      <c r="C34" s="635"/>
      <c r="D34" s="635"/>
      <c r="F34" s="542"/>
      <c r="G34" s="727"/>
      <c r="H34" s="727"/>
      <c r="I34" s="726"/>
      <c r="J34" s="542"/>
    </row>
    <row r="35" spans="1:9" s="512" customFormat="1" ht="12.75">
      <c r="A35" s="591"/>
      <c r="B35" s="635"/>
      <c r="C35" s="635"/>
      <c r="D35" s="635"/>
      <c r="E35"/>
      <c r="G35" s="729"/>
      <c r="H35" s="729"/>
      <c r="I35" s="726"/>
    </row>
    <row r="36" spans="1:10" s="459" customFormat="1" ht="12.75">
      <c r="A36" s="591"/>
      <c r="B36" s="877"/>
      <c r="C36" s="42"/>
      <c r="D36" s="612"/>
      <c r="E36"/>
      <c r="F36" s="512"/>
      <c r="G36" s="729"/>
      <c r="H36" s="729"/>
      <c r="I36" s="726"/>
      <c r="J36" s="512"/>
    </row>
    <row r="37" spans="1:10" s="463" customFormat="1" ht="12.75">
      <c r="A37" s="512"/>
      <c r="B37" s="877"/>
      <c r="C37" s="42"/>
      <c r="D37" s="42"/>
      <c r="E37"/>
      <c r="F37" s="512"/>
      <c r="G37" s="731"/>
      <c r="H37" s="731"/>
      <c r="I37" s="726"/>
      <c r="J37" s="512"/>
    </row>
    <row r="38" spans="1:9" s="459" customFormat="1" ht="12.75">
      <c r="A38" s="512"/>
      <c r="B38" s="877"/>
      <c r="C38" s="42"/>
      <c r="D38" s="42"/>
      <c r="E38"/>
      <c r="G38" s="729"/>
      <c r="H38" s="729"/>
      <c r="I38" s="726"/>
    </row>
    <row r="39" spans="2:10" s="459" customFormat="1" ht="12.75">
      <c r="B39" s="877"/>
      <c r="C39" s="42"/>
      <c r="D39" s="42"/>
      <c r="E39"/>
      <c r="F39" s="545"/>
      <c r="G39" s="729"/>
      <c r="H39" s="729"/>
      <c r="I39" s="726"/>
      <c r="J39" s="463"/>
    </row>
    <row r="40" spans="1:6" s="459" customFormat="1" ht="12">
      <c r="A40" s="463"/>
      <c r="B40" s="877"/>
      <c r="C40" s="42"/>
      <c r="D40" s="42"/>
      <c r="F40" s="547"/>
    </row>
    <row r="41" spans="1:4" s="459" customFormat="1" ht="12">
      <c r="A41" s="591"/>
      <c r="B41" s="877"/>
      <c r="C41" s="42"/>
      <c r="D41" s="42"/>
    </row>
    <row r="42" spans="1:4" s="459" customFormat="1" ht="12">
      <c r="A42" s="47"/>
      <c r="B42" s="877"/>
      <c r="C42" s="42"/>
      <c r="D42" s="42"/>
    </row>
    <row r="43" spans="1:2" s="459" customFormat="1" ht="12">
      <c r="A43" s="591"/>
      <c r="B43" s="544"/>
    </row>
    <row r="44" spans="1:2" s="459" customFormat="1" ht="12">
      <c r="A44" s="591"/>
      <c r="B44" s="544"/>
    </row>
    <row r="45" spans="1:2" s="459" customFormat="1" ht="12">
      <c r="A45" s="42"/>
      <c r="B45" s="544"/>
    </row>
    <row r="46" spans="1:2" s="459" customFormat="1" ht="12">
      <c r="A46" s="41"/>
      <c r="B46" s="544"/>
    </row>
    <row r="47" spans="1:2" s="459" customFormat="1" ht="12">
      <c r="A47" s="41"/>
      <c r="B47" s="544"/>
    </row>
    <row r="48" spans="1:2" s="459" customFormat="1" ht="12">
      <c r="A48" s="41"/>
      <c r="B48" s="544"/>
    </row>
    <row r="49" spans="1:2" s="459" customFormat="1" ht="12">
      <c r="A49" s="41"/>
      <c r="B49" s="544"/>
    </row>
    <row r="50" spans="1:4" s="459" customFormat="1" ht="12.75">
      <c r="A50" s="41"/>
      <c r="B50" s="550"/>
      <c r="C50" s="487"/>
      <c r="D50" s="487"/>
    </row>
    <row r="51" spans="1:4" s="459" customFormat="1" ht="12.75">
      <c r="A51" s="41"/>
      <c r="B51" s="550"/>
      <c r="C51" s="487"/>
      <c r="D51" s="487"/>
    </row>
    <row r="52" spans="1:4" s="459" customFormat="1" ht="12.75">
      <c r="A52" s="41"/>
      <c r="B52" s="550"/>
      <c r="C52" s="487"/>
      <c r="D52" s="487"/>
    </row>
    <row r="53" spans="1:4" s="459" customFormat="1" ht="12.75">
      <c r="A53" s="458"/>
      <c r="B53" s="550"/>
      <c r="C53" s="487"/>
      <c r="D53" s="487"/>
    </row>
    <row r="54" spans="1:9" s="459" customFormat="1" ht="12.75">
      <c r="A54" s="458"/>
      <c r="B54" s="550"/>
      <c r="C54" s="487"/>
      <c r="D54" s="487"/>
      <c r="E54" s="487"/>
      <c r="G54" s="487"/>
      <c r="H54" s="487"/>
      <c r="I54" s="487"/>
    </row>
    <row r="55" spans="1:10" s="487" customFormat="1" ht="12.75">
      <c r="A55" s="458"/>
      <c r="B55" s="550"/>
      <c r="F55" s="459"/>
      <c r="J55" s="459"/>
    </row>
    <row r="56" spans="1:10" s="487" customFormat="1" ht="12.75">
      <c r="A56" s="458"/>
      <c r="B56" s="550"/>
      <c r="F56" s="459"/>
      <c r="J56" s="459"/>
    </row>
    <row r="57" spans="1:2" s="487" customFormat="1" ht="12.75">
      <c r="A57" s="458"/>
      <c r="B57" s="550"/>
    </row>
    <row r="58" spans="1:2" s="487" customFormat="1" ht="12.75">
      <c r="A58" s="458"/>
      <c r="B58" s="550"/>
    </row>
    <row r="59" spans="1:2" s="487" customFormat="1" ht="12.75">
      <c r="A59" s="458"/>
      <c r="B59" s="550"/>
    </row>
    <row r="60" spans="1:2" s="487" customFormat="1" ht="12.75">
      <c r="A60" s="434"/>
      <c r="B60" s="550"/>
    </row>
    <row r="61" spans="1:2" s="487" customFormat="1" ht="12.75">
      <c r="A61" s="434"/>
      <c r="B61" s="550"/>
    </row>
    <row r="62" spans="1:2" s="487" customFormat="1" ht="12.75">
      <c r="A62" s="434"/>
      <c r="B62" s="550"/>
    </row>
    <row r="63" spans="1:2" s="487" customFormat="1" ht="12.75">
      <c r="A63" s="434"/>
      <c r="B63" s="550"/>
    </row>
    <row r="64" spans="1:2" s="487" customFormat="1" ht="12.75">
      <c r="A64" s="434"/>
      <c r="B64" s="550"/>
    </row>
    <row r="65" spans="1:2" s="487" customFormat="1" ht="12.75">
      <c r="A65" s="434"/>
      <c r="B65" s="550"/>
    </row>
    <row r="66" spans="1:2" s="487" customFormat="1" ht="12.75">
      <c r="A66" s="434"/>
      <c r="B66" s="550"/>
    </row>
    <row r="67" spans="1:2" s="487" customFormat="1" ht="12.75">
      <c r="A67" s="434"/>
      <c r="B67" s="550"/>
    </row>
    <row r="68" spans="1:2" s="487" customFormat="1" ht="12.75">
      <c r="A68" s="434"/>
      <c r="B68" s="550"/>
    </row>
    <row r="69" spans="1:2" s="487" customFormat="1" ht="12.75">
      <c r="A69" s="434"/>
      <c r="B69" s="550"/>
    </row>
    <row r="70" spans="1:2" s="487" customFormat="1" ht="12.75">
      <c r="A70" s="434"/>
      <c r="B70" s="550"/>
    </row>
    <row r="71" spans="1:2" s="487" customFormat="1" ht="12.75">
      <c r="A71" s="434"/>
      <c r="B71" s="550"/>
    </row>
    <row r="72" spans="1:2" s="487" customFormat="1" ht="12.75">
      <c r="A72" s="434"/>
      <c r="B72" s="550"/>
    </row>
    <row r="73" spans="1:2" s="487" customFormat="1" ht="12.75">
      <c r="A73" s="434"/>
      <c r="B73" s="550"/>
    </row>
    <row r="74" spans="1:2" s="487" customFormat="1" ht="12.75">
      <c r="A74" s="434"/>
      <c r="B74" s="550"/>
    </row>
    <row r="75" spans="1:2" s="487" customFormat="1" ht="12.75">
      <c r="A75" s="434"/>
      <c r="B75" s="550"/>
    </row>
    <row r="76" spans="1:2" s="487" customFormat="1" ht="12.75">
      <c r="A76" s="434"/>
      <c r="B76" s="550"/>
    </row>
    <row r="77" spans="1:2" s="487" customFormat="1" ht="12.75">
      <c r="A77" s="434"/>
      <c r="B77" s="550"/>
    </row>
    <row r="78" spans="1:2" s="487" customFormat="1" ht="12.75">
      <c r="A78" s="434"/>
      <c r="B78" s="550"/>
    </row>
    <row r="79" spans="1:2" s="487" customFormat="1" ht="12.75">
      <c r="A79" s="434"/>
      <c r="B79" s="550"/>
    </row>
    <row r="80" spans="1:2" s="487" customFormat="1" ht="12.75">
      <c r="A80" s="434"/>
      <c r="B80" s="550"/>
    </row>
    <row r="81" spans="1:2" s="487" customFormat="1" ht="12.75">
      <c r="A81" s="434"/>
      <c r="B81" s="550"/>
    </row>
    <row r="82" spans="1:2" s="487" customFormat="1" ht="12.75">
      <c r="A82" s="434"/>
      <c r="B82" s="550"/>
    </row>
    <row r="83" spans="1:2" s="487" customFormat="1" ht="12.75">
      <c r="A83" s="434"/>
      <c r="B83" s="550"/>
    </row>
    <row r="84" spans="1:2" s="487" customFormat="1" ht="12.75">
      <c r="A84" s="434"/>
      <c r="B84" s="550"/>
    </row>
    <row r="85" spans="1:2" s="487" customFormat="1" ht="12.75">
      <c r="A85" s="434"/>
      <c r="B85" s="550"/>
    </row>
    <row r="86" spans="1:2" s="487" customFormat="1" ht="12.75">
      <c r="A86" s="434"/>
      <c r="B86" s="550"/>
    </row>
    <row r="87" spans="1:2" s="487" customFormat="1" ht="12.75">
      <c r="A87" s="434"/>
      <c r="B87" s="550"/>
    </row>
    <row r="88" spans="1:2" s="487" customFormat="1" ht="12.75">
      <c r="A88" s="434"/>
      <c r="B88" s="550"/>
    </row>
    <row r="89" spans="1:2" s="487" customFormat="1" ht="12.75">
      <c r="A89" s="434"/>
      <c r="B89" s="550"/>
    </row>
    <row r="90" spans="1:2" s="487" customFormat="1" ht="12.75">
      <c r="A90" s="434"/>
      <c r="B90" s="550"/>
    </row>
    <row r="91" spans="1:2" s="487" customFormat="1" ht="12.75">
      <c r="A91" s="434"/>
      <c r="B91" s="550"/>
    </row>
    <row r="92" spans="1:2" s="487" customFormat="1" ht="12.75">
      <c r="A92" s="434"/>
      <c r="B92" s="550"/>
    </row>
    <row r="93" spans="1:2" s="487" customFormat="1" ht="12.75">
      <c r="A93" s="434"/>
      <c r="B93" s="550"/>
    </row>
    <row r="94" spans="1:2" s="487" customFormat="1" ht="12.75">
      <c r="A94" s="434"/>
      <c r="B94" s="550"/>
    </row>
    <row r="95" spans="1:2" s="487" customFormat="1" ht="12.75">
      <c r="A95" s="434"/>
      <c r="B95" s="550"/>
    </row>
    <row r="96" spans="1:2" s="487" customFormat="1" ht="12.75">
      <c r="A96" s="434"/>
      <c r="B96" s="550"/>
    </row>
    <row r="97" spans="1:2" s="487" customFormat="1" ht="12.75">
      <c r="A97" s="434"/>
      <c r="B97" s="550"/>
    </row>
    <row r="98" spans="1:2" s="487" customFormat="1" ht="12.75">
      <c r="A98" s="434"/>
      <c r="B98" s="550"/>
    </row>
    <row r="99" spans="1:4" s="487" customFormat="1" ht="12.75">
      <c r="A99" s="434"/>
      <c r="B99" s="551"/>
      <c r="C99" s="542"/>
      <c r="D99" s="542"/>
    </row>
    <row r="100" spans="1:4" s="487" customFormat="1" ht="12.75">
      <c r="A100" s="434"/>
      <c r="B100" s="551"/>
      <c r="C100" s="542"/>
      <c r="D100" s="542"/>
    </row>
    <row r="101" spans="1:4" s="487" customFormat="1" ht="12.75">
      <c r="A101" s="434"/>
      <c r="B101" s="551"/>
      <c r="C101" s="542"/>
      <c r="D101" s="542"/>
    </row>
    <row r="102" spans="1:4" s="487" customFormat="1" ht="12.75">
      <c r="A102" s="434"/>
      <c r="B102" s="551"/>
      <c r="C102" s="542"/>
      <c r="D102" s="542"/>
    </row>
    <row r="103" spans="1:9" s="487" customFormat="1" ht="12.75">
      <c r="A103" s="434"/>
      <c r="B103" s="551"/>
      <c r="C103" s="542"/>
      <c r="D103" s="542"/>
      <c r="E103" s="542"/>
      <c r="G103" s="542"/>
      <c r="H103" s="542"/>
      <c r="I103" s="542"/>
    </row>
    <row r="104" spans="1:10" ht="12.75">
      <c r="A104" s="434"/>
      <c r="F104" s="487"/>
      <c r="J104" s="487"/>
    </row>
    <row r="105" spans="1:10" ht="12.75">
      <c r="A105" s="434"/>
      <c r="F105" s="487"/>
      <c r="J105" s="487"/>
    </row>
    <row r="106" ht="12.75">
      <c r="A106" s="434"/>
    </row>
    <row r="107" ht="12.75">
      <c r="A107" s="434"/>
    </row>
    <row r="108" ht="12.75">
      <c r="A108" s="434"/>
    </row>
  </sheetData>
  <sheetProtection password="CFAD" sheet="1" objects="1" scenarios="1"/>
  <mergeCells count="2">
    <mergeCell ref="H10:H11"/>
    <mergeCell ref="H12:H13"/>
  </mergeCells>
  <printOptions/>
  <pageMargins left="0.3937007874015748" right="0.3937007874015748" top="0.3937007874015748" bottom="0.3937007874015748" header="0.5118110236220472" footer="0.5118110236220472"/>
  <pageSetup fitToHeight="1" fitToWidth="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Blad4"/>
  <dimension ref="A1:E64"/>
  <sheetViews>
    <sheetView showGridLines="0" zoomScaleSheetLayoutView="75" workbookViewId="0" topLeftCell="A14">
      <selection activeCell="I25" sqref="I25"/>
    </sheetView>
  </sheetViews>
  <sheetFormatPr defaultColWidth="9.140625" defaultRowHeight="12.75"/>
  <cols>
    <col min="1" max="1" width="5.7109375" style="552" customWidth="1"/>
    <col min="2" max="2" width="100.140625" style="512" customWidth="1"/>
    <col min="3" max="3" width="21.421875" style="512" customWidth="1"/>
    <col min="4" max="4" width="7.7109375" style="512" customWidth="1"/>
    <col min="5" max="5" width="5.7109375" style="512" customWidth="1"/>
    <col min="6" max="16384" width="9.140625" style="512" customWidth="1"/>
  </cols>
  <sheetData>
    <row r="1" spans="1:5" s="457" customFormat="1" ht="15.75" customHeight="1">
      <c r="A1" s="458"/>
      <c r="B1" s="459"/>
      <c r="C1" s="468"/>
      <c r="E1" s="459"/>
    </row>
    <row r="2" spans="1:5" s="502" customFormat="1" ht="15.75" customHeight="1">
      <c r="A2" s="442" t="str">
        <f>CONCATENATE("Nacalculatieformulier ",Voorblad!D3)</f>
        <v>Nacalculatieformulier 2004</v>
      </c>
      <c r="B2" s="534"/>
      <c r="C2" s="566"/>
      <c r="D2" s="566"/>
      <c r="E2" s="596">
        <f>Inhoud!$I$2+1</f>
        <v>3</v>
      </c>
    </row>
    <row r="3" ht="12" customHeight="1">
      <c r="D3" s="548"/>
    </row>
    <row r="4" spans="1:5" s="459" customFormat="1" ht="12">
      <c r="A4" s="41" t="s">
        <v>35</v>
      </c>
      <c r="B4" s="42"/>
      <c r="C4" s="42"/>
      <c r="D4" s="42"/>
      <c r="E4" s="42"/>
    </row>
    <row r="5" spans="1:5" s="459" customFormat="1" ht="12">
      <c r="A5" s="41"/>
      <c r="B5" s="42"/>
      <c r="C5" s="42"/>
      <c r="D5" s="42"/>
      <c r="E5" s="42"/>
    </row>
    <row r="6" spans="1:5" s="459" customFormat="1" ht="12">
      <c r="A6" s="47" t="s">
        <v>138</v>
      </c>
      <c r="C6" s="42"/>
      <c r="D6" s="42"/>
      <c r="E6" s="42"/>
    </row>
    <row r="7" spans="1:5" s="459" customFormat="1" ht="30" customHeight="1">
      <c r="A7" s="1209" t="str">
        <f>CONCATENATE("Het electronische formulier is beveiligd met een wachtwoord. Dit betekent dat in het formulier geen veranderingen kunnen worden aangebracht. ","Als toch de wens of de noodzaak bestaat om van het formulier af te wijken, dan kunt u dit verwerken onder de overige mutaties op regel ",Mutaties!A16,".")</f>
        <v>Het electronische formulier is beveiligd met een wachtwoord. Dit betekent dat in het formulier geen veranderingen kunnen worden aangebracht. Als toch de wens of de noodzaak bestaat om van het formulier af te wijken, dan kunt u dit verwerken onder de overige mutaties op regel 1308.</v>
      </c>
      <c r="B7" s="1201"/>
      <c r="C7" s="1201"/>
      <c r="D7" s="1201"/>
      <c r="E7" s="1201"/>
    </row>
    <row r="8" spans="1:5" s="459" customFormat="1" ht="12" customHeight="1">
      <c r="A8" s="1211" t="s">
        <v>9</v>
      </c>
      <c r="B8" s="1211"/>
      <c r="C8" s="573"/>
      <c r="D8" s="573"/>
      <c r="E8" s="573"/>
    </row>
    <row r="9" spans="1:5" s="459" customFormat="1" ht="21" customHeight="1">
      <c r="A9" s="1206" t="s">
        <v>325</v>
      </c>
      <c r="B9" s="1206"/>
      <c r="C9" s="1206"/>
      <c r="D9" s="1206"/>
      <c r="E9" s="1206"/>
    </row>
    <row r="10" spans="1:5" s="459" customFormat="1" ht="12" customHeight="1">
      <c r="A10" s="41" t="s">
        <v>10</v>
      </c>
      <c r="B10" s="41"/>
      <c r="C10" s="588"/>
      <c r="D10" s="589"/>
      <c r="E10" s="588"/>
    </row>
    <row r="11" spans="1:5" s="459" customFormat="1" ht="75" customHeight="1">
      <c r="A11" s="1208" t="s">
        <v>298</v>
      </c>
      <c r="B11" s="1214"/>
      <c r="C11" s="1214"/>
      <c r="D11" s="1214"/>
      <c r="E11" s="1214"/>
    </row>
    <row r="12" spans="1:5" s="459" customFormat="1" ht="12" customHeight="1">
      <c r="A12" s="1213" t="s">
        <v>469</v>
      </c>
      <c r="B12" s="1213"/>
      <c r="C12" s="1119"/>
      <c r="D12" s="1119"/>
      <c r="E12" s="1119"/>
    </row>
    <row r="13" spans="1:5" s="459" customFormat="1" ht="74.25" customHeight="1">
      <c r="A13" s="1212" t="s">
        <v>470</v>
      </c>
      <c r="B13" s="1212"/>
      <c r="C13" s="1212"/>
      <c r="D13" s="1212"/>
      <c r="E13" s="1212"/>
    </row>
    <row r="14" spans="1:5" s="459" customFormat="1" ht="12" customHeight="1">
      <c r="A14" s="1210" t="s">
        <v>3</v>
      </c>
      <c r="B14" s="1210"/>
      <c r="C14" s="1210"/>
      <c r="D14" s="1210"/>
      <c r="E14" s="1210"/>
    </row>
    <row r="15" spans="1:5" s="459" customFormat="1" ht="81.75" customHeight="1">
      <c r="A15" s="1202" t="s">
        <v>1</v>
      </c>
      <c r="B15" s="1202"/>
      <c r="C15" s="1202"/>
      <c r="D15" s="1202"/>
      <c r="E15" s="1202"/>
    </row>
    <row r="16" spans="1:5" s="502" customFormat="1" ht="65.25" customHeight="1">
      <c r="A16" s="1203" t="s">
        <v>324</v>
      </c>
      <c r="B16" s="1204"/>
      <c r="C16" s="1204"/>
      <c r="D16" s="1204"/>
      <c r="E16" s="1204"/>
    </row>
    <row r="17" spans="1:5" s="459" customFormat="1" ht="13.5" customHeight="1">
      <c r="A17" s="1216" t="s">
        <v>2</v>
      </c>
      <c r="B17" s="1216"/>
      <c r="C17" s="1216"/>
      <c r="D17" s="1216"/>
      <c r="E17" s="1216"/>
    </row>
    <row r="18" spans="1:5" s="459" customFormat="1" ht="22.5" customHeight="1">
      <c r="A18" s="1201" t="str">
        <f>CONCATENATE("De instandhoudingsinvesteringen die in ",Voorblad!D3," in gebruik zijn genomen dienen te worden gespecificeerd. Hierbij wordt onderscheid gemaakt in investeringen ten laste van de jaarlijkse instandhoudingen en investeringen ten laste van trekkingsrechten.")</f>
        <v>De instandhoudingsinvesteringen die in 2004 in gebruik zijn genomen dienen te worden gespecificeerd. Hierbij wordt onderscheid gemaakt in investeringen ten laste van de jaarlijkse instandhoudingen en investeringen ten laste van trekkingsrechten.</v>
      </c>
      <c r="B18" s="1201"/>
      <c r="C18" s="1201"/>
      <c r="D18" s="1201"/>
      <c r="E18" s="1201"/>
    </row>
    <row r="19" spans="1:5" s="459" customFormat="1" ht="13.5" customHeight="1">
      <c r="A19" s="973" t="s">
        <v>468</v>
      </c>
      <c r="B19" s="585"/>
      <c r="C19" s="586"/>
      <c r="D19" s="586"/>
      <c r="E19" s="586"/>
    </row>
    <row r="20" spans="1:5" s="459" customFormat="1" ht="67.5" customHeight="1">
      <c r="A20" s="1200" t="s">
        <v>6</v>
      </c>
      <c r="B20" s="1200"/>
      <c r="C20" s="1200"/>
      <c r="D20" s="1200"/>
      <c r="E20" s="1200"/>
    </row>
    <row r="21" spans="1:4" s="457" customFormat="1" ht="15" customHeight="1">
      <c r="A21" s="458"/>
      <c r="B21" s="459"/>
      <c r="C21" s="468"/>
      <c r="D21" s="459"/>
    </row>
    <row r="22" spans="1:5" s="502" customFormat="1" ht="15.75" customHeight="1">
      <c r="A22" s="442" t="str">
        <f>CONCATENATE("Nacalculatieformulier ",Voorblad!D3)</f>
        <v>Nacalculatieformulier 2004</v>
      </c>
      <c r="B22" s="534"/>
      <c r="C22" s="566"/>
      <c r="D22" s="582"/>
      <c r="E22" s="596">
        <f>+E2+1</f>
        <v>4</v>
      </c>
    </row>
    <row r="23" spans="1:5" s="502" customFormat="1" ht="12" customHeight="1">
      <c r="A23" s="1120"/>
      <c r="B23" s="1121"/>
      <c r="C23" s="1122"/>
      <c r="D23" s="1122"/>
      <c r="E23" s="1123"/>
    </row>
    <row r="24" spans="1:5" s="502" customFormat="1" ht="12" customHeight="1">
      <c r="A24" s="1124"/>
      <c r="B24" s="1124" t="str">
        <f>'Rentecalc.'!A6</f>
        <v>CALCULATIEMODEL RENTEKOSTEN</v>
      </c>
      <c r="C24" s="1125"/>
      <c r="D24" s="1125"/>
      <c r="E24" s="1126"/>
    </row>
    <row r="25" spans="1:5" s="502" customFormat="1" ht="45.75" customHeight="1">
      <c r="A25" s="1219" t="str">
        <f>CONCATENATE("De berekening van de rentekosten is als gevolg van het ingevoerde protocol voor evenwichtig balansbeheer aangepast. Op regel ",'Rentecalc.'!A24," wordt berekend welk bedrag de instelling 'teveel' kort heeft gefinancierd. Over dit bedrag wordt een rentecorrectie berekend van 1,5%. Op regel ",'Rentecalc.'!A25," wordt de mogelijkheid geboden een aanpassing van de berekende overschrijding voor te stellen."," Dit is vooral bedoeld voor leningen die tussen 1 januari en 1 april 2001 zijn afgesloten. Het CTG beschouwt deze leningen als ware zij afgesloten per 1 januari 2001.")</f>
        <v>De berekening van de rentekosten is als gevolg van het ingevoerde protocol voor evenwichtig balansbeheer aangepast. Op regel 1413 wordt berekend welk bedrag de instelling 'teveel' kort heeft gefinancierd. Over dit bedrag wordt een rentecorrectie berekend van 1,5%. Op regel 1414 wordt de mogelijkheid geboden een aanpassing van de berekende overschrijding voor te stellen. Dit is vooral bedoeld voor leningen die tussen 1 januari en 1 april 2001 zijn afgesloten. Het CTG beschouwt deze leningen als ware zij afgesloten per 1 januari 2001.</v>
      </c>
      <c r="B25" s="1220"/>
      <c r="C25" s="1220"/>
      <c r="D25" s="1220"/>
      <c r="E25" s="1220"/>
    </row>
    <row r="26" spans="1:5" s="502" customFormat="1" ht="12" customHeight="1">
      <c r="A26" s="1124" t="str">
        <f>'A-G'!A8</f>
        <v>A. </v>
      </c>
      <c r="B26" s="1124" t="str">
        <f>'A-G'!B8</f>
        <v>Boekwaarde investeringen waarvoor vergunning is verleend</v>
      </c>
      <c r="C26" s="1127"/>
      <c r="D26" s="1127"/>
      <c r="E26" s="1127"/>
    </row>
    <row r="27" spans="1:5" s="502" customFormat="1" ht="58.5" customHeight="1">
      <c r="A27" s="1208" t="str">
        <f>CONCATENATE("Op regel ",'A-G'!A9," dient u de samenstelling van de boekwaarde per 31 december  ",Voorblad!D3-1," volgens de jaarrekening op te nemen. Deze gegevens zijn exclusief de kosten voor onderhanden projecten van normale WZV-procedures. Op regel ",'A-G'!A11," t/m ",'A-G'!A22," vermeldt u in de eerste kolom de aanschafwaarde van (des)investeringen die in ",Voorblad!D3," in gebruik zijn genomen c.q. buiten gebruik zijn gesteld. In de tweede kolom dient u de maandelijkse nacalculeerbare afschrijvingskosten te vermelden."," Bij desinvesteringen vermeldt u in deze kolom ook de bedragen die tot dan toe in totaal op deze investeringen zijn afgeschreven.")</f>
        <v>Op regel 1501 dient u de samenstelling van de boekwaarde per 31 december  2003 volgens de jaarrekening op te nemen. Deze gegevens zijn exclusief de kosten voor onderhanden projecten van normale WZV-procedures. Op regel 1503 t/m 1514 vermeldt u in de eerste kolom de aanschafwaarde van (des)investeringen die in 2004 in gebruik zijn genomen c.q. buiten gebruik zijn gesteld. In de tweede kolom dient u de maandelijkse nacalculeerbare afschrijvingskosten te vermelden. Bij desinvesteringen vermeldt u in deze kolom ook de bedragen die tot dan toe in totaal op deze investeringen zijn afgeschreven.</v>
      </c>
      <c r="B27" s="1200"/>
      <c r="C27" s="1200"/>
      <c r="D27" s="1200"/>
      <c r="E27" s="1200"/>
    </row>
    <row r="28" spans="1:5" s="502" customFormat="1" ht="12" customHeight="1">
      <c r="A28" s="1124" t="str">
        <f>'A-G'!A31</f>
        <v>B.</v>
      </c>
      <c r="B28" s="1124" t="str">
        <f>'A-G'!B31</f>
        <v>Onderhanden bouwprojecten  met WZV vergunning (geen investeringen meldingsregeling)</v>
      </c>
      <c r="C28" s="1128"/>
      <c r="D28" s="1128"/>
      <c r="E28" s="356"/>
    </row>
    <row r="29" spans="1:5" s="502" customFormat="1" ht="50.25" customHeight="1">
      <c r="A29" s="1200" t="str">
        <f>CONCATENATE("Op regel ",'A-G'!A32," dient u in de eerste kolom de kosten voor onderhanden projecten van WZV-vergunningen per 31 december ",Voorblad!D3-1," volgens de jaarrekening op te nemen. U kunt de bedragen vermelden in de maand waarin het uitgevoerde werk is gefactureerd."," In de factor wordt rekening gehouden met een betalingstermijn van 1 maand. In de tweede kolom vult u de onderhanden WZV-investeringen in die in ",Voorblad!D3," in gebruik zijn genomen. ")</f>
        <v>Op regel 1518 dient u in de eerste kolom de kosten voor onderhanden projecten van WZV-vergunningen per 31 december 2003 volgens de jaarrekening op te nemen. U kunt de bedragen vermelden in de maand waarin het uitgevoerde werk is gefactureerd. In de factor wordt rekening gehouden met een betalingstermijn van 1 maand. In de tweede kolom vult u de onderhanden WZV-investeringen in die in 2004 in gebruik zijn genomen. </v>
      </c>
      <c r="B29" s="1200"/>
      <c r="C29" s="1200"/>
      <c r="D29" s="1200"/>
      <c r="E29" s="1200"/>
    </row>
    <row r="30" spans="1:5" ht="12">
      <c r="A30" s="1124" t="str">
        <f>'A-G'!A53</f>
        <v>C. </v>
      </c>
      <c r="B30" s="1124" t="str">
        <f>'A-G'!B53</f>
        <v>Werkelijke boekwaarde instandhoudingsinvesteringen (inclusief onderhanden werk)</v>
      </c>
      <c r="C30" s="1128"/>
      <c r="D30" s="1128"/>
      <c r="E30" s="356"/>
    </row>
    <row r="31" spans="1:5" ht="54" customHeight="1">
      <c r="A31" s="1217" t="str">
        <f>CONCATENATE("Op regel ",'A-G'!A54," dient u de samenstelling van de boekwaarde per 31 december ",Voorblad!D3-1," volgens de jaarrekening op te nemen. Voor instandhoudingsinvesteringen in uitvoering zijn twee varianten mogelijk."," U kunt er voor kiezen de investeringskosten aan het eind van het jaar direct te activeren en de afschrijving daarop in ",Voorblad!D3," te starten. U kunt er ook voor kiezen de investeringskosten te boeken op onderhanden werk. Alleen als u kiest voor de laatste variant dienen de regels ",'A-G'!A56," en ",'A-G'!A70," te worden ingevuld. Evenals in overzicht B wordt ook hier in de toegepaste factoren rekening gehouden met een betalingstermijn van 1 maand.")</f>
        <v>Op regel 1601 dient u de samenstelling van de boekwaarde per 31 december 2003 volgens de jaarrekening op te nemen. Voor instandhoudingsinvesteringen in uitvoering zijn twee varianten mogelijk. U kunt er voor kiezen de investeringskosten aan het eind van het jaar direct te activeren en de afschrijving daarop in 2004 te starten. U kunt er ook voor kiezen de investeringskosten te boeken op onderhanden werk. Alleen als u kiest voor de laatste variant dienen de regels 1603 en 1617 te worden ingevuld. Evenals in overzicht B wordt ook hier in de toegepaste factoren rekening gehouden met een betalingstermijn van 1 maand.</v>
      </c>
      <c r="B31" s="1200"/>
      <c r="C31" s="1200"/>
      <c r="D31" s="1200"/>
      <c r="E31" s="1200"/>
    </row>
    <row r="32" spans="1:5" s="459" customFormat="1" ht="15.75" customHeight="1">
      <c r="A32" s="1124" t="s">
        <v>289</v>
      </c>
      <c r="B32" s="1124" t="str">
        <f>'A-G'!B79</f>
        <v>Werkelijke boekwaarde medische en overige inventarissen</v>
      </c>
      <c r="C32" s="1122"/>
      <c r="D32" s="1122"/>
      <c r="E32" s="1126"/>
    </row>
    <row r="33" spans="1:5" s="459" customFormat="1" ht="32.25" customHeight="1">
      <c r="A33" s="1200" t="str">
        <f>CONCATENATE("U dient hier de werkelijke afschrijvingen in te vullen en deze vervolgens te vermenigvuldigen met de aangegeven factor. Het resultaat is de geschatte boekwaarde op basis van de werkelijke afschrijvingen van medische en overige inventarissen. ")</f>
        <v>U dient hier de werkelijke afschrijvingen in te vullen en deze vervolgens te vermenigvuldigen met de aangegeven factor. Het resultaat is de geschatte boekwaarde op basis van de werkelijke afschrijvingen van medische en overige inventarissen. </v>
      </c>
      <c r="B33" s="1200"/>
      <c r="C33" s="1200"/>
      <c r="D33" s="1200"/>
      <c r="E33" s="1200"/>
    </row>
    <row r="34" spans="1:5" s="459" customFormat="1" ht="15.75" customHeight="1">
      <c r="A34" s="1124" t="s">
        <v>290</v>
      </c>
      <c r="B34" s="1124" t="s">
        <v>291</v>
      </c>
      <c r="C34" s="1122"/>
      <c r="D34" s="1122"/>
      <c r="E34" s="1126"/>
    </row>
    <row r="35" spans="1:5" s="459" customFormat="1" ht="93.75" customHeight="1">
      <c r="A35" s="1200" t="s">
        <v>0</v>
      </c>
      <c r="B35" s="1200"/>
      <c r="C35" s="1200"/>
      <c r="D35" s="1200"/>
      <c r="E35" s="1200"/>
    </row>
    <row r="36" s="459" customFormat="1" ht="12" hidden="1">
      <c r="A36" s="458" t="s">
        <v>56</v>
      </c>
    </row>
    <row r="37" s="459" customFormat="1" ht="12" hidden="1">
      <c r="A37" s="458" t="s">
        <v>57</v>
      </c>
    </row>
    <row r="38" s="459" customFormat="1" ht="12" hidden="1">
      <c r="A38" s="458" t="s">
        <v>58</v>
      </c>
    </row>
    <row r="39" s="459" customFormat="1" ht="12" hidden="1">
      <c r="A39" s="458" t="s">
        <v>59</v>
      </c>
    </row>
    <row r="40" s="459" customFormat="1" ht="12" hidden="1">
      <c r="A40" s="458" t="s">
        <v>60</v>
      </c>
    </row>
    <row r="41" s="459" customFormat="1" ht="12" hidden="1">
      <c r="A41" s="458" t="s">
        <v>61</v>
      </c>
    </row>
    <row r="42" s="459" customFormat="1" ht="12" hidden="1">
      <c r="A42" s="458" t="s">
        <v>62</v>
      </c>
    </row>
    <row r="43" s="459" customFormat="1" ht="12" hidden="1">
      <c r="A43" s="458" t="s">
        <v>63</v>
      </c>
    </row>
    <row r="44" s="459" customFormat="1" ht="12" hidden="1">
      <c r="A44" s="458" t="s">
        <v>64</v>
      </c>
    </row>
    <row r="45" s="459" customFormat="1" ht="12" hidden="1">
      <c r="A45" s="458" t="s">
        <v>65</v>
      </c>
    </row>
    <row r="46" s="459" customFormat="1" ht="12" hidden="1">
      <c r="A46" s="458" t="s">
        <v>66</v>
      </c>
    </row>
    <row r="47" s="459" customFormat="1" ht="12" hidden="1">
      <c r="A47" s="458" t="s">
        <v>67</v>
      </c>
    </row>
    <row r="48" spans="1:5" s="459" customFormat="1" ht="12">
      <c r="A48" s="41" t="str">
        <f>H!A7</f>
        <v>H. </v>
      </c>
      <c r="B48" s="41" t="str">
        <f>H!B7</f>
        <v>Langlopende leningen (incl. langlopende leasecontracten)</v>
      </c>
      <c r="C48" s="590"/>
      <c r="D48" s="590"/>
      <c r="E48" s="42"/>
    </row>
    <row r="49" spans="1:5" s="459" customFormat="1" ht="27.75" customHeight="1">
      <c r="A49" s="1206" t="str">
        <f>CONCATENATE("1. In de kolom 'Datum normrente' moet voor leningen die vanaf 2001 zijn afgesloten de datum worden vermeld waarop het berekende normpercentage is vastgesteld. Dit is datum waarop de leningsovereenkomst tot stand is gekomen.")</f>
        <v>1. In de kolom 'Datum normrente' moet voor leningen die vanaf 2001 zijn afgesloten de datum worden vermeld waarop het berekende normpercentage is vastgesteld. Dit is datum waarop de leningsovereenkomst tot stand is gekomen.</v>
      </c>
      <c r="B49" s="1207"/>
      <c r="C49" s="1207"/>
      <c r="D49" s="1207"/>
      <c r="E49" s="1207"/>
    </row>
    <row r="50" spans="1:5" s="459" customFormat="1" ht="53.25" customHeight="1">
      <c r="A50" s="1206" t="str">
        <f>CONCATENATE("2. In de kolom 'einddatum rentevastperiode' dient de datum worden opgenomen waarop het huidige rentepercentage expireert. Als een bestaande lening in ",Voorblad!D3,"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f>
        <v>2. In de kolom 'einddatum rentevastperiode' dient de datum worden opgenomen waarop het huidige rentepercentage expireert. Als een bestaande lening in 2004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v>
      </c>
      <c r="B50" s="1207"/>
      <c r="C50" s="1207"/>
      <c r="D50" s="1207"/>
      <c r="E50" s="1207"/>
    </row>
    <row r="51" spans="1:5" s="459" customFormat="1" ht="29.25" customHeight="1">
      <c r="A51" s="1206" t="s">
        <v>181</v>
      </c>
      <c r="B51" s="1207"/>
      <c r="C51" s="1207"/>
      <c r="D51" s="1207"/>
      <c r="E51" s="1207"/>
    </row>
    <row r="52" spans="1:5" s="459" customFormat="1" ht="42.75" customHeight="1">
      <c r="A52" s="1206" t="s">
        <v>180</v>
      </c>
      <c r="B52" s="1207"/>
      <c r="C52" s="1207"/>
      <c r="D52" s="1207"/>
      <c r="E52" s="1207"/>
    </row>
    <row r="53" spans="1:5" s="459" customFormat="1" ht="42" customHeight="1">
      <c r="A53" s="1218" t="str">
        <f>CONCATENATE("4. In de kolommen van 'Storting/Aflossing ",Voorblad!D3,"'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f>
        <v>4. In de kolommen van 'Storting/Aflossing 2004'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v>
      </c>
      <c r="B53" s="1205"/>
      <c r="C53" s="1205"/>
      <c r="D53" s="1205"/>
      <c r="E53" s="1205"/>
    </row>
    <row r="54" spans="1:5" s="459" customFormat="1" ht="42" customHeight="1">
      <c r="A54" s="1205" t="s">
        <v>182</v>
      </c>
      <c r="B54" s="1205"/>
      <c r="C54" s="1205"/>
      <c r="D54" s="1205"/>
      <c r="E54" s="1205"/>
    </row>
    <row r="55" s="459" customFormat="1" ht="18.75" customHeight="1"/>
    <row r="56" spans="1:5" s="502" customFormat="1" ht="18" customHeight="1">
      <c r="A56" s="442" t="str">
        <f>CONCATENATE("Nacalculatieformulier ",Voorblad!D37)</f>
        <v>Nacalculatieformulier </v>
      </c>
      <c r="B56" s="534"/>
      <c r="C56" s="566"/>
      <c r="D56" s="582"/>
      <c r="E56" s="596">
        <f>+E22+1</f>
        <v>5</v>
      </c>
    </row>
    <row r="57" spans="1:5" s="502" customFormat="1" ht="11.25" customHeight="1">
      <c r="A57" s="1113"/>
      <c r="B57" s="503"/>
      <c r="C57" s="583"/>
      <c r="D57" s="583"/>
      <c r="E57" s="594"/>
    </row>
    <row r="58" spans="1:5" s="459" customFormat="1" ht="12">
      <c r="A58" s="41" t="str">
        <f>'I-J'!A6</f>
        <v>I. </v>
      </c>
      <c r="B58" s="41" t="str">
        <f>'I-J'!B6</f>
        <v>Eigen vermogen</v>
      </c>
      <c r="C58" s="42"/>
      <c r="D58" s="42"/>
      <c r="E58" s="42"/>
    </row>
    <row r="59" spans="1:5" s="459" customFormat="1" ht="50.25" customHeight="1">
      <c r="A59" s="1215" t="str">
        <f>CONCATENATE("Voor de bepaling van het resultaat dient te worden uitgegaan van het budget aanvaardbare kosten op kasbasis volgens de laatst bekende rekenstaat ",Voorblad!D3," , aangevuld met de budgetmutaties volgens het nacalculatieformulier ",Voorblad!D3," , uitgezonderd de mutatie op de rente. De gegevens op deze bijlage dienen aan te sluiten bij de jaarrekening. In het resultaat volgens de jaarrekening is het volledige resultaat op rente inbegrepen. Teneinde aanluiting te behouden kan op regel ",'I-J'!A18," de mutatie op rente worden opgenomen. Als het resultaat in de reserves is verwerkt, behoeft regel ",'I-J'!A17," niet te worden ingevuld.")</f>
        <v>Voor de bepaling van het resultaat dient te worden uitgegaan van het budget aanvaardbare kosten op kasbasis volgens de laatst bekende rekenstaat 2004 , aangevuld met de budgetmutaties volgens het nacalculatieformulier 2004 , uitgezonderd de mutatie op de rente. De gegevens op deze bijlage dienen aan te sluiten bij de jaarrekening. In het resultaat volgens de jaarrekening is het volledige resultaat op rente inbegrepen. Teneinde aanluiting te behouden kan op regel 2012 de mutatie op rente worden opgenomen. Als het resultaat in de reserves is verwerkt, behoeft regel 2011 niet te worden ingevuld.</v>
      </c>
      <c r="B59" s="1206"/>
      <c r="C59" s="1206"/>
      <c r="D59" s="1206"/>
      <c r="E59" s="1206"/>
    </row>
    <row r="60" spans="1:5" s="459" customFormat="1" ht="47.25" customHeight="1">
      <c r="A60" s="1215" t="str">
        <f>CONCATENATE(" Op regel ",'I-J'!A19,"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f>
        <v> Op regel 2013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v>
      </c>
      <c r="B60" s="1206"/>
      <c r="C60" s="1206"/>
      <c r="D60" s="1206"/>
      <c r="E60" s="1206"/>
    </row>
    <row r="61" spans="1:5" s="459" customFormat="1" ht="12">
      <c r="A61" s="41" t="str">
        <f>'I-J'!A25</f>
        <v>J. </v>
      </c>
      <c r="B61" s="41" t="str">
        <f>'I-J'!B25</f>
        <v>Rentekosten langlopende leningen</v>
      </c>
      <c r="C61" s="42"/>
      <c r="D61" s="42"/>
      <c r="E61" s="42"/>
    </row>
    <row r="62" spans="1:5" s="459" customFormat="1" ht="36" customHeight="1">
      <c r="A62" s="1206" t="s">
        <v>4</v>
      </c>
      <c r="B62" s="1206"/>
      <c r="C62" s="1206"/>
      <c r="D62" s="1206"/>
      <c r="E62" s="1206"/>
    </row>
    <row r="63" s="459" customFormat="1" ht="12">
      <c r="A63" s="458"/>
    </row>
    <row r="64" s="459" customFormat="1" ht="12">
      <c r="A64" s="458"/>
    </row>
  </sheetData>
  <sheetProtection password="CFAD" sheet="1" objects="1" scenarios="1"/>
  <mergeCells count="27">
    <mergeCell ref="A60:E60"/>
    <mergeCell ref="A62:E62"/>
    <mergeCell ref="A17:E17"/>
    <mergeCell ref="A59:E59"/>
    <mergeCell ref="A31:E31"/>
    <mergeCell ref="A53:E53"/>
    <mergeCell ref="A35:E35"/>
    <mergeCell ref="A33:E33"/>
    <mergeCell ref="A52:E52"/>
    <mergeCell ref="A25:E25"/>
    <mergeCell ref="A7:E7"/>
    <mergeCell ref="A9:E9"/>
    <mergeCell ref="A14:E14"/>
    <mergeCell ref="A8:B8"/>
    <mergeCell ref="A13:E13"/>
    <mergeCell ref="A12:B12"/>
    <mergeCell ref="A11:E11"/>
    <mergeCell ref="A54:E54"/>
    <mergeCell ref="A49:E49"/>
    <mergeCell ref="A50:E50"/>
    <mergeCell ref="A27:E27"/>
    <mergeCell ref="A29:E29"/>
    <mergeCell ref="A51:E51"/>
    <mergeCell ref="A20:E20"/>
    <mergeCell ref="A18:E18"/>
    <mergeCell ref="A15:E15"/>
    <mergeCell ref="A16:E16"/>
  </mergeCells>
  <printOptions/>
  <pageMargins left="0.3937007874015748" right="0.3937007874015748" top="0.3937007874015748" bottom="0.3937007874015748" header="0.5118110236220472" footer="0.5118110236220472"/>
  <pageSetup horizontalDpi="300" verticalDpi="300" orientation="landscape" paperSize="9" scale="76" r:id="rId2"/>
  <rowBreaks count="2" manualBreakCount="2">
    <brk id="20" max="255" man="1"/>
    <brk id="54" max="4" man="1"/>
  </rowBreaks>
  <drawing r:id="rId1"/>
</worksheet>
</file>

<file path=xl/worksheets/sheet5.xml><?xml version="1.0" encoding="utf-8"?>
<worksheet xmlns="http://schemas.openxmlformats.org/spreadsheetml/2006/main" xmlns:r="http://schemas.openxmlformats.org/officeDocument/2006/relationships">
  <sheetPr codeName="Blad5">
    <pageSetUpPr fitToPage="1"/>
  </sheetPr>
  <dimension ref="A1:AA30"/>
  <sheetViews>
    <sheetView showGridLines="0" tabSelected="1" zoomScale="86" zoomScaleNormal="86" workbookViewId="0" topLeftCell="A1">
      <selection activeCell="A1" sqref="A1"/>
    </sheetView>
  </sheetViews>
  <sheetFormatPr defaultColWidth="9.140625" defaultRowHeight="12.75"/>
  <cols>
    <col min="1" max="1" width="4.57421875" style="901" customWidth="1"/>
    <col min="2" max="2" width="64.00390625" style="565" customWidth="1"/>
    <col min="3" max="4" width="10.7109375" style="886" customWidth="1"/>
    <col min="5" max="5" width="19.57421875" style="886" bestFit="1" customWidth="1"/>
    <col min="6" max="6" width="13.7109375" style="896" bestFit="1" customWidth="1"/>
    <col min="7" max="7" width="13.28125" style="896" bestFit="1" customWidth="1"/>
    <col min="8" max="8" width="12.140625" style="886" customWidth="1"/>
    <col min="9" max="9" width="15.57421875" style="886" customWidth="1"/>
    <col min="10" max="10" width="18.7109375" style="886" customWidth="1"/>
    <col min="11" max="11" width="9.140625" style="565" customWidth="1"/>
    <col min="12" max="12" width="12.00390625" style="565" customWidth="1"/>
    <col min="13" max="14" width="9.140625" style="565" customWidth="1"/>
    <col min="15" max="15" width="25.421875" style="565" customWidth="1"/>
    <col min="16" max="16384" width="9.140625" style="565" customWidth="1"/>
  </cols>
  <sheetData>
    <row r="1" spans="1:12" s="457" customFormat="1" ht="15.75" customHeight="1">
      <c r="A1" s="910"/>
      <c r="B1" s="459"/>
      <c r="C1" s="563"/>
      <c r="D1" s="459"/>
      <c r="E1" s="459"/>
      <c r="G1" s="455"/>
      <c r="I1" s="909"/>
      <c r="J1" s="455"/>
      <c r="K1" s="455"/>
      <c r="L1" s="455"/>
    </row>
    <row r="2" spans="1:12" s="502" customFormat="1" ht="15.75" customHeight="1">
      <c r="A2" s="442" t="str">
        <f>CONCATENATE("Nacalculatieformulier ",Voorblad!D3)</f>
        <v>Nacalculatieformulier 2004</v>
      </c>
      <c r="B2" s="597"/>
      <c r="C2" s="597"/>
      <c r="D2" s="597"/>
      <c r="E2" s="601" t="b">
        <f>Voorblad!D30</f>
        <v>1</v>
      </c>
      <c r="F2" s="597"/>
      <c r="G2" s="597"/>
      <c r="H2" s="597"/>
      <c r="I2" s="537"/>
      <c r="J2" s="596">
        <f>+instructie!E56+1</f>
        <v>6</v>
      </c>
      <c r="K2" s="91"/>
      <c r="L2" s="91"/>
    </row>
    <row r="3" spans="1:12" s="502" customFormat="1" ht="15.75" customHeight="1">
      <c r="A3" s="923"/>
      <c r="B3" s="91"/>
      <c r="C3" s="91"/>
      <c r="D3" s="91"/>
      <c r="E3" s="924"/>
      <c r="F3" s="91"/>
      <c r="G3" s="91"/>
      <c r="H3" s="91"/>
      <c r="I3" s="503"/>
      <c r="J3" s="594"/>
      <c r="K3" s="91"/>
      <c r="L3" s="91"/>
    </row>
    <row r="4" spans="1:12" ht="12" customHeight="1">
      <c r="A4" s="911" t="s">
        <v>266</v>
      </c>
      <c r="B4" s="887"/>
      <c r="C4" s="887"/>
      <c r="D4" s="565"/>
      <c r="E4" s="565"/>
      <c r="F4" s="565"/>
      <c r="G4" s="565"/>
      <c r="H4" s="565"/>
      <c r="I4" s="565"/>
      <c r="J4" s="565"/>
      <c r="K4" s="880"/>
      <c r="L4" s="880"/>
    </row>
    <row r="5" spans="2:27" ht="12.75" customHeight="1">
      <c r="B5" s="887"/>
      <c r="E5" s="914"/>
      <c r="O5"/>
      <c r="P5"/>
      <c r="Q5"/>
      <c r="R5"/>
      <c r="S5"/>
      <c r="T5"/>
      <c r="U5"/>
      <c r="V5"/>
      <c r="W5"/>
      <c r="X5"/>
      <c r="Y5"/>
      <c r="Z5"/>
      <c r="AA5"/>
    </row>
    <row r="6" spans="1:26" ht="12.75" customHeight="1">
      <c r="A6" s="911" t="s">
        <v>416</v>
      </c>
      <c r="B6" s="887" t="str">
        <f>CONCATENATE("Productieaantallen en realisatie ",Voorblad!D3,"")</f>
        <v>Productieaantallen en realisatie 2004</v>
      </c>
      <c r="C6" s="905" t="s">
        <v>284</v>
      </c>
      <c r="D6" s="912" t="s">
        <v>371</v>
      </c>
      <c r="E6" s="905" t="s">
        <v>283</v>
      </c>
      <c r="F6" s="1227" t="s">
        <v>282</v>
      </c>
      <c r="G6" s="1228"/>
      <c r="H6" s="1225" t="s">
        <v>471</v>
      </c>
      <c r="I6" s="1226"/>
      <c r="J6" s="565"/>
      <c r="N6"/>
      <c r="O6"/>
      <c r="P6"/>
      <c r="Q6"/>
      <c r="R6"/>
      <c r="S6"/>
      <c r="T6"/>
      <c r="U6"/>
      <c r="V6"/>
      <c r="W6"/>
      <c r="X6"/>
      <c r="Y6"/>
      <c r="Z6"/>
    </row>
    <row r="7" spans="3:26" ht="12.75" customHeight="1">
      <c r="C7" s="906">
        <f>Voorblad!D3</f>
        <v>2004</v>
      </c>
      <c r="D7" s="907">
        <f>Voorblad!D3</f>
        <v>2004</v>
      </c>
      <c r="E7" s="913"/>
      <c r="F7" s="1232" t="s">
        <v>212</v>
      </c>
      <c r="G7" s="1233"/>
      <c r="H7" s="1234" t="s">
        <v>212</v>
      </c>
      <c r="I7" s="1235"/>
      <c r="J7" s="565"/>
      <c r="N7"/>
      <c r="O7"/>
      <c r="P7"/>
      <c r="Q7"/>
      <c r="R7"/>
      <c r="S7"/>
      <c r="T7"/>
      <c r="U7"/>
      <c r="V7"/>
      <c r="W7"/>
      <c r="X7"/>
      <c r="Y7"/>
      <c r="Z7"/>
    </row>
    <row r="8" spans="2:26" ht="12.75" customHeight="1">
      <c r="B8" s="880"/>
      <c r="C8" s="898"/>
      <c r="D8" s="898"/>
      <c r="E8" s="898"/>
      <c r="F8" s="899"/>
      <c r="G8" s="899"/>
      <c r="H8" s="898"/>
      <c r="I8" s="898"/>
      <c r="J8" s="565"/>
      <c r="N8"/>
      <c r="O8"/>
      <c r="P8"/>
      <c r="Q8"/>
      <c r="R8"/>
      <c r="S8"/>
      <c r="T8"/>
      <c r="U8"/>
      <c r="V8"/>
      <c r="W8"/>
      <c r="X8"/>
      <c r="Y8"/>
      <c r="Z8"/>
    </row>
    <row r="9" spans="2:23" ht="12.75" customHeight="1">
      <c r="B9" s="886"/>
      <c r="C9" s="896"/>
      <c r="D9" s="896"/>
      <c r="F9" s="886"/>
      <c r="G9" s="565"/>
      <c r="H9" s="565"/>
      <c r="I9" s="565"/>
      <c r="J9" s="565"/>
      <c r="K9"/>
      <c r="L9"/>
      <c r="M9"/>
      <c r="N9"/>
      <c r="O9"/>
      <c r="P9"/>
      <c r="Q9"/>
      <c r="R9"/>
      <c r="S9"/>
      <c r="T9"/>
      <c r="U9"/>
      <c r="V9"/>
      <c r="W9"/>
    </row>
    <row r="10" spans="10:26" ht="12" customHeight="1">
      <c r="J10" s="565"/>
      <c r="N10"/>
      <c r="O10"/>
      <c r="P10"/>
      <c r="Q10"/>
      <c r="R10"/>
      <c r="S10"/>
      <c r="T10"/>
      <c r="U10"/>
      <c r="V10"/>
      <c r="W10"/>
      <c r="X10"/>
      <c r="Y10"/>
      <c r="Z10"/>
    </row>
    <row r="11" spans="1:26" ht="12" customHeight="1">
      <c r="A11" s="916">
        <f>J2*100+1</f>
        <v>601</v>
      </c>
      <c r="B11" s="869" t="s">
        <v>115</v>
      </c>
      <c r="C11" s="1115"/>
      <c r="D11" s="1115"/>
      <c r="E11" s="1110">
        <f>+C11-D11</f>
        <v>0</v>
      </c>
      <c r="F11" s="1223">
        <v>1890.81</v>
      </c>
      <c r="G11" s="1224"/>
      <c r="H11" s="1221">
        <f>+F11*E11</f>
        <v>0</v>
      </c>
      <c r="I11" s="1222"/>
      <c r="J11" s="565"/>
      <c r="N11"/>
      <c r="O11"/>
      <c r="P11"/>
      <c r="Q11"/>
      <c r="R11"/>
      <c r="S11"/>
      <c r="T11"/>
      <c r="U11"/>
      <c r="V11"/>
      <c r="W11"/>
      <c r="X11"/>
      <c r="Y11"/>
      <c r="Z11"/>
    </row>
    <row r="12" spans="1:26" ht="12" customHeight="1">
      <c r="A12" s="916">
        <f aca="true" t="shared" si="0" ref="A12:A18">A11+1</f>
        <v>602</v>
      </c>
      <c r="B12" s="869" t="s">
        <v>116</v>
      </c>
      <c r="C12" s="1115"/>
      <c r="D12" s="1115"/>
      <c r="E12" s="1110">
        <f aca="true" t="shared" si="1" ref="E12:E18">+C12-D12</f>
        <v>0</v>
      </c>
      <c r="F12" s="1223">
        <v>79.1</v>
      </c>
      <c r="G12" s="1224"/>
      <c r="H12" s="1221">
        <f aca="true" t="shared" si="2" ref="H12:H18">+F12*E12</f>
        <v>0</v>
      </c>
      <c r="I12" s="1222"/>
      <c r="J12" s="565"/>
      <c r="N12"/>
      <c r="O12"/>
      <c r="P12"/>
      <c r="Q12"/>
      <c r="R12"/>
      <c r="S12"/>
      <c r="T12"/>
      <c r="U12"/>
      <c r="V12"/>
      <c r="W12"/>
      <c r="X12"/>
      <c r="Y12"/>
      <c r="Z12"/>
    </row>
    <row r="13" spans="1:26" ht="12" customHeight="1">
      <c r="A13" s="916">
        <f t="shared" si="0"/>
        <v>603</v>
      </c>
      <c r="B13" s="869" t="s">
        <v>117</v>
      </c>
      <c r="C13" s="1115"/>
      <c r="D13" s="1115"/>
      <c r="E13" s="1110">
        <f t="shared" si="1"/>
        <v>0</v>
      </c>
      <c r="F13" s="1223">
        <v>52.74</v>
      </c>
      <c r="G13" s="1224"/>
      <c r="H13" s="1221">
        <f t="shared" si="2"/>
        <v>0</v>
      </c>
      <c r="I13" s="1222"/>
      <c r="J13" s="565"/>
      <c r="N13"/>
      <c r="O13"/>
      <c r="P13"/>
      <c r="Q13"/>
      <c r="R13"/>
      <c r="S13"/>
      <c r="T13"/>
      <c r="U13"/>
      <c r="V13"/>
      <c r="W13"/>
      <c r="X13"/>
      <c r="Y13"/>
      <c r="Z13"/>
    </row>
    <row r="14" spans="1:26" ht="12" customHeight="1">
      <c r="A14" s="916">
        <f t="shared" si="0"/>
        <v>604</v>
      </c>
      <c r="B14" s="869" t="s">
        <v>242</v>
      </c>
      <c r="C14" s="1115"/>
      <c r="D14" s="1115"/>
      <c r="E14" s="1110">
        <f t="shared" si="1"/>
        <v>0</v>
      </c>
      <c r="F14" s="1223">
        <v>263.68</v>
      </c>
      <c r="G14" s="1224"/>
      <c r="H14" s="1221">
        <f t="shared" si="2"/>
        <v>0</v>
      </c>
      <c r="I14" s="1222"/>
      <c r="J14" s="565"/>
      <c r="N14"/>
      <c r="O14"/>
      <c r="P14"/>
      <c r="Q14"/>
      <c r="R14"/>
      <c r="S14"/>
      <c r="T14"/>
      <c r="U14"/>
      <c r="V14"/>
      <c r="W14"/>
      <c r="X14"/>
      <c r="Y14"/>
      <c r="Z14"/>
    </row>
    <row r="15" spans="1:26" ht="12" customHeight="1">
      <c r="A15" s="916">
        <f t="shared" si="0"/>
        <v>605</v>
      </c>
      <c r="B15" s="869" t="s">
        <v>118</v>
      </c>
      <c r="C15" s="1115"/>
      <c r="D15" s="1115"/>
      <c r="E15" s="1110">
        <f t="shared" si="1"/>
        <v>0</v>
      </c>
      <c r="F15" s="1223">
        <v>230.72</v>
      </c>
      <c r="G15" s="1224"/>
      <c r="H15" s="1221">
        <f t="shared" si="2"/>
        <v>0</v>
      </c>
      <c r="I15" s="1222"/>
      <c r="J15" s="565"/>
      <c r="N15"/>
      <c r="O15"/>
      <c r="P15"/>
      <c r="Q15"/>
      <c r="R15"/>
      <c r="S15"/>
      <c r="T15"/>
      <c r="U15"/>
      <c r="V15"/>
      <c r="W15"/>
      <c r="X15"/>
      <c r="Y15"/>
      <c r="Z15"/>
    </row>
    <row r="16" spans="1:26" ht="12" customHeight="1">
      <c r="A16" s="917">
        <f>A15+1</f>
        <v>606</v>
      </c>
      <c r="B16" s="869" t="s">
        <v>19</v>
      </c>
      <c r="C16" s="1115"/>
      <c r="D16" s="1115"/>
      <c r="E16" s="1110">
        <f t="shared" si="1"/>
        <v>0</v>
      </c>
      <c r="F16" s="1223">
        <v>6216.26</v>
      </c>
      <c r="G16" s="1224"/>
      <c r="H16" s="1221">
        <f>+F16*E16</f>
        <v>0</v>
      </c>
      <c r="I16" s="1222"/>
      <c r="J16" s="565"/>
      <c r="N16"/>
      <c r="O16"/>
      <c r="P16"/>
      <c r="Q16"/>
      <c r="R16"/>
      <c r="S16"/>
      <c r="T16"/>
      <c r="U16"/>
      <c r="V16"/>
      <c r="W16"/>
      <c r="X16"/>
      <c r="Y16"/>
      <c r="Z16"/>
    </row>
    <row r="17" spans="1:26" ht="12" customHeight="1">
      <c r="A17" s="917">
        <f t="shared" si="0"/>
        <v>607</v>
      </c>
      <c r="B17" s="869" t="s">
        <v>20</v>
      </c>
      <c r="C17" s="1115"/>
      <c r="D17" s="1115"/>
      <c r="E17" s="1110">
        <f t="shared" si="1"/>
        <v>0</v>
      </c>
      <c r="F17" s="1223">
        <v>4266.12</v>
      </c>
      <c r="G17" s="1224"/>
      <c r="H17" s="1221">
        <f t="shared" si="2"/>
        <v>0</v>
      </c>
      <c r="I17" s="1222"/>
      <c r="J17" s="565"/>
      <c r="N17"/>
      <c r="O17"/>
      <c r="P17"/>
      <c r="Q17"/>
      <c r="R17"/>
      <c r="S17"/>
      <c r="T17"/>
      <c r="U17"/>
      <c r="V17"/>
      <c r="W17"/>
      <c r="X17"/>
      <c r="Y17"/>
      <c r="Z17"/>
    </row>
    <row r="18" spans="1:26" ht="12" customHeight="1">
      <c r="A18" s="917">
        <f t="shared" si="0"/>
        <v>608</v>
      </c>
      <c r="B18" s="869" t="s">
        <v>21</v>
      </c>
      <c r="C18" s="1115"/>
      <c r="D18" s="1115"/>
      <c r="E18" s="1110">
        <f t="shared" si="1"/>
        <v>0</v>
      </c>
      <c r="F18" s="1223">
        <v>2285.23</v>
      </c>
      <c r="G18" s="1224"/>
      <c r="H18" s="1221">
        <f t="shared" si="2"/>
        <v>0</v>
      </c>
      <c r="I18" s="1222"/>
      <c r="J18" s="565"/>
      <c r="N18"/>
      <c r="O18"/>
      <c r="P18"/>
      <c r="Q18"/>
      <c r="R18"/>
      <c r="S18"/>
      <c r="T18"/>
      <c r="U18"/>
      <c r="V18"/>
      <c r="W18"/>
      <c r="X18"/>
      <c r="Y18"/>
      <c r="Z18"/>
    </row>
    <row r="19" spans="2:26" ht="12" customHeight="1">
      <c r="B19" s="565" t="s">
        <v>462</v>
      </c>
      <c r="H19" s="1230">
        <f>SUM(H11:H18)</f>
        <v>0</v>
      </c>
      <c r="I19" s="1231"/>
      <c r="J19" s="565"/>
      <c r="N19"/>
      <c r="O19"/>
      <c r="P19"/>
      <c r="Q19"/>
      <c r="R19"/>
      <c r="S19"/>
      <c r="T19"/>
      <c r="U19"/>
      <c r="V19"/>
      <c r="W19"/>
      <c r="X19"/>
      <c r="Y19"/>
      <c r="Z19"/>
    </row>
    <row r="20" spans="12:27" ht="11.25" customHeight="1">
      <c r="L20" s="895"/>
      <c r="O20"/>
      <c r="P20"/>
      <c r="Q20"/>
      <c r="R20"/>
      <c r="S20"/>
      <c r="T20"/>
      <c r="U20"/>
      <c r="V20"/>
      <c r="W20"/>
      <c r="X20"/>
      <c r="Y20"/>
      <c r="Z20"/>
      <c r="AA20"/>
    </row>
    <row r="21" spans="12:27" ht="12" customHeight="1">
      <c r="L21" s="895"/>
      <c r="O21"/>
      <c r="P21"/>
      <c r="Q21"/>
      <c r="R21"/>
      <c r="S21"/>
      <c r="T21"/>
      <c r="U21"/>
      <c r="V21"/>
      <c r="W21"/>
      <c r="X21"/>
      <c r="Y21"/>
      <c r="Z21"/>
      <c r="AA21"/>
    </row>
    <row r="22" spans="1:27" ht="13.5" customHeight="1">
      <c r="A22" s="911" t="s">
        <v>417</v>
      </c>
      <c r="B22" s="1229" t="s">
        <v>451</v>
      </c>
      <c r="C22" s="1229"/>
      <c r="D22" s="1229"/>
      <c r="E22" s="1229"/>
      <c r="F22" s="1229"/>
      <c r="G22" s="1229"/>
      <c r="H22" s="1229"/>
      <c r="I22" s="1229"/>
      <c r="J22" s="1229"/>
      <c r="L22" s="895"/>
      <c r="O22"/>
      <c r="P22"/>
      <c r="Q22"/>
      <c r="R22"/>
      <c r="S22"/>
      <c r="T22"/>
      <c r="U22"/>
      <c r="V22"/>
      <c r="W22"/>
      <c r="X22"/>
      <c r="Y22"/>
      <c r="Z22"/>
      <c r="AA22"/>
    </row>
    <row r="23" spans="12:27" ht="12" customHeight="1">
      <c r="L23" s="895"/>
      <c r="O23"/>
      <c r="P23"/>
      <c r="Q23"/>
      <c r="R23"/>
      <c r="S23"/>
      <c r="T23"/>
      <c r="U23"/>
      <c r="V23"/>
      <c r="W23"/>
      <c r="X23"/>
      <c r="Y23"/>
      <c r="Z23"/>
      <c r="AA23"/>
    </row>
    <row r="24" spans="1:20" ht="12" customHeight="1">
      <c r="A24" s="887" t="s">
        <v>412</v>
      </c>
      <c r="B24" s="887" t="s">
        <v>452</v>
      </c>
      <c r="C24" s="565"/>
      <c r="D24" s="565"/>
      <c r="E24" s="997" t="s">
        <v>453</v>
      </c>
      <c r="F24" s="904" t="s">
        <v>454</v>
      </c>
      <c r="G24" s="904" t="s">
        <v>41</v>
      </c>
      <c r="L24" s="895"/>
      <c r="M24" s="886"/>
      <c r="N24" s="886"/>
      <c r="O24" s="886"/>
      <c r="P24" s="902"/>
      <c r="Q24" s="902"/>
      <c r="R24" s="903"/>
      <c r="S24" s="903"/>
      <c r="T24" s="903"/>
    </row>
    <row r="25" spans="1:20" ht="13.5" customHeight="1">
      <c r="A25" s="565"/>
      <c r="B25" s="911"/>
      <c r="C25" s="565"/>
      <c r="D25" s="565"/>
      <c r="E25" s="998" t="s">
        <v>455</v>
      </c>
      <c r="F25" s="915">
        <f>+C7</f>
        <v>2004</v>
      </c>
      <c r="G25" s="998"/>
      <c r="L25" s="895"/>
      <c r="M25" s="886"/>
      <c r="N25" s="886"/>
      <c r="O25" s="886"/>
      <c r="P25" s="902"/>
      <c r="Q25" s="902"/>
      <c r="R25" s="903"/>
      <c r="S25" s="903"/>
      <c r="T25" s="903"/>
    </row>
    <row r="26" spans="1:20" ht="12" customHeight="1">
      <c r="A26" s="565"/>
      <c r="B26" s="911"/>
      <c r="C26" s="565"/>
      <c r="D26" s="565"/>
      <c r="E26" s="897"/>
      <c r="F26" s="897"/>
      <c r="G26" s="897"/>
      <c r="L26" s="895"/>
      <c r="M26" s="886"/>
      <c r="N26" s="886"/>
      <c r="O26" s="886"/>
      <c r="P26" s="896"/>
      <c r="Q26" s="896"/>
      <c r="R26" s="903"/>
      <c r="S26" s="903"/>
      <c r="T26" s="903"/>
    </row>
    <row r="27" spans="1:20" ht="12" customHeight="1">
      <c r="A27" s="916">
        <f>A18+1</f>
        <v>609</v>
      </c>
      <c r="B27" s="869" t="s">
        <v>452</v>
      </c>
      <c r="C27" s="925"/>
      <c r="D27" s="1109"/>
      <c r="E27" s="1111"/>
      <c r="F27" s="1111"/>
      <c r="G27" s="1112">
        <f>E27-F27</f>
        <v>0</v>
      </c>
      <c r="M27" s="886"/>
      <c r="N27" s="886"/>
      <c r="O27" s="886"/>
      <c r="P27" s="896"/>
      <c r="Q27" s="896"/>
      <c r="R27" s="903"/>
      <c r="S27" s="903"/>
      <c r="T27" s="903"/>
    </row>
    <row r="28" spans="13:20" ht="12" customHeight="1">
      <c r="M28" s="886"/>
      <c r="N28" s="886"/>
      <c r="O28" s="886"/>
      <c r="P28" s="896"/>
      <c r="Q28" s="896"/>
      <c r="R28" s="903"/>
      <c r="S28" s="903"/>
      <c r="T28" s="903"/>
    </row>
    <row r="29" spans="14:20" ht="12" customHeight="1">
      <c r="N29" s="886"/>
      <c r="O29" s="886"/>
      <c r="P29" s="896"/>
      <c r="Q29" s="896"/>
      <c r="R29" s="903"/>
      <c r="S29" s="903"/>
      <c r="T29" s="903"/>
    </row>
    <row r="30" spans="14:20" ht="12" customHeight="1">
      <c r="N30" s="886"/>
      <c r="O30" s="886"/>
      <c r="P30" s="896"/>
      <c r="Q30" s="896"/>
      <c r="R30" s="903"/>
      <c r="S30" s="903"/>
      <c r="T30" s="903"/>
    </row>
  </sheetData>
  <sheetProtection password="CFAD" sheet="1" objects="1" scenarios="1"/>
  <mergeCells count="22">
    <mergeCell ref="F13:G13"/>
    <mergeCell ref="F14:G14"/>
    <mergeCell ref="F15:G15"/>
    <mergeCell ref="F17:G17"/>
    <mergeCell ref="F7:G7"/>
    <mergeCell ref="H7:I7"/>
    <mergeCell ref="F11:G11"/>
    <mergeCell ref="F12:G12"/>
    <mergeCell ref="H6:I6"/>
    <mergeCell ref="F6:G6"/>
    <mergeCell ref="B22:J22"/>
    <mergeCell ref="H11:I11"/>
    <mergeCell ref="H12:I12"/>
    <mergeCell ref="H13:I13"/>
    <mergeCell ref="H14:I14"/>
    <mergeCell ref="H15:I15"/>
    <mergeCell ref="H17:I17"/>
    <mergeCell ref="H19:I19"/>
    <mergeCell ref="H18:I18"/>
    <mergeCell ref="F16:G16"/>
    <mergeCell ref="H16:I16"/>
    <mergeCell ref="F18:G18"/>
  </mergeCells>
  <conditionalFormatting sqref="C11:D18">
    <cfRule type="expression" priority="1" dxfId="0" stopIfTrue="1">
      <formula>$E$2=TRUE</formula>
    </cfRule>
  </conditionalFormatting>
  <conditionalFormatting sqref="E27:F27">
    <cfRule type="expression" priority="2" dxfId="0" stopIfTrue="1">
      <formula>$E$2=TRUE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scale="75" r:id="rId2"/>
  <drawing r:id="rId1"/>
</worksheet>
</file>

<file path=xl/worksheets/sheet6.xml><?xml version="1.0" encoding="utf-8"?>
<worksheet xmlns="http://schemas.openxmlformats.org/spreadsheetml/2006/main" xmlns:r="http://schemas.openxmlformats.org/officeDocument/2006/relationships">
  <sheetPr codeName="Blad11">
    <pageSetUpPr fitToPage="1"/>
  </sheetPr>
  <dimension ref="A1:P36"/>
  <sheetViews>
    <sheetView showGridLines="0" zoomScale="86" zoomScaleNormal="86" workbookViewId="0" topLeftCell="A1">
      <selection activeCell="F48" sqref="F48"/>
    </sheetView>
  </sheetViews>
  <sheetFormatPr defaultColWidth="9.140625" defaultRowHeight="12.75"/>
  <cols>
    <col min="1" max="1" width="5.421875" style="458" customWidth="1"/>
    <col min="2" max="2" width="5.8515625" style="459" customWidth="1"/>
    <col min="3" max="3" width="25.57421875" style="459" customWidth="1"/>
    <col min="4" max="4" width="12.00390625" style="462" customWidth="1"/>
    <col min="5" max="5" width="12.8515625" style="459" customWidth="1"/>
    <col min="6" max="6" width="9.421875" style="459" customWidth="1"/>
    <col min="7" max="7" width="5.28125" style="461" customWidth="1"/>
    <col min="8" max="8" width="24.28125" style="458" customWidth="1"/>
    <col min="9" max="9" width="27.28125" style="459" customWidth="1"/>
    <col min="10" max="10" width="11.8515625" style="468" customWidth="1"/>
    <col min="11" max="11" width="10.28125" style="459" customWidth="1"/>
    <col min="12" max="12" width="8.7109375" style="459" customWidth="1"/>
    <col min="13" max="13" width="12.7109375" style="459" customWidth="1"/>
    <col min="14" max="14" width="1.7109375" style="457" customWidth="1"/>
    <col min="15" max="15" width="10.7109375" style="457" customWidth="1"/>
    <col min="16" max="16" width="10.7109375" style="455" customWidth="1"/>
    <col min="17" max="21" width="10.7109375" style="457" customWidth="1"/>
    <col min="22" max="29" width="9.140625" style="457" customWidth="1"/>
    <col min="30" max="30" width="1.7109375" style="457" customWidth="1"/>
    <col min="31" max="16384" width="9.140625" style="457" customWidth="1"/>
  </cols>
  <sheetData>
    <row r="1" ht="15.75" customHeight="1">
      <c r="L1" s="468"/>
    </row>
    <row r="2" spans="1:16" s="502" customFormat="1" ht="15.75" customHeight="1">
      <c r="A2" s="1023" t="str">
        <f>CONCATENATE("Nacalculatieformulier ",Voorblad!D3)</f>
        <v>Nacalculatieformulier 2004</v>
      </c>
      <c r="B2" s="597"/>
      <c r="C2" s="597"/>
      <c r="D2" s="598"/>
      <c r="E2" s="599"/>
      <c r="F2" s="599"/>
      <c r="G2" s="600" t="b">
        <f>Voorblad!D30</f>
        <v>1</v>
      </c>
      <c r="H2" s="599"/>
      <c r="I2" s="597"/>
      <c r="J2" s="596">
        <f>+Productie!J2+1</f>
        <v>7</v>
      </c>
      <c r="L2" s="924"/>
      <c r="P2" s="503"/>
    </row>
    <row r="3" spans="1:16" ht="12">
      <c r="A3" s="41"/>
      <c r="B3" s="42"/>
      <c r="C3" s="42"/>
      <c r="D3" s="43"/>
      <c r="E3" s="42"/>
      <c r="F3" s="42"/>
      <c r="G3" s="41"/>
      <c r="H3" s="90"/>
      <c r="I3" s="42"/>
      <c r="J3" s="90"/>
      <c r="K3" s="457"/>
      <c r="L3" s="455"/>
      <c r="M3" s="455"/>
      <c r="P3" s="457"/>
    </row>
    <row r="4" spans="1:16" ht="12.75" customHeight="1">
      <c r="A4" s="14" t="str">
        <f>CONCATENATE("RUBRIEK 2: WERKELIJKE OPBRENGSTEN ")</f>
        <v>RUBRIEK 2: WERKELIJKE OPBRENGSTEN </v>
      </c>
      <c r="B4" s="95"/>
      <c r="C4" s="95"/>
      <c r="D4" s="602"/>
      <c r="E4" s="387"/>
      <c r="F4" s="603"/>
      <c r="G4" s="95"/>
      <c r="H4" s="42"/>
      <c r="I4" s="95"/>
      <c r="J4" s="95"/>
      <c r="K4" s="95"/>
      <c r="L4" s="455"/>
      <c r="M4" s="457"/>
      <c r="P4" s="457"/>
    </row>
    <row r="5" spans="1:16" ht="12.75" customHeight="1">
      <c r="A5" s="41"/>
      <c r="B5" s="605"/>
      <c r="C5" s="605"/>
      <c r="D5" s="605"/>
      <c r="E5" s="605"/>
      <c r="F5" s="605"/>
      <c r="G5" s="605"/>
      <c r="H5" s="605"/>
      <c r="I5" s="605"/>
      <c r="J5" s="605"/>
      <c r="K5" s="457"/>
      <c r="L5" s="457"/>
      <c r="M5" s="457"/>
      <c r="P5" s="457"/>
    </row>
    <row r="6" spans="1:10" s="502" customFormat="1" ht="12.75" customHeight="1">
      <c r="A6" s="592"/>
      <c r="B6" s="606" t="s">
        <v>81</v>
      </c>
      <c r="C6" s="606" t="s">
        <v>367</v>
      </c>
      <c r="D6" s="607" t="s">
        <v>425</v>
      </c>
      <c r="E6" s="608" t="s">
        <v>424</v>
      </c>
      <c r="F6" s="609"/>
      <c r="G6" s="610"/>
      <c r="H6" s="1240" t="s">
        <v>367</v>
      </c>
      <c r="I6" s="1241"/>
      <c r="J6" s="608" t="s">
        <v>424</v>
      </c>
    </row>
    <row r="7" spans="1:16" ht="12.75" customHeight="1">
      <c r="A7" s="561"/>
      <c r="B7" s="561"/>
      <c r="C7" s="561"/>
      <c r="E7" s="611"/>
      <c r="F7" s="561"/>
      <c r="G7" s="561"/>
      <c r="H7" s="561"/>
      <c r="I7" s="561"/>
      <c r="J7" s="561"/>
      <c r="K7" s="457"/>
      <c r="L7" s="457"/>
      <c r="M7" s="457"/>
      <c r="P7" s="457"/>
    </row>
    <row r="8" spans="1:9" s="455" customFormat="1" ht="12.75" customHeight="1">
      <c r="A8" s="26" t="s">
        <v>131</v>
      </c>
      <c r="B8" s="27" t="s">
        <v>226</v>
      </c>
      <c r="C8" s="27"/>
      <c r="D8" s="452"/>
      <c r="E8" s="454"/>
      <c r="F8" s="561"/>
      <c r="G8" s="26" t="s">
        <v>429</v>
      </c>
      <c r="H8" s="27" t="s">
        <v>147</v>
      </c>
      <c r="I8" s="453"/>
    </row>
    <row r="9" spans="1:10" s="455" customFormat="1" ht="12.75" customHeight="1">
      <c r="A9" s="733">
        <f>(100*J2)+1</f>
        <v>701</v>
      </c>
      <c r="B9" s="869" t="s">
        <v>219</v>
      </c>
      <c r="C9" s="926" t="s">
        <v>213</v>
      </c>
      <c r="D9" s="433"/>
      <c r="E9" s="433"/>
      <c r="F9" s="451"/>
      <c r="G9" s="733">
        <f>A23+1</f>
        <v>713</v>
      </c>
      <c r="H9" s="1242" t="s">
        <v>148</v>
      </c>
      <c r="I9" s="1243"/>
      <c r="J9" s="433"/>
    </row>
    <row r="10" spans="1:16" ht="12.75" customHeight="1">
      <c r="A10" s="733">
        <f aca="true" t="shared" si="0" ref="A10:A15">A9+1</f>
        <v>702</v>
      </c>
      <c r="B10" s="869" t="s">
        <v>220</v>
      </c>
      <c r="C10" s="926" t="s">
        <v>214</v>
      </c>
      <c r="D10" s="433"/>
      <c r="E10" s="433"/>
      <c r="F10" s="451"/>
      <c r="G10" s="733">
        <f aca="true" t="shared" si="1" ref="G10:G20">G9+1</f>
        <v>714</v>
      </c>
      <c r="H10" s="1242" t="s">
        <v>149</v>
      </c>
      <c r="I10" s="1243"/>
      <c r="J10" s="433"/>
      <c r="K10" s="457"/>
      <c r="L10" s="457"/>
      <c r="M10" s="457"/>
      <c r="P10" s="457"/>
    </row>
    <row r="11" spans="1:16" ht="12.75" customHeight="1">
      <c r="A11" s="733">
        <f t="shared" si="0"/>
        <v>703</v>
      </c>
      <c r="B11" s="869" t="s">
        <v>221</v>
      </c>
      <c r="C11" s="926" t="s">
        <v>215</v>
      </c>
      <c r="D11" s="433"/>
      <c r="E11" s="433"/>
      <c r="F11" s="456"/>
      <c r="G11" s="733">
        <f t="shared" si="1"/>
        <v>715</v>
      </c>
      <c r="H11" s="1242" t="s">
        <v>150</v>
      </c>
      <c r="I11" s="1243"/>
      <c r="J11" s="433"/>
      <c r="K11" s="457"/>
      <c r="L11" s="457"/>
      <c r="M11" s="457"/>
      <c r="P11" s="457"/>
    </row>
    <row r="12" spans="1:16" ht="12.75" customHeight="1">
      <c r="A12" s="733">
        <f t="shared" si="0"/>
        <v>704</v>
      </c>
      <c r="B12" s="869" t="s">
        <v>222</v>
      </c>
      <c r="C12" s="926" t="s">
        <v>216</v>
      </c>
      <c r="D12" s="433"/>
      <c r="E12" s="433"/>
      <c r="F12" s="456"/>
      <c r="G12" s="733">
        <f t="shared" si="1"/>
        <v>716</v>
      </c>
      <c r="H12" s="1242" t="s">
        <v>151</v>
      </c>
      <c r="I12" s="1243"/>
      <c r="J12" s="433"/>
      <c r="K12" s="457"/>
      <c r="L12" s="457"/>
      <c r="M12" s="457"/>
      <c r="P12" s="457"/>
    </row>
    <row r="13" spans="1:16" ht="12.75" customHeight="1">
      <c r="A13" s="733">
        <f t="shared" si="0"/>
        <v>705</v>
      </c>
      <c r="B13" s="869" t="s">
        <v>223</v>
      </c>
      <c r="C13" s="926" t="s">
        <v>217</v>
      </c>
      <c r="D13" s="433"/>
      <c r="E13" s="433"/>
      <c r="F13" s="456"/>
      <c r="G13" s="733">
        <f>+G12+1</f>
        <v>717</v>
      </c>
      <c r="H13" s="1244" t="s">
        <v>473</v>
      </c>
      <c r="I13" s="1244"/>
      <c r="J13" s="757">
        <f>SUM(J9:J12)</f>
        <v>0</v>
      </c>
      <c r="K13" s="457"/>
      <c r="L13" s="457"/>
      <c r="M13" s="457"/>
      <c r="P13" s="457"/>
    </row>
    <row r="14" spans="1:16" ht="12.75" customHeight="1">
      <c r="A14" s="733">
        <f t="shared" si="0"/>
        <v>706</v>
      </c>
      <c r="B14" s="869" t="s">
        <v>224</v>
      </c>
      <c r="C14" s="926" t="s">
        <v>218</v>
      </c>
      <c r="D14" s="433"/>
      <c r="E14" s="433"/>
      <c r="F14" s="456"/>
      <c r="G14" s="71"/>
      <c r="H14" s="932"/>
      <c r="I14" s="932"/>
      <c r="J14" s="933"/>
      <c r="K14" s="457"/>
      <c r="L14" s="457"/>
      <c r="M14" s="455"/>
      <c r="P14" s="457"/>
    </row>
    <row r="15" spans="1:16" ht="12.75" customHeight="1">
      <c r="A15" s="733">
        <f t="shared" si="0"/>
        <v>707</v>
      </c>
      <c r="B15" s="1236" t="s">
        <v>225</v>
      </c>
      <c r="C15" s="1245"/>
      <c r="D15" s="1237"/>
      <c r="E15" s="735">
        <f>SUM(E9:E14)</f>
        <v>0</v>
      </c>
      <c r="F15" s="456"/>
      <c r="G15" s="71" t="s">
        <v>433</v>
      </c>
      <c r="H15" s="932" t="s">
        <v>152</v>
      </c>
      <c r="I15" s="932"/>
      <c r="J15" s="933"/>
      <c r="K15" s="457"/>
      <c r="L15" s="457"/>
      <c r="M15" s="455"/>
      <c r="P15" s="457"/>
    </row>
    <row r="16" spans="1:16" ht="12.75" customHeight="1">
      <c r="A16" s="71"/>
      <c r="B16" s="929"/>
      <c r="C16" s="929"/>
      <c r="D16" s="929"/>
      <c r="E16" s="930"/>
      <c r="F16" s="456"/>
      <c r="G16" s="733">
        <f>G13+1</f>
        <v>718</v>
      </c>
      <c r="H16" s="1242" t="s">
        <v>232</v>
      </c>
      <c r="I16" s="1243"/>
      <c r="J16" s="433"/>
      <c r="K16" s="457"/>
      <c r="L16" s="457"/>
      <c r="M16" s="455"/>
      <c r="P16" s="457"/>
    </row>
    <row r="17" spans="1:16" ht="12.75" customHeight="1">
      <c r="A17" s="612"/>
      <c r="B17" s="42"/>
      <c r="C17" s="42"/>
      <c r="F17" s="456"/>
      <c r="G17" s="733">
        <f t="shared" si="1"/>
        <v>719</v>
      </c>
      <c r="H17" s="457" t="s">
        <v>122</v>
      </c>
      <c r="J17" s="433"/>
      <c r="K17" s="455"/>
      <c r="L17" s="457"/>
      <c r="M17" s="455"/>
      <c r="P17" s="457"/>
    </row>
    <row r="18" spans="1:16" ht="12.75" customHeight="1">
      <c r="A18" s="26" t="s">
        <v>132</v>
      </c>
      <c r="B18" s="27" t="s">
        <v>314</v>
      </c>
      <c r="C18" s="27"/>
      <c r="D18" s="452"/>
      <c r="E18" s="453"/>
      <c r="F18" s="456"/>
      <c r="G18" s="733">
        <f>+G17+1</f>
        <v>720</v>
      </c>
      <c r="H18" s="1242" t="s">
        <v>233</v>
      </c>
      <c r="I18" s="1243"/>
      <c r="J18" s="433"/>
      <c r="K18" s="457"/>
      <c r="L18" s="457"/>
      <c r="M18" s="455"/>
      <c r="P18" s="457"/>
    </row>
    <row r="19" spans="1:16" ht="12.75" customHeight="1">
      <c r="A19" s="733">
        <f>+A15+1</f>
        <v>708</v>
      </c>
      <c r="B19" s="928" t="s">
        <v>227</v>
      </c>
      <c r="C19" s="1242" t="s">
        <v>229</v>
      </c>
      <c r="D19" s="1243"/>
      <c r="E19" s="830"/>
      <c r="F19" s="460"/>
      <c r="G19" s="733">
        <f t="shared" si="1"/>
        <v>721</v>
      </c>
      <c r="H19" s="1246"/>
      <c r="I19" s="1247"/>
      <c r="J19" s="433"/>
      <c r="K19" s="457"/>
      <c r="L19" s="457"/>
      <c r="M19" s="455"/>
      <c r="P19" s="457"/>
    </row>
    <row r="20" spans="1:16" ht="12.75" customHeight="1">
      <c r="A20" s="733">
        <f>A19+1</f>
        <v>709</v>
      </c>
      <c r="B20" s="928" t="s">
        <v>68</v>
      </c>
      <c r="C20" s="1242" t="s">
        <v>230</v>
      </c>
      <c r="D20" s="1243"/>
      <c r="E20" s="830"/>
      <c r="F20" s="461"/>
      <c r="G20" s="733">
        <f t="shared" si="1"/>
        <v>722</v>
      </c>
      <c r="H20" s="1246"/>
      <c r="I20" s="1247"/>
      <c r="J20" s="433"/>
      <c r="K20" s="457"/>
      <c r="L20" s="457"/>
      <c r="M20" s="455"/>
      <c r="P20" s="457"/>
    </row>
    <row r="21" spans="1:16" ht="12.75" customHeight="1">
      <c r="A21" s="733">
        <f>+A20+1</f>
        <v>710</v>
      </c>
      <c r="B21" s="928" t="s">
        <v>228</v>
      </c>
      <c r="C21" s="1242" t="s">
        <v>231</v>
      </c>
      <c r="D21" s="1243"/>
      <c r="E21" s="830"/>
      <c r="F21" s="451"/>
      <c r="G21" s="733">
        <f>G20+1</f>
        <v>723</v>
      </c>
      <c r="H21" s="1246"/>
      <c r="I21" s="1247"/>
      <c r="J21" s="433"/>
      <c r="K21" s="457"/>
      <c r="L21" s="457"/>
      <c r="M21" s="455"/>
      <c r="P21" s="457"/>
    </row>
    <row r="22" spans="1:11" s="455" customFormat="1" ht="12.75" customHeight="1">
      <c r="A22" s="736">
        <f>A21+1</f>
        <v>711</v>
      </c>
      <c r="B22" s="940" t="s">
        <v>241</v>
      </c>
      <c r="C22" s="1242" t="s">
        <v>242</v>
      </c>
      <c r="D22" s="1243"/>
      <c r="E22" s="830"/>
      <c r="F22" s="451"/>
      <c r="G22" s="733">
        <f>G21+1</f>
        <v>724</v>
      </c>
      <c r="H22" s="1248" t="s">
        <v>474</v>
      </c>
      <c r="I22" s="1248"/>
      <c r="J22" s="757">
        <f>SUM(J16:J21)</f>
        <v>0</v>
      </c>
      <c r="K22" s="457"/>
    </row>
    <row r="23" spans="1:11" s="455" customFormat="1" ht="12.75" customHeight="1">
      <c r="A23" s="733">
        <f>A22+1</f>
        <v>712</v>
      </c>
      <c r="B23" s="1024" t="s">
        <v>472</v>
      </c>
      <c r="C23" s="1025"/>
      <c r="D23" s="1026"/>
      <c r="E23" s="1010">
        <f>SUM(E19:E22)</f>
        <v>0</v>
      </c>
      <c r="F23" s="456"/>
      <c r="G23" s="71"/>
      <c r="H23" s="934"/>
      <c r="I23" s="934"/>
      <c r="J23" s="933"/>
      <c r="K23" s="457"/>
    </row>
    <row r="24" spans="1:16" ht="12.75" customHeight="1">
      <c r="A24" s="41"/>
      <c r="B24" s="42"/>
      <c r="C24" s="42"/>
      <c r="F24" s="456"/>
      <c r="G24" s="733">
        <f>G22+1</f>
        <v>725</v>
      </c>
      <c r="H24" s="935" t="str">
        <f>CONCATENATE("Totaal opbrengsten ",Voorblad!D3," ter dekking van het budget")</f>
        <v>Totaal opbrengsten 2004 ter dekking van het budget</v>
      </c>
      <c r="I24" s="935"/>
      <c r="J24" s="931">
        <f>+E15+E23+J13+J22</f>
        <v>0</v>
      </c>
      <c r="K24" s="455"/>
      <c r="L24" s="457"/>
      <c r="M24" s="457"/>
      <c r="P24" s="457"/>
    </row>
    <row r="25" spans="1:16" ht="12.75" customHeight="1">
      <c r="A25" s="1108"/>
      <c r="F25" s="456"/>
      <c r="G25" s="71"/>
      <c r="H25" s="934"/>
      <c r="I25" s="934"/>
      <c r="J25" s="933"/>
      <c r="K25" s="455"/>
      <c r="L25" s="457"/>
      <c r="M25" s="457"/>
      <c r="P25" s="457"/>
    </row>
    <row r="26" spans="6:16" ht="12.75" customHeight="1">
      <c r="F26" s="456"/>
      <c r="G26" s="71" t="s">
        <v>133</v>
      </c>
      <c r="H26" s="934" t="s">
        <v>240</v>
      </c>
      <c r="I26" s="934"/>
      <c r="J26" s="933"/>
      <c r="K26" s="455"/>
      <c r="L26" s="457"/>
      <c r="M26" s="457"/>
      <c r="P26" s="457"/>
    </row>
    <row r="27" spans="6:16" ht="12.75" customHeight="1">
      <c r="F27" s="456"/>
      <c r="G27" s="733">
        <f>G24+1</f>
        <v>726</v>
      </c>
      <c r="H27" s="1238" t="s">
        <v>234</v>
      </c>
      <c r="I27" s="1239"/>
      <c r="J27" s="433"/>
      <c r="K27" s="455"/>
      <c r="L27" s="457"/>
      <c r="M27" s="455"/>
      <c r="P27" s="457"/>
    </row>
    <row r="28" spans="6:16" ht="12.75" customHeight="1">
      <c r="F28" s="453"/>
      <c r="G28" s="733">
        <f aca="true" t="shared" si="2" ref="G28:G34">G27+1</f>
        <v>727</v>
      </c>
      <c r="H28" s="936" t="s">
        <v>235</v>
      </c>
      <c r="I28" s="831"/>
      <c r="J28" s="433"/>
      <c r="K28" s="457"/>
      <c r="L28" s="457"/>
      <c r="M28" s="455"/>
      <c r="P28" s="457"/>
    </row>
    <row r="29" spans="1:11" s="455" customFormat="1" ht="12.75" customHeight="1">
      <c r="A29" s="458"/>
      <c r="B29" s="459"/>
      <c r="C29" s="459"/>
      <c r="D29" s="462"/>
      <c r="E29" s="459"/>
      <c r="F29" s="451"/>
      <c r="G29" s="733">
        <f t="shared" si="2"/>
        <v>728</v>
      </c>
      <c r="H29" s="1238" t="s">
        <v>236</v>
      </c>
      <c r="I29" s="1239"/>
      <c r="J29" s="433"/>
      <c r="K29" s="457"/>
    </row>
    <row r="30" spans="1:11" s="455" customFormat="1" ht="12.75" customHeight="1">
      <c r="A30" s="458"/>
      <c r="B30" s="459"/>
      <c r="C30" s="459"/>
      <c r="D30" s="462"/>
      <c r="E30" s="459"/>
      <c r="F30" s="451"/>
      <c r="G30" s="733">
        <f t="shared" si="2"/>
        <v>729</v>
      </c>
      <c r="H30" s="1238" t="s">
        <v>237</v>
      </c>
      <c r="I30" s="1239"/>
      <c r="J30" s="433"/>
      <c r="K30" s="457"/>
    </row>
    <row r="31" spans="6:16" ht="12.75" customHeight="1">
      <c r="F31" s="456"/>
      <c r="G31" s="733">
        <f t="shared" si="2"/>
        <v>730</v>
      </c>
      <c r="H31" s="1238" t="s">
        <v>238</v>
      </c>
      <c r="I31" s="1239"/>
      <c r="J31" s="433"/>
      <c r="K31" s="457"/>
      <c r="L31" s="457"/>
      <c r="M31" s="457"/>
      <c r="P31" s="457"/>
    </row>
    <row r="32" spans="6:16" ht="12.75" customHeight="1">
      <c r="F32" s="456"/>
      <c r="G32" s="733">
        <f t="shared" si="2"/>
        <v>731</v>
      </c>
      <c r="H32" s="1238" t="s">
        <v>239</v>
      </c>
      <c r="I32" s="1239"/>
      <c r="J32" s="433"/>
      <c r="K32" s="457"/>
      <c r="L32" s="457"/>
      <c r="M32" s="457"/>
      <c r="P32" s="457"/>
    </row>
    <row r="33" spans="6:16" ht="12.75" customHeight="1">
      <c r="F33" s="456"/>
      <c r="G33" s="733">
        <f t="shared" si="2"/>
        <v>732</v>
      </c>
      <c r="H33" s="1238" t="s">
        <v>153</v>
      </c>
      <c r="I33" s="1239"/>
      <c r="J33" s="433"/>
      <c r="K33" s="457"/>
      <c r="L33" s="457"/>
      <c r="M33" s="457"/>
      <c r="P33" s="457"/>
    </row>
    <row r="34" spans="6:16" ht="12.75" customHeight="1">
      <c r="F34" s="927"/>
      <c r="G34" s="733">
        <f t="shared" si="2"/>
        <v>733</v>
      </c>
      <c r="H34" s="1236" t="str">
        <f>CONCATENATE("Totaal aanvullende inkomsten ",Voorblad!D3," (726 t/m 732)")</f>
        <v>Totaal aanvullende inkomsten 2004 (726 t/m 732)</v>
      </c>
      <c r="I34" s="1237"/>
      <c r="J34" s="735">
        <f>SUM(J27:J33)</f>
        <v>0</v>
      </c>
      <c r="K34" s="457"/>
      <c r="L34" s="457"/>
      <c r="M34" s="457"/>
      <c r="P34" s="457"/>
    </row>
    <row r="35" spans="11:16" ht="12.75" customHeight="1">
      <c r="K35" s="457"/>
      <c r="L35" s="457"/>
      <c r="M35" s="455"/>
      <c r="P35" s="457"/>
    </row>
    <row r="36" spans="11:16" ht="12.75">
      <c r="K36" s="840"/>
      <c r="L36" s="457"/>
      <c r="M36" s="455"/>
      <c r="P36" s="457"/>
    </row>
  </sheetData>
  <sheetProtection password="CFAD" sheet="1" objects="1" scenarios="1"/>
  <mergeCells count="24">
    <mergeCell ref="H27:I27"/>
    <mergeCell ref="C20:D20"/>
    <mergeCell ref="B15:D15"/>
    <mergeCell ref="C22:D22"/>
    <mergeCell ref="C21:D21"/>
    <mergeCell ref="C19:D19"/>
    <mergeCell ref="H19:I19"/>
    <mergeCell ref="H21:I21"/>
    <mergeCell ref="H20:I20"/>
    <mergeCell ref="H22:I22"/>
    <mergeCell ref="H6:I6"/>
    <mergeCell ref="H16:I16"/>
    <mergeCell ref="H18:I18"/>
    <mergeCell ref="H13:I13"/>
    <mergeCell ref="H9:I9"/>
    <mergeCell ref="H10:I10"/>
    <mergeCell ref="H11:I11"/>
    <mergeCell ref="H12:I12"/>
    <mergeCell ref="H34:I34"/>
    <mergeCell ref="H29:I29"/>
    <mergeCell ref="H30:I30"/>
    <mergeCell ref="H31:I31"/>
    <mergeCell ref="H32:I32"/>
    <mergeCell ref="H33:I33"/>
  </mergeCells>
  <conditionalFormatting sqref="J27:J33 H19:I21 E19:E22 J16:J21 D9:E14 J9:J12">
    <cfRule type="expression" priority="1" dxfId="0" stopIfTrue="1">
      <formula>$G$2=TRUE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codeName="Blad12">
    <pageSetUpPr fitToPage="1"/>
  </sheetPr>
  <dimension ref="A1:L31"/>
  <sheetViews>
    <sheetView showGridLines="0" zoomScale="86" zoomScaleNormal="86" workbookViewId="0" topLeftCell="B1">
      <selection activeCell="E42" sqref="E42"/>
    </sheetView>
  </sheetViews>
  <sheetFormatPr defaultColWidth="9.140625" defaultRowHeight="12.75"/>
  <cols>
    <col min="1" max="1" width="5.140625" style="565" customWidth="1"/>
    <col min="2" max="2" width="37.7109375" style="565" customWidth="1"/>
    <col min="3" max="3" width="11.7109375" style="565" customWidth="1"/>
    <col min="4" max="9" width="13.7109375" style="565" customWidth="1"/>
    <col min="10" max="10" width="7.8515625" style="565" customWidth="1"/>
    <col min="11" max="16384" width="9.140625" style="565" customWidth="1"/>
  </cols>
  <sheetData>
    <row r="1" spans="1:12" s="457" customFormat="1" ht="15.75" customHeight="1">
      <c r="A1" s="458"/>
      <c r="B1" s="459"/>
      <c r="C1" s="462"/>
      <c r="D1" s="459"/>
      <c r="E1" s="459"/>
      <c r="F1" s="461"/>
      <c r="G1" s="458"/>
      <c r="H1" s="459"/>
      <c r="I1" s="468"/>
      <c r="J1" s="468"/>
      <c r="L1" s="455"/>
    </row>
    <row r="2" spans="1:12" s="502" customFormat="1" ht="15.75" customHeight="1">
      <c r="A2" s="1023" t="str">
        <f>CONCATENATE("Nacalculatieformulier ",Voorblad!D3)</f>
        <v>Nacalculatieformulier 2004</v>
      </c>
      <c r="B2" s="597"/>
      <c r="C2" s="598"/>
      <c r="D2" s="599"/>
      <c r="E2" s="599"/>
      <c r="F2" s="600" t="b">
        <f>Voorblad!D30</f>
        <v>1</v>
      </c>
      <c r="G2" s="599"/>
      <c r="H2" s="597"/>
      <c r="I2" s="596">
        <f>Opbrengsten!J2+1</f>
        <v>8</v>
      </c>
      <c r="J2" s="593"/>
      <c r="L2" s="503"/>
    </row>
    <row r="3" spans="1:12" s="457" customFormat="1" ht="12.75" customHeight="1">
      <c r="A3" s="41"/>
      <c r="B3" s="42"/>
      <c r="C3" s="43"/>
      <c r="D3" s="42"/>
      <c r="E3" s="42"/>
      <c r="F3" s="45"/>
      <c r="G3" s="41"/>
      <c r="H3" s="42"/>
      <c r="I3" s="42"/>
      <c r="J3" s="90"/>
      <c r="K3" s="571"/>
      <c r="L3" s="455"/>
    </row>
    <row r="4" spans="1:11" s="457" customFormat="1" ht="12.75" customHeight="1">
      <c r="A4" s="14" t="s">
        <v>134</v>
      </c>
      <c r="B4" s="95"/>
      <c r="C4" s="602"/>
      <c r="D4" s="95"/>
      <c r="E4" s="95"/>
      <c r="F4" s="33"/>
      <c r="G4" s="14"/>
      <c r="H4" s="95"/>
      <c r="I4" s="604"/>
      <c r="J4" s="95"/>
      <c r="K4" s="571"/>
    </row>
    <row r="5" ht="12">
      <c r="A5" s="887"/>
    </row>
    <row r="6" spans="1:2" ht="12">
      <c r="A6" s="887" t="s">
        <v>87</v>
      </c>
      <c r="B6" s="887" t="s">
        <v>243</v>
      </c>
    </row>
    <row r="8" spans="3:7" ht="12">
      <c r="C8" s="997" t="s">
        <v>246</v>
      </c>
      <c r="D8" s="919" t="s">
        <v>445</v>
      </c>
      <c r="E8" s="904" t="s">
        <v>407</v>
      </c>
      <c r="F8" s="904" t="s">
        <v>317</v>
      </c>
      <c r="G8" s="997" t="s">
        <v>248</v>
      </c>
    </row>
    <row r="9" spans="3:7" ht="12">
      <c r="C9" s="1033" t="s">
        <v>247</v>
      </c>
      <c r="D9" s="920">
        <f>Voorblad!D3-1</f>
        <v>2003</v>
      </c>
      <c r="E9" s="921" t="s">
        <v>409</v>
      </c>
      <c r="F9" s="921" t="s">
        <v>316</v>
      </c>
      <c r="G9" s="921">
        <f>E10</f>
        <v>2004</v>
      </c>
    </row>
    <row r="10" spans="3:7" ht="12">
      <c r="C10" s="1060"/>
      <c r="D10" s="922" t="s">
        <v>313</v>
      </c>
      <c r="E10" s="915">
        <f>Voorblad!D3</f>
        <v>2004</v>
      </c>
      <c r="F10" s="915" t="str">
        <f>CONCATENATE("of vrijval ",Voorblad!D3)</f>
        <v>of vrijval 2004</v>
      </c>
      <c r="G10" s="915"/>
    </row>
    <row r="11" spans="4:7" ht="12">
      <c r="D11" s="895"/>
      <c r="E11" s="895"/>
      <c r="F11" s="895"/>
      <c r="G11" s="895"/>
    </row>
    <row r="12" spans="1:7" ht="12">
      <c r="A12" s="916">
        <f>(100*I2)+1</f>
        <v>801</v>
      </c>
      <c r="B12" s="869" t="s">
        <v>140</v>
      </c>
      <c r="C12" s="1059">
        <v>0.025</v>
      </c>
      <c r="D12" s="433"/>
      <c r="E12" s="433"/>
      <c r="F12" s="918"/>
      <c r="G12" s="1061">
        <f aca="true" t="shared" si="0" ref="G12:G18">D12+E12-F12</f>
        <v>0</v>
      </c>
    </row>
    <row r="13" spans="1:7" ht="12">
      <c r="A13" s="916">
        <f>A12+1</f>
        <v>802</v>
      </c>
      <c r="B13" s="869" t="s">
        <v>75</v>
      </c>
      <c r="C13" s="941">
        <v>0</v>
      </c>
      <c r="D13" s="433"/>
      <c r="E13" s="433"/>
      <c r="F13" s="918"/>
      <c r="G13" s="1061">
        <f t="shared" si="0"/>
        <v>0</v>
      </c>
    </row>
    <row r="14" spans="1:7" ht="12">
      <c r="A14" s="916">
        <f>A13+1</f>
        <v>803</v>
      </c>
      <c r="B14" s="869" t="s">
        <v>244</v>
      </c>
      <c r="C14" s="941">
        <v>0.05</v>
      </c>
      <c r="D14" s="433"/>
      <c r="E14" s="433"/>
      <c r="F14" s="918"/>
      <c r="G14" s="1061">
        <f t="shared" si="0"/>
        <v>0</v>
      </c>
    </row>
    <row r="15" spans="1:7" ht="12">
      <c r="A15" s="916">
        <f aca="true" t="shared" si="1" ref="A15:A21">A14+1</f>
        <v>804</v>
      </c>
      <c r="B15" s="869" t="s">
        <v>141</v>
      </c>
      <c r="C15" s="941">
        <v>0.02</v>
      </c>
      <c r="D15" s="433"/>
      <c r="E15" s="433"/>
      <c r="F15" s="918"/>
      <c r="G15" s="1061">
        <f t="shared" si="0"/>
        <v>0</v>
      </c>
    </row>
    <row r="16" spans="1:7" ht="12">
      <c r="A16" s="916">
        <f t="shared" si="1"/>
        <v>805</v>
      </c>
      <c r="B16" s="869" t="s">
        <v>245</v>
      </c>
      <c r="C16" s="942">
        <v>0.05</v>
      </c>
      <c r="D16" s="433"/>
      <c r="E16" s="433"/>
      <c r="F16" s="918"/>
      <c r="G16" s="1061">
        <f t="shared" si="0"/>
        <v>0</v>
      </c>
    </row>
    <row r="17" spans="1:7" ht="12">
      <c r="A17" s="916">
        <f t="shared" si="1"/>
        <v>806</v>
      </c>
      <c r="B17" s="869" t="s">
        <v>370</v>
      </c>
      <c r="C17" s="942">
        <v>0.05</v>
      </c>
      <c r="D17" s="433"/>
      <c r="E17" s="433"/>
      <c r="F17" s="918"/>
      <c r="G17" s="1061">
        <f t="shared" si="0"/>
        <v>0</v>
      </c>
    </row>
    <row r="18" spans="1:7" ht="12">
      <c r="A18" s="916">
        <f t="shared" si="1"/>
        <v>807</v>
      </c>
      <c r="B18" s="869" t="s">
        <v>142</v>
      </c>
      <c r="C18" s="871"/>
      <c r="D18" s="433"/>
      <c r="E18" s="433"/>
      <c r="F18" s="918"/>
      <c r="G18" s="1061">
        <f t="shared" si="0"/>
        <v>0</v>
      </c>
    </row>
    <row r="19" spans="1:7" s="887" customFormat="1" ht="12">
      <c r="A19" s="916">
        <f t="shared" si="1"/>
        <v>808</v>
      </c>
      <c r="B19" s="943" t="s">
        <v>143</v>
      </c>
      <c r="C19" s="943"/>
      <c r="D19" s="944">
        <f>SUM(D12:D18)</f>
        <v>0</v>
      </c>
      <c r="E19" s="944">
        <f>SUM(E12:E18)</f>
        <v>0</v>
      </c>
      <c r="F19" s="1027">
        <f>SUM(F12:F18)</f>
        <v>0</v>
      </c>
      <c r="G19" s="944">
        <f>SUM(G12:G18)</f>
        <v>0</v>
      </c>
    </row>
    <row r="20" spans="1:7" ht="12">
      <c r="A20" s="916">
        <f t="shared" si="1"/>
        <v>809</v>
      </c>
      <c r="B20" s="869" t="s">
        <v>144</v>
      </c>
      <c r="C20" s="871"/>
      <c r="D20" s="433"/>
      <c r="E20" s="433"/>
      <c r="F20" s="918"/>
      <c r="G20" s="1061">
        <f>D20+E20-F20</f>
        <v>0</v>
      </c>
    </row>
    <row r="21" spans="1:7" s="887" customFormat="1" ht="12">
      <c r="A21" s="916">
        <f t="shared" si="1"/>
        <v>810</v>
      </c>
      <c r="B21" s="943" t="s">
        <v>424</v>
      </c>
      <c r="C21" s="943"/>
      <c r="D21" s="944">
        <f>D19+D20</f>
        <v>0</v>
      </c>
      <c r="E21" s="944">
        <f>E19+E20</f>
        <v>0</v>
      </c>
      <c r="F21" s="944">
        <f>F19+F20</f>
        <v>0</v>
      </c>
      <c r="G21" s="944">
        <f>G19+G20</f>
        <v>0</v>
      </c>
    </row>
    <row r="24" spans="1:2" s="887" customFormat="1" ht="12">
      <c r="A24" s="887" t="s">
        <v>88</v>
      </c>
      <c r="B24" s="887" t="s">
        <v>254</v>
      </c>
    </row>
    <row r="26" spans="3:9" ht="12.75" customHeight="1">
      <c r="C26" s="1030" t="s">
        <v>256</v>
      </c>
      <c r="D26" s="904" t="s">
        <v>112</v>
      </c>
      <c r="E26" s="904" t="s">
        <v>331</v>
      </c>
      <c r="F26" s="904" t="s">
        <v>256</v>
      </c>
      <c r="G26" s="1249" t="str">
        <f>CONCATENATE("Onderhanden werk ultimo ",Voorblad!D3)</f>
        <v>Onderhanden werk ultimo 2004</v>
      </c>
      <c r="H26" s="1252" t="str">
        <f>CONCATENATE("Verplichtingen ultimo ",Voorblad!D3)</f>
        <v>Verplichtingen ultimo 2004</v>
      </c>
      <c r="I26" s="1252" t="str">
        <f>CONCATENATE("'Vrij besteedbaar' ultimo ",Voorblad!D3)</f>
        <v>'Vrij besteedbaar' ultimo 2004</v>
      </c>
    </row>
    <row r="27" spans="3:9" ht="12">
      <c r="C27" s="1031" t="s">
        <v>318</v>
      </c>
      <c r="D27" s="921" t="s">
        <v>319</v>
      </c>
      <c r="E27" s="1033" t="s">
        <v>409</v>
      </c>
      <c r="F27" s="1033" t="s">
        <v>318</v>
      </c>
      <c r="G27" s="1250"/>
      <c r="H27" s="1253"/>
      <c r="I27" s="1253"/>
    </row>
    <row r="28" spans="3:9" ht="12">
      <c r="C28" s="1032" t="str">
        <f>CONCATENATE("ultimo ",Voorblad!D3-1)</f>
        <v>ultimo 2003</v>
      </c>
      <c r="D28" s="915" t="str">
        <f>CONCATENATE("ruimte ",Voorblad!D3)</f>
        <v>ruimte 2004</v>
      </c>
      <c r="E28" s="915">
        <f>G9</f>
        <v>2004</v>
      </c>
      <c r="F28" s="915" t="str">
        <f>CONCATENATE("ultimo ",Voorblad!D3)</f>
        <v>ultimo 2004</v>
      </c>
      <c r="G28" s="1251"/>
      <c r="H28" s="1254"/>
      <c r="I28" s="1254"/>
    </row>
    <row r="29" spans="3:9" s="900" customFormat="1" ht="12">
      <c r="C29" s="954"/>
      <c r="D29" s="954"/>
      <c r="E29" s="954"/>
      <c r="F29" s="954"/>
      <c r="G29" s="954"/>
      <c r="H29" s="1029"/>
      <c r="I29" s="954"/>
    </row>
    <row r="30" spans="1:9" ht="12">
      <c r="A30" s="916">
        <f>A21+1</f>
        <v>811</v>
      </c>
      <c r="B30" s="869" t="s">
        <v>414</v>
      </c>
      <c r="C30" s="433"/>
      <c r="D30" s="433"/>
      <c r="E30" s="1011">
        <f>Instandhouding!F28</f>
        <v>0</v>
      </c>
      <c r="F30" s="967">
        <f>C30+D30-E30</f>
        <v>0</v>
      </c>
      <c r="G30" s="433"/>
      <c r="H30" s="433"/>
      <c r="I30" s="908">
        <f>F30-G30-H30</f>
        <v>0</v>
      </c>
    </row>
    <row r="31" spans="1:9" ht="12">
      <c r="A31" s="916">
        <f>A30+1</f>
        <v>812</v>
      </c>
      <c r="B31" s="869" t="s">
        <v>255</v>
      </c>
      <c r="C31" s="433"/>
      <c r="D31" s="433"/>
      <c r="E31" s="967">
        <f>Instandhouding!G28</f>
        <v>0</v>
      </c>
      <c r="F31" s="967">
        <f>C31+D31-E31</f>
        <v>0</v>
      </c>
      <c r="G31" s="433"/>
      <c r="H31" s="433"/>
      <c r="I31" s="908">
        <f>F31-G31-H31</f>
        <v>0</v>
      </c>
    </row>
  </sheetData>
  <sheetProtection password="CFAD" sheet="1" objects="1" scenarios="1"/>
  <mergeCells count="3">
    <mergeCell ref="G26:G28"/>
    <mergeCell ref="H26:H28"/>
    <mergeCell ref="I26:I28"/>
  </mergeCells>
  <conditionalFormatting sqref="C30:D31 G30:H31 D12:F18 D20:F20">
    <cfRule type="expression" priority="1" dxfId="0" stopIfTrue="1">
      <formula>$F$2=TRUE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codeName="Blad13"/>
  <dimension ref="A1:P76"/>
  <sheetViews>
    <sheetView showGridLines="0" zoomScale="86" zoomScaleNormal="86" workbookViewId="0" topLeftCell="A43">
      <selection activeCell="J76" sqref="J76:K76"/>
    </sheetView>
  </sheetViews>
  <sheetFormatPr defaultColWidth="9.140625" defaultRowHeight="12.75"/>
  <cols>
    <col min="1" max="1" width="5.00390625" style="466" customWidth="1"/>
    <col min="2" max="2" width="15.7109375" style="459" customWidth="1"/>
    <col min="3" max="4" width="10.421875" style="459" customWidth="1"/>
    <col min="5" max="5" width="10.57421875" style="459" customWidth="1"/>
    <col min="6" max="6" width="11.28125" style="459" customWidth="1"/>
    <col min="7" max="7" width="1.1484375" style="457" customWidth="1"/>
    <col min="8" max="8" width="5.28125" style="466" customWidth="1"/>
    <col min="9" max="9" width="15.7109375" style="459" customWidth="1"/>
    <col min="10" max="10" width="11.28125" style="459" customWidth="1"/>
    <col min="11" max="12" width="10.7109375" style="459" customWidth="1"/>
    <col min="13" max="13" width="11.28125" style="459" customWidth="1"/>
    <col min="14" max="16384" width="9.140625" style="457" customWidth="1"/>
  </cols>
  <sheetData>
    <row r="1" spans="1:13" ht="15.75" customHeight="1">
      <c r="A1" s="619"/>
      <c r="B1" s="42"/>
      <c r="C1" s="42"/>
      <c r="D1" s="42"/>
      <c r="E1" s="42"/>
      <c r="F1" s="42"/>
      <c r="G1" s="571"/>
      <c r="H1" s="619"/>
      <c r="I1" s="42"/>
      <c r="J1" s="42"/>
      <c r="K1" s="42"/>
      <c r="L1" s="964"/>
      <c r="M1" s="90"/>
    </row>
    <row r="2" spans="1:13" s="502" customFormat="1" ht="15.75" customHeight="1">
      <c r="A2" s="1023" t="str">
        <f>CONCATENATE("Nacalculatieformulier ",Voorblad!D3)</f>
        <v>Nacalculatieformulier 2004</v>
      </c>
      <c r="B2" s="597"/>
      <c r="C2" s="599"/>
      <c r="D2" s="600"/>
      <c r="E2" s="600"/>
      <c r="F2" s="600"/>
      <c r="G2" s="600" t="b">
        <f>Voorblad!D30</f>
        <v>1</v>
      </c>
      <c r="H2" s="600"/>
      <c r="I2" s="600"/>
      <c r="J2" s="600">
        <f>Voorblad!I30</f>
        <v>0</v>
      </c>
      <c r="K2" s="600"/>
      <c r="L2" s="803"/>
      <c r="M2" s="596">
        <f>Afschrijvingen!I2+1</f>
        <v>9</v>
      </c>
    </row>
    <row r="3" spans="1:13" s="502" customFormat="1" ht="15.75" customHeight="1">
      <c r="A3" s="595"/>
      <c r="B3" s="91"/>
      <c r="C3" s="592"/>
      <c r="D3" s="593"/>
      <c r="E3" s="593"/>
      <c r="F3" s="593"/>
      <c r="G3" s="593"/>
      <c r="H3" s="593"/>
      <c r="I3" s="593"/>
      <c r="J3" s="593"/>
      <c r="K3" s="593"/>
      <c r="L3" s="593"/>
      <c r="M3" s="594"/>
    </row>
    <row r="4" spans="1:13" ht="12.75" customHeight="1">
      <c r="A4" s="619"/>
      <c r="B4" s="42"/>
      <c r="C4" s="42"/>
      <c r="D4" s="42"/>
      <c r="E4" s="42"/>
      <c r="F4" s="42"/>
      <c r="G4" s="571"/>
      <c r="H4" s="619"/>
      <c r="I4" s="42"/>
      <c r="J4" s="42"/>
      <c r="K4" s="42"/>
      <c r="L4" s="42"/>
      <c r="M4" s="42"/>
    </row>
    <row r="5" spans="1:13" ht="12.75" customHeight="1">
      <c r="A5" s="14" t="s">
        <v>89</v>
      </c>
      <c r="B5" s="622" t="s">
        <v>164</v>
      </c>
      <c r="C5" s="623"/>
      <c r="D5" s="42"/>
      <c r="E5" s="42"/>
      <c r="F5" s="42"/>
      <c r="G5" s="571"/>
      <c r="H5" s="619"/>
      <c r="I5" s="42"/>
      <c r="J5" s="42"/>
      <c r="K5" s="42"/>
      <c r="L5" s="42"/>
      <c r="M5" s="42"/>
    </row>
    <row r="6" spans="1:13" ht="12.75" customHeight="1">
      <c r="A6" s="14"/>
      <c r="B6" s="622"/>
      <c r="C6" s="623"/>
      <c r="D6" s="42"/>
      <c r="E6" s="42"/>
      <c r="F6" s="42"/>
      <c r="G6" s="571"/>
      <c r="H6" s="619"/>
      <c r="I6" s="42"/>
      <c r="J6" s="42"/>
      <c r="K6" s="42"/>
      <c r="L6" s="42"/>
      <c r="M6" s="42"/>
    </row>
    <row r="7" spans="1:13" ht="12.75" customHeight="1">
      <c r="A7" s="619"/>
      <c r="B7" s="1283" t="s">
        <v>100</v>
      </c>
      <c r="C7" s="1284"/>
      <c r="D7" s="1284"/>
      <c r="E7" s="1284"/>
      <c r="F7" s="1285"/>
      <c r="G7" s="571"/>
      <c r="H7" s="619"/>
      <c r="I7" s="1283" t="s">
        <v>104</v>
      </c>
      <c r="J7" s="1284"/>
      <c r="K7" s="1284"/>
      <c r="L7" s="1284"/>
      <c r="M7" s="1285"/>
    </row>
    <row r="8" spans="1:13" ht="12.75" customHeight="1">
      <c r="A8" s="736">
        <f>(100*M2)+1</f>
        <v>901</v>
      </c>
      <c r="B8" s="1286"/>
      <c r="C8" s="1281"/>
      <c r="D8" s="1281"/>
      <c r="E8" s="1281"/>
      <c r="F8" s="1282"/>
      <c r="H8" s="733">
        <f>A36+1</f>
        <v>921</v>
      </c>
      <c r="I8" s="1286"/>
      <c r="J8" s="1281"/>
      <c r="K8" s="1281"/>
      <c r="L8" s="1281"/>
      <c r="M8" s="1282"/>
    </row>
    <row r="9" spans="1:13" s="502" customFormat="1" ht="12.75" customHeight="1">
      <c r="A9" s="564"/>
      <c r="B9" s="1287" t="s">
        <v>99</v>
      </c>
      <c r="C9" s="1288"/>
      <c r="D9" s="624" t="s">
        <v>382</v>
      </c>
      <c r="E9" s="1271" t="s">
        <v>101</v>
      </c>
      <c r="F9" s="1272"/>
      <c r="G9" s="92"/>
      <c r="H9" s="592"/>
      <c r="I9" s="1287" t="s">
        <v>99</v>
      </c>
      <c r="J9" s="1288"/>
      <c r="K9" s="624" t="s">
        <v>382</v>
      </c>
      <c r="L9" s="1271" t="s">
        <v>101</v>
      </c>
      <c r="M9" s="1272"/>
    </row>
    <row r="10" spans="1:13" s="502" customFormat="1" ht="12.75" customHeight="1">
      <c r="A10" s="736">
        <f>A8+1</f>
        <v>902</v>
      </c>
      <c r="B10" s="1267"/>
      <c r="C10" s="1268"/>
      <c r="D10" s="553"/>
      <c r="E10" s="1269"/>
      <c r="F10" s="1270"/>
      <c r="G10" s="565"/>
      <c r="H10" s="733">
        <f>H8+1</f>
        <v>922</v>
      </c>
      <c r="I10" s="1267"/>
      <c r="J10" s="1268"/>
      <c r="K10" s="553"/>
      <c r="L10" s="1269"/>
      <c r="M10" s="1270"/>
    </row>
    <row r="11" spans="1:13" s="502" customFormat="1" ht="12.75" customHeight="1">
      <c r="A11" s="736">
        <f>A10+1</f>
        <v>903</v>
      </c>
      <c r="B11" s="1277"/>
      <c r="C11" s="1278"/>
      <c r="D11" s="554"/>
      <c r="E11" s="1279"/>
      <c r="F11" s="1280"/>
      <c r="G11" s="565"/>
      <c r="H11" s="733">
        <f>H10+1</f>
        <v>923</v>
      </c>
      <c r="I11" s="1277"/>
      <c r="J11" s="1278"/>
      <c r="K11" s="554"/>
      <c r="L11" s="1279"/>
      <c r="M11" s="1280"/>
    </row>
    <row r="12" spans="1:13" s="953" customFormat="1" ht="12.75" customHeight="1">
      <c r="A12" s="947"/>
      <c r="B12" s="948"/>
      <c r="C12" s="1265" t="s">
        <v>258</v>
      </c>
      <c r="D12" s="1266"/>
      <c r="E12" s="654" t="s">
        <v>257</v>
      </c>
      <c r="F12" s="654" t="s">
        <v>408</v>
      </c>
      <c r="G12" s="952"/>
      <c r="H12" s="947"/>
      <c r="I12" s="948"/>
      <c r="J12" s="1265" t="s">
        <v>258</v>
      </c>
      <c r="K12" s="1266"/>
      <c r="L12" s="654" t="s">
        <v>257</v>
      </c>
      <c r="M12" s="654" t="s">
        <v>408</v>
      </c>
    </row>
    <row r="13" spans="1:13" s="953" customFormat="1" ht="12.75" customHeight="1">
      <c r="A13" s="947"/>
      <c r="B13" s="950"/>
      <c r="C13" s="1263" t="s">
        <v>259</v>
      </c>
      <c r="D13" s="1264"/>
      <c r="E13" s="951" t="s">
        <v>139</v>
      </c>
      <c r="F13" s="951">
        <v>2004</v>
      </c>
      <c r="G13" s="952"/>
      <c r="H13" s="947"/>
      <c r="I13" s="950"/>
      <c r="J13" s="1263" t="s">
        <v>259</v>
      </c>
      <c r="K13" s="1264"/>
      <c r="L13" s="951" t="s">
        <v>139</v>
      </c>
      <c r="M13" s="951">
        <v>2004</v>
      </c>
    </row>
    <row r="14" spans="1:13" ht="12.75" customHeight="1">
      <c r="A14" s="733">
        <f>A11+1</f>
        <v>904</v>
      </c>
      <c r="B14" s="869" t="s">
        <v>252</v>
      </c>
      <c r="C14" s="1259"/>
      <c r="D14" s="1260"/>
      <c r="E14" s="569"/>
      <c r="F14" s="569"/>
      <c r="H14" s="733">
        <f>H11+1</f>
        <v>924</v>
      </c>
      <c r="I14" s="869" t="s">
        <v>252</v>
      </c>
      <c r="J14" s="1259"/>
      <c r="K14" s="1260"/>
      <c r="L14" s="569"/>
      <c r="M14" s="569"/>
    </row>
    <row r="15" spans="1:13" ht="12.75" customHeight="1">
      <c r="A15" s="733">
        <f aca="true" t="shared" si="0" ref="A15:A20">A14+1</f>
        <v>905</v>
      </c>
      <c r="B15" s="869" t="s">
        <v>75</v>
      </c>
      <c r="C15" s="1261"/>
      <c r="D15" s="1262"/>
      <c r="E15" s="570"/>
      <c r="F15" s="570"/>
      <c r="H15" s="733">
        <f aca="true" t="shared" si="1" ref="H15:H20">H14+1</f>
        <v>925</v>
      </c>
      <c r="I15" s="869" t="s">
        <v>75</v>
      </c>
      <c r="J15" s="1261"/>
      <c r="K15" s="1262"/>
      <c r="L15" s="570"/>
      <c r="M15" s="570"/>
    </row>
    <row r="16" spans="1:13" ht="12.75" customHeight="1">
      <c r="A16" s="733">
        <f t="shared" si="0"/>
        <v>906</v>
      </c>
      <c r="B16" s="869" t="s">
        <v>253</v>
      </c>
      <c r="C16" s="1261"/>
      <c r="D16" s="1262"/>
      <c r="E16" s="570"/>
      <c r="F16" s="570"/>
      <c r="H16" s="733">
        <f t="shared" si="1"/>
        <v>926</v>
      </c>
      <c r="I16" s="869" t="s">
        <v>253</v>
      </c>
      <c r="J16" s="1261"/>
      <c r="K16" s="1262"/>
      <c r="L16" s="570"/>
      <c r="M16" s="570"/>
    </row>
    <row r="17" spans="1:13" ht="12.75" customHeight="1">
      <c r="A17" s="733">
        <f t="shared" si="0"/>
        <v>907</v>
      </c>
      <c r="B17" s="869" t="s">
        <v>141</v>
      </c>
      <c r="C17" s="1261"/>
      <c r="D17" s="1262"/>
      <c r="E17" s="570"/>
      <c r="F17" s="570"/>
      <c r="H17" s="733">
        <f t="shared" si="1"/>
        <v>927</v>
      </c>
      <c r="I17" s="869" t="s">
        <v>141</v>
      </c>
      <c r="J17" s="1261"/>
      <c r="K17" s="1262"/>
      <c r="L17" s="570"/>
      <c r="M17" s="570"/>
    </row>
    <row r="18" spans="1:13" ht="12.75" customHeight="1">
      <c r="A18" s="733">
        <f t="shared" si="0"/>
        <v>908</v>
      </c>
      <c r="B18" s="869" t="s">
        <v>245</v>
      </c>
      <c r="C18" s="1261"/>
      <c r="D18" s="1262"/>
      <c r="E18" s="570"/>
      <c r="F18" s="570"/>
      <c r="H18" s="733">
        <f t="shared" si="1"/>
        <v>928</v>
      </c>
      <c r="I18" s="869" t="s">
        <v>245</v>
      </c>
      <c r="J18" s="1261"/>
      <c r="K18" s="1262"/>
      <c r="L18" s="570"/>
      <c r="M18" s="570"/>
    </row>
    <row r="19" spans="1:13" ht="12.75" customHeight="1">
      <c r="A19" s="733">
        <f t="shared" si="0"/>
        <v>909</v>
      </c>
      <c r="B19" s="869" t="s">
        <v>370</v>
      </c>
      <c r="C19" s="1261"/>
      <c r="D19" s="1262"/>
      <c r="E19" s="570"/>
      <c r="F19" s="570"/>
      <c r="H19" s="733">
        <f t="shared" si="1"/>
        <v>929</v>
      </c>
      <c r="I19" s="869" t="s">
        <v>370</v>
      </c>
      <c r="J19" s="1261"/>
      <c r="K19" s="1262"/>
      <c r="L19" s="570"/>
      <c r="M19" s="570"/>
    </row>
    <row r="20" spans="1:13" ht="12.75" customHeight="1">
      <c r="A20" s="733">
        <f t="shared" si="0"/>
        <v>910</v>
      </c>
      <c r="B20" s="748" t="s">
        <v>420</v>
      </c>
      <c r="C20" s="1257">
        <f>SUM(C14:C19)</f>
        <v>0</v>
      </c>
      <c r="D20" s="1258"/>
      <c r="E20" s="749">
        <f>SUM(E14:E19)</f>
        <v>0</v>
      </c>
      <c r="F20" s="749">
        <f>SUM(F14:F19)</f>
        <v>0</v>
      </c>
      <c r="H20" s="733">
        <f t="shared" si="1"/>
        <v>930</v>
      </c>
      <c r="I20" s="748" t="s">
        <v>420</v>
      </c>
      <c r="J20" s="1257">
        <f>SUM(J14:K19)</f>
        <v>0</v>
      </c>
      <c r="K20" s="1258"/>
      <c r="L20" s="749">
        <f>SUM(L14:L19)</f>
        <v>0</v>
      </c>
      <c r="M20" s="749">
        <f>SUM(M14:M19)</f>
        <v>0</v>
      </c>
    </row>
    <row r="21" spans="1:13" s="486" customFormat="1" ht="12.75" customHeight="1">
      <c r="A21" s="71"/>
      <c r="B21" s="767"/>
      <c r="C21" s="945"/>
      <c r="D21" s="945"/>
      <c r="E21" s="946"/>
      <c r="F21" s="946"/>
      <c r="H21" s="71"/>
      <c r="I21" s="767"/>
      <c r="J21" s="945"/>
      <c r="K21" s="945"/>
      <c r="L21" s="946"/>
      <c r="M21" s="946"/>
    </row>
    <row r="22" spans="1:13" ht="12">
      <c r="A22" s="619"/>
      <c r="B22" s="42"/>
      <c r="C22" s="42"/>
      <c r="D22" s="42"/>
      <c r="E22" s="42"/>
      <c r="F22" s="42"/>
      <c r="G22" s="571"/>
      <c r="H22" s="619"/>
      <c r="I22" s="42"/>
      <c r="J22" s="42"/>
      <c r="K22" s="42"/>
      <c r="L22" s="42"/>
      <c r="M22" s="42"/>
    </row>
    <row r="23" spans="1:13" ht="12.75" customHeight="1">
      <c r="A23" s="619"/>
      <c r="B23" s="1283" t="s">
        <v>102</v>
      </c>
      <c r="C23" s="1284"/>
      <c r="D23" s="1284"/>
      <c r="E23" s="1284"/>
      <c r="F23" s="1285"/>
      <c r="G23" s="571"/>
      <c r="H23" s="619"/>
      <c r="I23" s="1283" t="s">
        <v>103</v>
      </c>
      <c r="J23" s="1284"/>
      <c r="K23" s="1284"/>
      <c r="L23" s="1284"/>
      <c r="M23" s="1285"/>
    </row>
    <row r="24" spans="1:13" ht="12.75" customHeight="1">
      <c r="A24" s="733">
        <f>A20+1</f>
        <v>911</v>
      </c>
      <c r="B24" s="1286"/>
      <c r="C24" s="1281"/>
      <c r="D24" s="1281"/>
      <c r="E24" s="1281"/>
      <c r="F24" s="1282"/>
      <c r="H24" s="733">
        <f>H20+1</f>
        <v>931</v>
      </c>
      <c r="I24" s="1286"/>
      <c r="J24" s="1281"/>
      <c r="K24" s="1281"/>
      <c r="L24" s="1281"/>
      <c r="M24" s="1282"/>
    </row>
    <row r="25" spans="1:13" ht="12.75" customHeight="1">
      <c r="A25" s="592"/>
      <c r="B25" s="1287" t="s">
        <v>99</v>
      </c>
      <c r="C25" s="1288"/>
      <c r="D25" s="624" t="s">
        <v>382</v>
      </c>
      <c r="E25" s="1271" t="s">
        <v>101</v>
      </c>
      <c r="F25" s="1272"/>
      <c r="G25" s="571"/>
      <c r="H25" s="592"/>
      <c r="I25" s="1287" t="s">
        <v>99</v>
      </c>
      <c r="J25" s="1288"/>
      <c r="K25" s="624" t="s">
        <v>382</v>
      </c>
      <c r="L25" s="1271" t="s">
        <v>101</v>
      </c>
      <c r="M25" s="1272"/>
    </row>
    <row r="26" spans="1:13" ht="12.75" customHeight="1">
      <c r="A26" s="733">
        <f>A24+1</f>
        <v>912</v>
      </c>
      <c r="B26" s="1267"/>
      <c r="C26" s="1268"/>
      <c r="D26" s="553"/>
      <c r="E26" s="1269"/>
      <c r="F26" s="1270"/>
      <c r="H26" s="733">
        <f>H24+1</f>
        <v>932</v>
      </c>
      <c r="I26" s="1267"/>
      <c r="J26" s="1268"/>
      <c r="K26" s="553"/>
      <c r="L26" s="1269"/>
      <c r="M26" s="1270"/>
    </row>
    <row r="27" spans="1:13" ht="12.75" customHeight="1">
      <c r="A27" s="733">
        <f>A26+1</f>
        <v>913</v>
      </c>
      <c r="B27" s="1277"/>
      <c r="C27" s="1278"/>
      <c r="D27" s="554"/>
      <c r="E27" s="1279"/>
      <c r="F27" s="1280"/>
      <c r="H27" s="733">
        <f>H26+1</f>
        <v>933</v>
      </c>
      <c r="I27" s="1277"/>
      <c r="J27" s="1278"/>
      <c r="K27" s="554"/>
      <c r="L27" s="1279"/>
      <c r="M27" s="1280"/>
    </row>
    <row r="28" spans="1:13" s="949" customFormat="1" ht="12.75" customHeight="1">
      <c r="A28" s="947"/>
      <c r="B28" s="948"/>
      <c r="C28" s="1265" t="s">
        <v>258</v>
      </c>
      <c r="D28" s="1266"/>
      <c r="E28" s="654" t="s">
        <v>257</v>
      </c>
      <c r="F28" s="654" t="s">
        <v>408</v>
      </c>
      <c r="G28" s="185"/>
      <c r="H28" s="947"/>
      <c r="I28" s="948"/>
      <c r="J28" s="1265" t="s">
        <v>258</v>
      </c>
      <c r="K28" s="1266"/>
      <c r="L28" s="654" t="s">
        <v>257</v>
      </c>
      <c r="M28" s="654" t="s">
        <v>408</v>
      </c>
    </row>
    <row r="29" spans="1:13" s="949" customFormat="1" ht="12.75" customHeight="1">
      <c r="A29" s="947"/>
      <c r="B29" s="950"/>
      <c r="C29" s="1263" t="s">
        <v>259</v>
      </c>
      <c r="D29" s="1264"/>
      <c r="E29" s="951" t="s">
        <v>139</v>
      </c>
      <c r="F29" s="951">
        <v>2004</v>
      </c>
      <c r="G29" s="185"/>
      <c r="H29" s="947"/>
      <c r="I29" s="950"/>
      <c r="J29" s="1263" t="s">
        <v>259</v>
      </c>
      <c r="K29" s="1264"/>
      <c r="L29" s="951" t="s">
        <v>139</v>
      </c>
      <c r="M29" s="951">
        <v>2004</v>
      </c>
    </row>
    <row r="30" spans="1:13" ht="12.75" customHeight="1">
      <c r="A30" s="733">
        <f>A27+1</f>
        <v>914</v>
      </c>
      <c r="B30" s="869" t="s">
        <v>252</v>
      </c>
      <c r="C30" s="1259"/>
      <c r="D30" s="1260"/>
      <c r="E30" s="569"/>
      <c r="F30" s="569"/>
      <c r="H30" s="733">
        <f>H27+1</f>
        <v>934</v>
      </c>
      <c r="I30" s="869" t="s">
        <v>252</v>
      </c>
      <c r="J30" s="1259"/>
      <c r="K30" s="1260"/>
      <c r="L30" s="569"/>
      <c r="M30" s="569"/>
    </row>
    <row r="31" spans="1:13" ht="12.75" customHeight="1">
      <c r="A31" s="733">
        <f aca="true" t="shared" si="2" ref="A31:A36">A30+1</f>
        <v>915</v>
      </c>
      <c r="B31" s="869" t="s">
        <v>75</v>
      </c>
      <c r="C31" s="1261"/>
      <c r="D31" s="1262"/>
      <c r="E31" s="570"/>
      <c r="F31" s="570"/>
      <c r="H31" s="733">
        <f aca="true" t="shared" si="3" ref="H31:H36">H30+1</f>
        <v>935</v>
      </c>
      <c r="I31" s="869" t="s">
        <v>75</v>
      </c>
      <c r="J31" s="1261"/>
      <c r="K31" s="1262"/>
      <c r="L31" s="570"/>
      <c r="M31" s="570"/>
    </row>
    <row r="32" spans="1:13" ht="12.75" customHeight="1">
      <c r="A32" s="733">
        <f t="shared" si="2"/>
        <v>916</v>
      </c>
      <c r="B32" s="869" t="s">
        <v>253</v>
      </c>
      <c r="C32" s="1261"/>
      <c r="D32" s="1262"/>
      <c r="E32" s="570"/>
      <c r="F32" s="570"/>
      <c r="H32" s="733">
        <f t="shared" si="3"/>
        <v>936</v>
      </c>
      <c r="I32" s="869" t="s">
        <v>253</v>
      </c>
      <c r="J32" s="1261"/>
      <c r="K32" s="1262"/>
      <c r="L32" s="570"/>
      <c r="M32" s="570"/>
    </row>
    <row r="33" spans="1:13" ht="12" customHeight="1">
      <c r="A33" s="733">
        <f t="shared" si="2"/>
        <v>917</v>
      </c>
      <c r="B33" s="869" t="s">
        <v>141</v>
      </c>
      <c r="C33" s="1261"/>
      <c r="D33" s="1262"/>
      <c r="E33" s="570"/>
      <c r="F33" s="570"/>
      <c r="H33" s="733">
        <f t="shared" si="3"/>
        <v>937</v>
      </c>
      <c r="I33" s="869" t="s">
        <v>141</v>
      </c>
      <c r="J33" s="1261"/>
      <c r="K33" s="1262"/>
      <c r="L33" s="570"/>
      <c r="M33" s="570"/>
    </row>
    <row r="34" spans="1:13" ht="12.75" customHeight="1">
      <c r="A34" s="733">
        <f t="shared" si="2"/>
        <v>918</v>
      </c>
      <c r="B34" s="869" t="s">
        <v>245</v>
      </c>
      <c r="C34" s="1261"/>
      <c r="D34" s="1262"/>
      <c r="E34" s="570"/>
      <c r="F34" s="570"/>
      <c r="H34" s="733">
        <f t="shared" si="3"/>
        <v>938</v>
      </c>
      <c r="I34" s="869" t="s">
        <v>245</v>
      </c>
      <c r="J34" s="1261"/>
      <c r="K34" s="1262"/>
      <c r="L34" s="570"/>
      <c r="M34" s="570"/>
    </row>
    <row r="35" spans="1:13" ht="12.75" customHeight="1">
      <c r="A35" s="733">
        <f t="shared" si="2"/>
        <v>919</v>
      </c>
      <c r="B35" s="869" t="s">
        <v>370</v>
      </c>
      <c r="C35" s="1261"/>
      <c r="D35" s="1262"/>
      <c r="E35" s="570"/>
      <c r="F35" s="570"/>
      <c r="H35" s="733">
        <f t="shared" si="3"/>
        <v>939</v>
      </c>
      <c r="I35" s="869" t="s">
        <v>370</v>
      </c>
      <c r="J35" s="1261"/>
      <c r="K35" s="1262"/>
      <c r="L35" s="570"/>
      <c r="M35" s="570"/>
    </row>
    <row r="36" spans="1:13" ht="12.75" customHeight="1">
      <c r="A36" s="733">
        <f t="shared" si="2"/>
        <v>920</v>
      </c>
      <c r="B36" s="748" t="s">
        <v>420</v>
      </c>
      <c r="C36" s="1257">
        <f>SUM(C30:D35)</f>
        <v>0</v>
      </c>
      <c r="D36" s="1258"/>
      <c r="E36" s="749">
        <f>SUM(E30:E35)</f>
        <v>0</v>
      </c>
      <c r="F36" s="749">
        <f>SUM(F30:F35)</f>
        <v>0</v>
      </c>
      <c r="H36" s="733">
        <f t="shared" si="3"/>
        <v>940</v>
      </c>
      <c r="I36" s="748" t="s">
        <v>420</v>
      </c>
      <c r="J36" s="1257">
        <f>SUM(J30:K35)</f>
        <v>0</v>
      </c>
      <c r="K36" s="1258"/>
      <c r="L36" s="749">
        <f>SUM(L30:L35)</f>
        <v>0</v>
      </c>
      <c r="M36" s="749">
        <f>SUM(M30:M35)</f>
        <v>0</v>
      </c>
    </row>
    <row r="37" spans="1:15" ht="12.75">
      <c r="A37"/>
      <c r="B37"/>
      <c r="C37"/>
      <c r="D37"/>
      <c r="E37"/>
      <c r="F37"/>
      <c r="G37"/>
      <c r="H37"/>
      <c r="I37"/>
      <c r="J37"/>
      <c r="K37"/>
      <c r="L37"/>
      <c r="M37"/>
      <c r="N37"/>
      <c r="O37"/>
    </row>
    <row r="38" spans="1:16" ht="12.75">
      <c r="A38"/>
      <c r="B38"/>
      <c r="C38"/>
      <c r="D38"/>
      <c r="E38"/>
      <c r="F38"/>
      <c r="G38"/>
      <c r="H38"/>
      <c r="I38"/>
      <c r="J38"/>
      <c r="K38"/>
      <c r="L38"/>
      <c r="M38"/>
      <c r="N38"/>
      <c r="O38"/>
      <c r="P38"/>
    </row>
    <row r="39" spans="1:13" ht="12">
      <c r="A39" s="619"/>
      <c r="B39" s="42"/>
      <c r="C39" s="42"/>
      <c r="D39" s="42"/>
      <c r="E39" s="42"/>
      <c r="F39" s="42"/>
      <c r="G39" s="571"/>
      <c r="H39" s="619"/>
      <c r="I39" s="42"/>
      <c r="J39" s="42"/>
      <c r="K39" s="42"/>
      <c r="L39" s="42"/>
      <c r="M39" s="42"/>
    </row>
    <row r="40" spans="1:13" ht="12" customHeight="1">
      <c r="A40" s="1023" t="str">
        <f>CONCATENATE("Nacalculatieformulier ",Voorblad!D3)</f>
        <v>Nacalculatieformulier 2004</v>
      </c>
      <c r="B40" s="597"/>
      <c r="C40" s="599"/>
      <c r="D40" s="600"/>
      <c r="E40" s="600"/>
      <c r="F40" s="600"/>
      <c r="G40" s="600" t="b">
        <f>Voorblad!D30</f>
        <v>1</v>
      </c>
      <c r="H40" s="600"/>
      <c r="I40" s="600"/>
      <c r="J40" s="600"/>
      <c r="K40" s="600"/>
      <c r="L40" s="803"/>
      <c r="M40" s="596">
        <f>M2+1</f>
        <v>10</v>
      </c>
    </row>
    <row r="41" spans="1:13" ht="12" customHeight="1">
      <c r="A41" s="595"/>
      <c r="B41" s="91"/>
      <c r="C41" s="592"/>
      <c r="D41" s="593"/>
      <c r="E41" s="593"/>
      <c r="F41" s="593"/>
      <c r="G41" s="593"/>
      <c r="H41" s="593"/>
      <c r="I41" s="593"/>
      <c r="J41" s="593"/>
      <c r="K41" s="593"/>
      <c r="L41" s="593"/>
      <c r="M41" s="594"/>
    </row>
    <row r="42" spans="1:13" ht="12">
      <c r="A42" s="619"/>
      <c r="B42" s="42"/>
      <c r="C42" s="42"/>
      <c r="D42" s="42"/>
      <c r="E42" s="42"/>
      <c r="F42" s="42"/>
      <c r="G42" s="571"/>
      <c r="H42" s="619"/>
      <c r="I42" s="42"/>
      <c r="J42" s="42"/>
      <c r="K42" s="42"/>
      <c r="L42" s="42"/>
      <c r="M42" s="42"/>
    </row>
    <row r="43" spans="1:13" ht="12">
      <c r="A43" s="14" t="s">
        <v>89</v>
      </c>
      <c r="B43" s="622" t="s">
        <v>165</v>
      </c>
      <c r="C43" s="623"/>
      <c r="D43" s="42"/>
      <c r="E43" s="42"/>
      <c r="F43" s="42"/>
      <c r="G43" s="42"/>
      <c r="H43" s="571"/>
      <c r="I43" s="571"/>
      <c r="J43" s="571"/>
      <c r="K43" s="614"/>
      <c r="L43" s="571"/>
      <c r="M43" s="571"/>
    </row>
    <row r="44" spans="1:13" ht="12">
      <c r="A44" s="14"/>
      <c r="B44" s="622"/>
      <c r="C44" s="623"/>
      <c r="D44" s="42"/>
      <c r="E44" s="42"/>
      <c r="F44" s="42"/>
      <c r="G44" s="42"/>
      <c r="H44" s="571"/>
      <c r="I44" s="571"/>
      <c r="J44" s="571"/>
      <c r="K44" s="614"/>
      <c r="L44" s="571"/>
      <c r="M44" s="571"/>
    </row>
    <row r="45" spans="1:13" ht="12">
      <c r="A45" s="619"/>
      <c r="B45" s="1283" t="s">
        <v>105</v>
      </c>
      <c r="C45" s="1284"/>
      <c r="D45" s="1284"/>
      <c r="E45" s="1284"/>
      <c r="F45" s="1285"/>
      <c r="G45" s="571"/>
      <c r="H45" s="619"/>
      <c r="I45" s="1283" t="s">
        <v>106</v>
      </c>
      <c r="J45" s="1284"/>
      <c r="K45" s="1284"/>
      <c r="L45" s="1284"/>
      <c r="M45" s="1285"/>
    </row>
    <row r="46" spans="1:13" ht="12.75" customHeight="1">
      <c r="A46" s="733">
        <f>(100*M40)+1</f>
        <v>1001</v>
      </c>
      <c r="B46" s="1286"/>
      <c r="C46" s="1281"/>
      <c r="D46" s="1281"/>
      <c r="E46" s="1281"/>
      <c r="F46" s="1282"/>
      <c r="H46" s="733">
        <f>A74+1</f>
        <v>1021</v>
      </c>
      <c r="I46" s="1281"/>
      <c r="J46" s="1281"/>
      <c r="K46" s="1281"/>
      <c r="L46" s="1281"/>
      <c r="M46" s="1282"/>
    </row>
    <row r="47" spans="1:13" ht="12">
      <c r="A47" s="592"/>
      <c r="B47" s="1273" t="s">
        <v>99</v>
      </c>
      <c r="C47" s="1274"/>
      <c r="D47" s="568" t="s">
        <v>382</v>
      </c>
      <c r="E47" s="1275" t="s">
        <v>101</v>
      </c>
      <c r="F47" s="1276"/>
      <c r="G47" s="502"/>
      <c r="H47" s="592"/>
      <c r="I47" s="1273" t="s">
        <v>99</v>
      </c>
      <c r="J47" s="1274"/>
      <c r="K47" s="568" t="s">
        <v>382</v>
      </c>
      <c r="L47" s="1275" t="s">
        <v>101</v>
      </c>
      <c r="M47" s="1276"/>
    </row>
    <row r="48" spans="1:13" ht="12">
      <c r="A48" s="733">
        <f>A46+1</f>
        <v>1002</v>
      </c>
      <c r="B48" s="1267"/>
      <c r="C48" s="1268"/>
      <c r="D48" s="553"/>
      <c r="E48" s="1269"/>
      <c r="F48" s="1270"/>
      <c r="G48" s="565"/>
      <c r="H48" s="733">
        <f>H46+1</f>
        <v>1022</v>
      </c>
      <c r="I48" s="1267"/>
      <c r="J48" s="1268"/>
      <c r="K48" s="553"/>
      <c r="L48" s="1269"/>
      <c r="M48" s="1270"/>
    </row>
    <row r="49" spans="1:13" ht="12">
      <c r="A49" s="733">
        <f>A48+1</f>
        <v>1003</v>
      </c>
      <c r="B49" s="1277"/>
      <c r="C49" s="1278"/>
      <c r="D49" s="554"/>
      <c r="E49" s="1279"/>
      <c r="F49" s="1280"/>
      <c r="G49" s="565"/>
      <c r="H49" s="733">
        <f>H48+1</f>
        <v>1023</v>
      </c>
      <c r="I49" s="1277"/>
      <c r="J49" s="1278"/>
      <c r="K49" s="554"/>
      <c r="L49" s="1279"/>
      <c r="M49" s="1280"/>
    </row>
    <row r="50" spans="1:13" s="949" customFormat="1" ht="12">
      <c r="A50" s="947"/>
      <c r="B50" s="948"/>
      <c r="C50" s="1265" t="s">
        <v>258</v>
      </c>
      <c r="D50" s="1266"/>
      <c r="E50" s="654" t="s">
        <v>257</v>
      </c>
      <c r="F50" s="654" t="s">
        <v>408</v>
      </c>
      <c r="G50" s="952"/>
      <c r="H50" s="947"/>
      <c r="I50" s="948"/>
      <c r="J50" s="1265" t="s">
        <v>258</v>
      </c>
      <c r="K50" s="1266"/>
      <c r="L50" s="654" t="s">
        <v>257</v>
      </c>
      <c r="M50" s="654" t="s">
        <v>408</v>
      </c>
    </row>
    <row r="51" spans="1:13" s="949" customFormat="1" ht="12">
      <c r="A51" s="947"/>
      <c r="B51" s="950"/>
      <c r="C51" s="1263" t="s">
        <v>259</v>
      </c>
      <c r="D51" s="1264"/>
      <c r="E51" s="951" t="s">
        <v>139</v>
      </c>
      <c r="F51" s="951">
        <v>2004</v>
      </c>
      <c r="G51" s="952"/>
      <c r="H51" s="947"/>
      <c r="I51" s="950"/>
      <c r="J51" s="1263" t="s">
        <v>259</v>
      </c>
      <c r="K51" s="1264"/>
      <c r="L51" s="951" t="s">
        <v>139</v>
      </c>
      <c r="M51" s="951">
        <v>2004</v>
      </c>
    </row>
    <row r="52" spans="1:13" ht="12.75" customHeight="1">
      <c r="A52" s="733">
        <f>A49+1</f>
        <v>1004</v>
      </c>
      <c r="B52" s="869" t="s">
        <v>252</v>
      </c>
      <c r="C52" s="1259"/>
      <c r="D52" s="1260"/>
      <c r="E52" s="569"/>
      <c r="F52" s="569"/>
      <c r="H52" s="733">
        <f>H49+1</f>
        <v>1024</v>
      </c>
      <c r="I52" s="869" t="s">
        <v>252</v>
      </c>
      <c r="J52" s="1259"/>
      <c r="K52" s="1260"/>
      <c r="L52" s="569"/>
      <c r="M52" s="569"/>
    </row>
    <row r="53" spans="1:13" ht="12.75" customHeight="1">
      <c r="A53" s="733">
        <f aca="true" t="shared" si="4" ref="A53:A58">A52+1</f>
        <v>1005</v>
      </c>
      <c r="B53" s="869" t="s">
        <v>75</v>
      </c>
      <c r="C53" s="1261"/>
      <c r="D53" s="1262"/>
      <c r="E53" s="570"/>
      <c r="F53" s="570"/>
      <c r="H53" s="733">
        <f aca="true" t="shared" si="5" ref="H53:H58">H52+1</f>
        <v>1025</v>
      </c>
      <c r="I53" s="869" t="s">
        <v>75</v>
      </c>
      <c r="J53" s="1261"/>
      <c r="K53" s="1262"/>
      <c r="L53" s="570"/>
      <c r="M53" s="570"/>
    </row>
    <row r="54" spans="1:13" ht="12.75" customHeight="1">
      <c r="A54" s="733">
        <f t="shared" si="4"/>
        <v>1006</v>
      </c>
      <c r="B54" s="869" t="s">
        <v>253</v>
      </c>
      <c r="C54" s="1261"/>
      <c r="D54" s="1262"/>
      <c r="E54" s="570"/>
      <c r="F54" s="570"/>
      <c r="H54" s="733">
        <f t="shared" si="5"/>
        <v>1026</v>
      </c>
      <c r="I54" s="869" t="s">
        <v>253</v>
      </c>
      <c r="J54" s="1261"/>
      <c r="K54" s="1262"/>
      <c r="L54" s="570"/>
      <c r="M54" s="570"/>
    </row>
    <row r="55" spans="1:13" ht="12.75" customHeight="1">
      <c r="A55" s="733">
        <f t="shared" si="4"/>
        <v>1007</v>
      </c>
      <c r="B55" s="869" t="s">
        <v>141</v>
      </c>
      <c r="C55" s="1261"/>
      <c r="D55" s="1262"/>
      <c r="E55" s="570"/>
      <c r="F55" s="570"/>
      <c r="H55" s="733">
        <f t="shared" si="5"/>
        <v>1027</v>
      </c>
      <c r="I55" s="869" t="s">
        <v>141</v>
      </c>
      <c r="J55" s="1261"/>
      <c r="K55" s="1262"/>
      <c r="L55" s="570"/>
      <c r="M55" s="570"/>
    </row>
    <row r="56" spans="1:13" ht="12.75" customHeight="1">
      <c r="A56" s="733">
        <f t="shared" si="4"/>
        <v>1008</v>
      </c>
      <c r="B56" s="869" t="s">
        <v>245</v>
      </c>
      <c r="C56" s="1261"/>
      <c r="D56" s="1262"/>
      <c r="E56" s="570"/>
      <c r="F56" s="570"/>
      <c r="H56" s="733">
        <f t="shared" si="5"/>
        <v>1028</v>
      </c>
      <c r="I56" s="869" t="s">
        <v>245</v>
      </c>
      <c r="J56" s="1261"/>
      <c r="K56" s="1262"/>
      <c r="L56" s="570"/>
      <c r="M56" s="570"/>
    </row>
    <row r="57" spans="1:13" ht="12.75" customHeight="1">
      <c r="A57" s="733">
        <f t="shared" si="4"/>
        <v>1009</v>
      </c>
      <c r="B57" s="869" t="s">
        <v>370</v>
      </c>
      <c r="C57" s="1261"/>
      <c r="D57" s="1262"/>
      <c r="E57" s="570"/>
      <c r="F57" s="570"/>
      <c r="H57" s="733">
        <f t="shared" si="5"/>
        <v>1029</v>
      </c>
      <c r="I57" s="869" t="s">
        <v>370</v>
      </c>
      <c r="J57" s="1261"/>
      <c r="K57" s="1262"/>
      <c r="L57" s="570"/>
      <c r="M57" s="570"/>
    </row>
    <row r="58" spans="1:13" ht="12" customHeight="1">
      <c r="A58" s="733">
        <f t="shared" si="4"/>
        <v>1010</v>
      </c>
      <c r="B58" s="748" t="s">
        <v>420</v>
      </c>
      <c r="C58" s="1257">
        <f>SUM(C52:C57)</f>
        <v>0</v>
      </c>
      <c r="D58" s="1258"/>
      <c r="E58" s="749">
        <f>SUM(E52:E57)</f>
        <v>0</v>
      </c>
      <c r="F58" s="749">
        <f>SUM(F52:F57)</f>
        <v>0</v>
      </c>
      <c r="H58" s="733">
        <f t="shared" si="5"/>
        <v>1030</v>
      </c>
      <c r="I58" s="748" t="s">
        <v>420</v>
      </c>
      <c r="J58" s="1257">
        <f>SUM(J52:K57)</f>
        <v>0</v>
      </c>
      <c r="K58" s="1258"/>
      <c r="L58" s="749">
        <f>SUM(L52:L57)</f>
        <v>0</v>
      </c>
      <c r="M58" s="749">
        <f>SUM(M52:M57)</f>
        <v>0</v>
      </c>
    </row>
    <row r="59" spans="1:13" s="486" customFormat="1" ht="12">
      <c r="A59" s="71"/>
      <c r="B59" s="767"/>
      <c r="C59" s="945"/>
      <c r="D59" s="945"/>
      <c r="E59" s="946"/>
      <c r="F59" s="946"/>
      <c r="H59" s="71"/>
      <c r="I59" s="767"/>
      <c r="J59" s="945"/>
      <c r="K59" s="945"/>
      <c r="L59" s="946"/>
      <c r="M59" s="946"/>
    </row>
    <row r="60" spans="1:13" ht="12">
      <c r="A60" s="619"/>
      <c r="B60" s="42"/>
      <c r="C60" s="42"/>
      <c r="D60" s="42"/>
      <c r="E60" s="42"/>
      <c r="F60" s="42"/>
      <c r="G60" s="571"/>
      <c r="H60" s="619"/>
      <c r="I60" s="42"/>
      <c r="J60" s="42"/>
      <c r="K60" s="42"/>
      <c r="L60" s="42"/>
      <c r="M60" s="42"/>
    </row>
    <row r="61" spans="1:13" ht="12">
      <c r="A61" s="619"/>
      <c r="B61" s="1283" t="s">
        <v>107</v>
      </c>
      <c r="C61" s="1284"/>
      <c r="D61" s="1284"/>
      <c r="E61" s="1284"/>
      <c r="F61" s="1285"/>
      <c r="G61" s="571"/>
      <c r="H61" s="619"/>
      <c r="I61" s="1283" t="s">
        <v>108</v>
      </c>
      <c r="J61" s="1284"/>
      <c r="K61" s="1284"/>
      <c r="L61" s="1284"/>
      <c r="M61" s="1285"/>
    </row>
    <row r="62" spans="1:13" ht="12">
      <c r="A62" s="733">
        <f>A58+1</f>
        <v>1011</v>
      </c>
      <c r="B62" s="1281"/>
      <c r="C62" s="1281"/>
      <c r="D62" s="1281"/>
      <c r="E62" s="1281"/>
      <c r="F62" s="1282"/>
      <c r="H62" s="733">
        <f>H58+1</f>
        <v>1031</v>
      </c>
      <c r="I62" s="1281"/>
      <c r="J62" s="1281"/>
      <c r="K62" s="1281"/>
      <c r="L62" s="1281"/>
      <c r="M62" s="1282"/>
    </row>
    <row r="63" spans="1:13" ht="12">
      <c r="A63" s="592"/>
      <c r="B63" s="1287" t="s">
        <v>99</v>
      </c>
      <c r="C63" s="1288"/>
      <c r="D63" s="624" t="s">
        <v>382</v>
      </c>
      <c r="E63" s="1271" t="s">
        <v>101</v>
      </c>
      <c r="F63" s="1272"/>
      <c r="G63" s="571"/>
      <c r="H63" s="592"/>
      <c r="I63" s="1287" t="s">
        <v>99</v>
      </c>
      <c r="J63" s="1288"/>
      <c r="K63" s="624" t="s">
        <v>382</v>
      </c>
      <c r="L63" s="1271" t="s">
        <v>101</v>
      </c>
      <c r="M63" s="1272"/>
    </row>
    <row r="64" spans="1:13" ht="12">
      <c r="A64" s="733">
        <f>A62+1</f>
        <v>1012</v>
      </c>
      <c r="B64" s="1267"/>
      <c r="C64" s="1268"/>
      <c r="D64" s="553"/>
      <c r="E64" s="1269"/>
      <c r="F64" s="1270"/>
      <c r="H64" s="733">
        <f>H62+1</f>
        <v>1032</v>
      </c>
      <c r="I64" s="1267"/>
      <c r="J64" s="1268"/>
      <c r="K64" s="553"/>
      <c r="L64" s="1269"/>
      <c r="M64" s="1270"/>
    </row>
    <row r="65" spans="1:13" ht="12">
      <c r="A65" s="733">
        <f>A64+1</f>
        <v>1013</v>
      </c>
      <c r="B65" s="1277"/>
      <c r="C65" s="1278"/>
      <c r="D65" s="554"/>
      <c r="E65" s="1279"/>
      <c r="F65" s="1280"/>
      <c r="H65" s="733">
        <f>H64+1</f>
        <v>1033</v>
      </c>
      <c r="I65" s="1277"/>
      <c r="J65" s="1278"/>
      <c r="K65" s="554"/>
      <c r="L65" s="1279"/>
      <c r="M65" s="1280"/>
    </row>
    <row r="66" spans="1:13" s="949" customFormat="1" ht="12">
      <c r="A66" s="947"/>
      <c r="B66" s="948"/>
      <c r="C66" s="1265" t="s">
        <v>258</v>
      </c>
      <c r="D66" s="1266"/>
      <c r="E66" s="654" t="s">
        <v>257</v>
      </c>
      <c r="F66" s="654" t="s">
        <v>408</v>
      </c>
      <c r="G66" s="185"/>
      <c r="H66" s="947"/>
      <c r="I66" s="948"/>
      <c r="J66" s="1265" t="s">
        <v>258</v>
      </c>
      <c r="K66" s="1266"/>
      <c r="L66" s="654" t="s">
        <v>257</v>
      </c>
      <c r="M66" s="654" t="s">
        <v>408</v>
      </c>
    </row>
    <row r="67" spans="1:13" s="949" customFormat="1" ht="12">
      <c r="A67" s="947"/>
      <c r="B67" s="950"/>
      <c r="C67" s="1263" t="s">
        <v>259</v>
      </c>
      <c r="D67" s="1264"/>
      <c r="E67" s="951" t="s">
        <v>139</v>
      </c>
      <c r="F67" s="951">
        <v>2004</v>
      </c>
      <c r="G67" s="185"/>
      <c r="H67" s="947"/>
      <c r="I67" s="950"/>
      <c r="J67" s="1263" t="s">
        <v>259</v>
      </c>
      <c r="K67" s="1264"/>
      <c r="L67" s="951" t="s">
        <v>139</v>
      </c>
      <c r="M67" s="951">
        <v>2004</v>
      </c>
    </row>
    <row r="68" spans="1:13" ht="12.75" customHeight="1">
      <c r="A68" s="733">
        <f>A65+1</f>
        <v>1014</v>
      </c>
      <c r="B68" s="869" t="s">
        <v>252</v>
      </c>
      <c r="C68" s="1259"/>
      <c r="D68" s="1260"/>
      <c r="E68" s="569"/>
      <c r="F68" s="569"/>
      <c r="H68" s="733">
        <f>H65+1</f>
        <v>1034</v>
      </c>
      <c r="I68" s="869" t="s">
        <v>252</v>
      </c>
      <c r="J68" s="1259"/>
      <c r="K68" s="1260"/>
      <c r="L68" s="569"/>
      <c r="M68" s="569"/>
    </row>
    <row r="69" spans="1:13" ht="12.75" customHeight="1">
      <c r="A69" s="733">
        <f aca="true" t="shared" si="6" ref="A69:A74">A68+1</f>
        <v>1015</v>
      </c>
      <c r="B69" s="869" t="s">
        <v>75</v>
      </c>
      <c r="C69" s="1261"/>
      <c r="D69" s="1262"/>
      <c r="E69" s="570"/>
      <c r="F69" s="570"/>
      <c r="H69" s="733">
        <f aca="true" t="shared" si="7" ref="H69:H74">H68+1</f>
        <v>1035</v>
      </c>
      <c r="I69" s="869" t="s">
        <v>75</v>
      </c>
      <c r="J69" s="1261"/>
      <c r="K69" s="1262"/>
      <c r="L69" s="570"/>
      <c r="M69" s="570"/>
    </row>
    <row r="70" spans="1:13" ht="12.75" customHeight="1">
      <c r="A70" s="733">
        <f t="shared" si="6"/>
        <v>1016</v>
      </c>
      <c r="B70" s="869" t="s">
        <v>253</v>
      </c>
      <c r="C70" s="1261"/>
      <c r="D70" s="1262"/>
      <c r="E70" s="570"/>
      <c r="F70" s="570"/>
      <c r="H70" s="733">
        <f t="shared" si="7"/>
        <v>1036</v>
      </c>
      <c r="I70" s="869" t="s">
        <v>253</v>
      </c>
      <c r="J70" s="1261"/>
      <c r="K70" s="1262"/>
      <c r="L70" s="570"/>
      <c r="M70" s="570"/>
    </row>
    <row r="71" spans="1:13" ht="12.75" customHeight="1">
      <c r="A71" s="733">
        <f t="shared" si="6"/>
        <v>1017</v>
      </c>
      <c r="B71" s="869" t="s">
        <v>141</v>
      </c>
      <c r="C71" s="1261"/>
      <c r="D71" s="1262"/>
      <c r="E71" s="570"/>
      <c r="F71" s="570"/>
      <c r="H71" s="733">
        <f t="shared" si="7"/>
        <v>1037</v>
      </c>
      <c r="I71" s="869" t="s">
        <v>141</v>
      </c>
      <c r="J71" s="1261"/>
      <c r="K71" s="1262"/>
      <c r="L71" s="570"/>
      <c r="M71" s="570"/>
    </row>
    <row r="72" spans="1:13" ht="12.75" customHeight="1">
      <c r="A72" s="733">
        <f t="shared" si="6"/>
        <v>1018</v>
      </c>
      <c r="B72" s="869" t="s">
        <v>245</v>
      </c>
      <c r="C72" s="1261"/>
      <c r="D72" s="1262"/>
      <c r="E72" s="570"/>
      <c r="F72" s="570"/>
      <c r="H72" s="733">
        <f t="shared" si="7"/>
        <v>1038</v>
      </c>
      <c r="I72" s="869" t="s">
        <v>245</v>
      </c>
      <c r="J72" s="1261"/>
      <c r="K72" s="1262"/>
      <c r="L72" s="570"/>
      <c r="M72" s="570"/>
    </row>
    <row r="73" spans="1:13" ht="12.75" customHeight="1">
      <c r="A73" s="733">
        <f t="shared" si="6"/>
        <v>1019</v>
      </c>
      <c r="B73" s="869" t="s">
        <v>370</v>
      </c>
      <c r="C73" s="1261"/>
      <c r="D73" s="1262"/>
      <c r="E73" s="570"/>
      <c r="F73" s="570"/>
      <c r="H73" s="733">
        <f t="shared" si="7"/>
        <v>1039</v>
      </c>
      <c r="I73" s="869" t="s">
        <v>370</v>
      </c>
      <c r="J73" s="1261"/>
      <c r="K73" s="1262"/>
      <c r="L73" s="570"/>
      <c r="M73" s="570"/>
    </row>
    <row r="74" spans="1:13" ht="12" customHeight="1">
      <c r="A74" s="747">
        <f t="shared" si="6"/>
        <v>1020</v>
      </c>
      <c r="B74" s="748" t="s">
        <v>420</v>
      </c>
      <c r="C74" s="1257">
        <f>SUM(C68:D73)</f>
        <v>0</v>
      </c>
      <c r="D74" s="1258"/>
      <c r="E74" s="749">
        <f>SUM(E68:E73)</f>
        <v>0</v>
      </c>
      <c r="F74" s="749">
        <f>SUM(F68:F73)</f>
        <v>0</v>
      </c>
      <c r="H74" s="733">
        <f t="shared" si="7"/>
        <v>1040</v>
      </c>
      <c r="I74" s="748" t="s">
        <v>420</v>
      </c>
      <c r="J74" s="1257">
        <f>SUM(J68:K73)</f>
        <v>0</v>
      </c>
      <c r="K74" s="1258"/>
      <c r="L74" s="749">
        <f>SUM(L68:L73)</f>
        <v>0</v>
      </c>
      <c r="M74" s="749">
        <f>SUM(M68:M73)</f>
        <v>0</v>
      </c>
    </row>
    <row r="76" spans="8:13" ht="12.75" customHeight="1">
      <c r="H76" s="733">
        <f>H74+1</f>
        <v>1041</v>
      </c>
      <c r="I76" s="748" t="str">
        <f>CONCATENATE("Totaal ",Voorblad!D3,)</f>
        <v>Totaal 2004</v>
      </c>
      <c r="J76" s="1255">
        <f>C20+C36+J20+J36+C58+C74+J58+J74</f>
        <v>0</v>
      </c>
      <c r="K76" s="1256"/>
      <c r="L76" s="750">
        <f>E20+E36+L20+L36+E58+E74+L58+L74</f>
        <v>0</v>
      </c>
      <c r="M76" s="750">
        <f>F20+F36+M20+M36+F58+F74+M58+M74</f>
        <v>0</v>
      </c>
    </row>
  </sheetData>
  <sheetProtection password="CFAD" sheet="1" objects="1" scenarios="1"/>
  <mergeCells count="137">
    <mergeCell ref="L64:M64"/>
    <mergeCell ref="B65:C65"/>
    <mergeCell ref="E65:F65"/>
    <mergeCell ref="I65:J65"/>
    <mergeCell ref="L65:M65"/>
    <mergeCell ref="L49:M49"/>
    <mergeCell ref="B61:F61"/>
    <mergeCell ref="I61:M61"/>
    <mergeCell ref="B62:F62"/>
    <mergeCell ref="I62:M62"/>
    <mergeCell ref="J50:K50"/>
    <mergeCell ref="J51:K51"/>
    <mergeCell ref="C57:D57"/>
    <mergeCell ref="C58:D58"/>
    <mergeCell ref="J52:K52"/>
    <mergeCell ref="L47:M47"/>
    <mergeCell ref="B48:C48"/>
    <mergeCell ref="E48:F48"/>
    <mergeCell ref="I48:J48"/>
    <mergeCell ref="L48:M48"/>
    <mergeCell ref="L25:M25"/>
    <mergeCell ref="B7:F7"/>
    <mergeCell ref="I11:J11"/>
    <mergeCell ref="B45:F45"/>
    <mergeCell ref="I45:M45"/>
    <mergeCell ref="B27:C27"/>
    <mergeCell ref="E27:F27"/>
    <mergeCell ref="I7:M7"/>
    <mergeCell ref="I8:M8"/>
    <mergeCell ref="I9:J9"/>
    <mergeCell ref="L9:M9"/>
    <mergeCell ref="L10:M10"/>
    <mergeCell ref="I63:J63"/>
    <mergeCell ref="B63:C63"/>
    <mergeCell ref="E63:F63"/>
    <mergeCell ref="B10:C10"/>
    <mergeCell ref="E10:F10"/>
    <mergeCell ref="I10:J10"/>
    <mergeCell ref="B26:C26"/>
    <mergeCell ref="B46:F46"/>
    <mergeCell ref="B8:F8"/>
    <mergeCell ref="E26:F26"/>
    <mergeCell ref="E11:F11"/>
    <mergeCell ref="B23:F23"/>
    <mergeCell ref="B24:F24"/>
    <mergeCell ref="B25:C25"/>
    <mergeCell ref="B9:C9"/>
    <mergeCell ref="E9:F9"/>
    <mergeCell ref="C15:D15"/>
    <mergeCell ref="B11:C11"/>
    <mergeCell ref="L11:M11"/>
    <mergeCell ref="L63:M63"/>
    <mergeCell ref="I26:J26"/>
    <mergeCell ref="L26:M26"/>
    <mergeCell ref="I27:J27"/>
    <mergeCell ref="L27:M27"/>
    <mergeCell ref="I46:M46"/>
    <mergeCell ref="I23:M23"/>
    <mergeCell ref="I24:M24"/>
    <mergeCell ref="I25:J25"/>
    <mergeCell ref="C12:D12"/>
    <mergeCell ref="C13:D13"/>
    <mergeCell ref="C14:D14"/>
    <mergeCell ref="J12:K12"/>
    <mergeCell ref="J13:K13"/>
    <mergeCell ref="J14:K14"/>
    <mergeCell ref="C16:D16"/>
    <mergeCell ref="C17:D17"/>
    <mergeCell ref="C18:D18"/>
    <mergeCell ref="C19:D19"/>
    <mergeCell ref="C50:D50"/>
    <mergeCell ref="B47:C47"/>
    <mergeCell ref="E47:F47"/>
    <mergeCell ref="I47:J47"/>
    <mergeCell ref="B49:C49"/>
    <mergeCell ref="E49:F49"/>
    <mergeCell ref="I49:J49"/>
    <mergeCell ref="C36:D36"/>
    <mergeCell ref="J32:K32"/>
    <mergeCell ref="E25:F25"/>
    <mergeCell ref="J28:K28"/>
    <mergeCell ref="J29:K29"/>
    <mergeCell ref="C28:D28"/>
    <mergeCell ref="C32:D32"/>
    <mergeCell ref="C33:D33"/>
    <mergeCell ref="C34:D34"/>
    <mergeCell ref="C35:D35"/>
    <mergeCell ref="C51:D51"/>
    <mergeCell ref="J66:K66"/>
    <mergeCell ref="C52:D52"/>
    <mergeCell ref="C53:D53"/>
    <mergeCell ref="C54:D54"/>
    <mergeCell ref="C55:D55"/>
    <mergeCell ref="C56:D56"/>
    <mergeCell ref="B64:C64"/>
    <mergeCell ref="E64:F64"/>
    <mergeCell ref="I64:J64"/>
    <mergeCell ref="J15:K15"/>
    <mergeCell ref="J16:K16"/>
    <mergeCell ref="J17:K17"/>
    <mergeCell ref="J18:K18"/>
    <mergeCell ref="J19:K19"/>
    <mergeCell ref="J20:K20"/>
    <mergeCell ref="C30:D30"/>
    <mergeCell ref="C31:D31"/>
    <mergeCell ref="J30:K30"/>
    <mergeCell ref="J31:K31"/>
    <mergeCell ref="C29:D29"/>
    <mergeCell ref="C20:D20"/>
    <mergeCell ref="J33:K33"/>
    <mergeCell ref="J34:K34"/>
    <mergeCell ref="J35:K35"/>
    <mergeCell ref="J36:K36"/>
    <mergeCell ref="J53:K53"/>
    <mergeCell ref="J54:K54"/>
    <mergeCell ref="J55:K55"/>
    <mergeCell ref="J56:K56"/>
    <mergeCell ref="C71:D71"/>
    <mergeCell ref="C72:D72"/>
    <mergeCell ref="C73:D73"/>
    <mergeCell ref="J57:K57"/>
    <mergeCell ref="J58:K58"/>
    <mergeCell ref="C68:D68"/>
    <mergeCell ref="C69:D69"/>
    <mergeCell ref="J67:K67"/>
    <mergeCell ref="C66:D66"/>
    <mergeCell ref="C67:D67"/>
    <mergeCell ref="J76:K76"/>
    <mergeCell ref="C74:D74"/>
    <mergeCell ref="J68:K68"/>
    <mergeCell ref="J69:K69"/>
    <mergeCell ref="J70:K70"/>
    <mergeCell ref="J71:K71"/>
    <mergeCell ref="J72:K72"/>
    <mergeCell ref="J73:K73"/>
    <mergeCell ref="J74:K74"/>
    <mergeCell ref="C70:D70"/>
  </mergeCells>
  <conditionalFormatting sqref="I26:I27 I24 B26:B27 B24 K26:M27 B8 D10:F11 B10:B11 K10:M11 I8 I10:I11 I64:I65 I62 D64:F65 B64:B65 B62 K64:M65 B46 D26:F27 B48:B49 K48:M49 I46 D48:F49 I48:I49 C14:C19 E14:F19 L30:M35 E52:F57 L52:M57 E68:F73 L14:M19 E30:F35 J14:J19 C30:C35 J30:J35 C52:C57 J52:J57 C68:C73 J68:J73 L68:M73">
    <cfRule type="expression" priority="1" dxfId="0" stopIfTrue="1">
      <formula>$G$2=TRUE</formula>
    </cfRule>
  </conditionalFormatting>
  <printOptions/>
  <pageMargins left="0.3937007874015748" right="0.3937007874015748" top="0.3937007874015748" bottom="0.3937007874015748" header="0.5118110236220472" footer="0.5118110236220472"/>
  <pageSetup horizontalDpi="300" verticalDpi="300" orientation="landscape" paperSize="9" scale="95" r:id="rId2"/>
  <rowBreaks count="1" manualBreakCount="1">
    <brk id="37" max="255" man="1"/>
  </rowBreaks>
  <ignoredErrors>
    <ignoredError sqref="F20 M20 F36 M36 F58 M58 F74 M74" formulaRange="1"/>
  </ignoredErrors>
  <drawing r:id="rId1"/>
</worksheet>
</file>

<file path=xl/worksheets/sheet9.xml><?xml version="1.0" encoding="utf-8"?>
<worksheet xmlns="http://schemas.openxmlformats.org/spreadsheetml/2006/main" xmlns:r="http://schemas.openxmlformats.org/officeDocument/2006/relationships">
  <sheetPr codeName="Blad14">
    <pageSetUpPr fitToPage="1"/>
  </sheetPr>
  <dimension ref="A1:K48"/>
  <sheetViews>
    <sheetView showGridLines="0" zoomScale="86" zoomScaleNormal="86" workbookViewId="0" topLeftCell="A1">
      <selection activeCell="B3" sqref="B3"/>
    </sheetView>
  </sheetViews>
  <sheetFormatPr defaultColWidth="9.140625" defaultRowHeight="12.75"/>
  <cols>
    <col min="1" max="1" width="5.7109375" style="466" customWidth="1"/>
    <col min="2" max="4" width="15.7109375" style="459" customWidth="1"/>
    <col min="5" max="5" width="14.140625" style="459" customWidth="1"/>
    <col min="6" max="6" width="14.421875" style="459" customWidth="1"/>
    <col min="7" max="7" width="14.8515625" style="459" customWidth="1"/>
    <col min="8" max="10" width="13.7109375" style="459" customWidth="1"/>
    <col min="11" max="11" width="15.7109375" style="457" customWidth="1"/>
    <col min="12" max="16" width="10.7109375" style="457" customWidth="1"/>
    <col min="17" max="24" width="9.140625" style="457" customWidth="1"/>
    <col min="25" max="25" width="1.7109375" style="457" customWidth="1"/>
    <col min="26" max="16384" width="9.140625" style="457" customWidth="1"/>
  </cols>
  <sheetData>
    <row r="1" spans="1:11" ht="15.75" customHeight="1">
      <c r="A1" s="619"/>
      <c r="B1" s="42"/>
      <c r="C1" s="42"/>
      <c r="D1" s="42"/>
      <c r="E1" s="42"/>
      <c r="F1" s="42"/>
      <c r="G1" s="42"/>
      <c r="H1" s="42"/>
      <c r="I1" s="964"/>
      <c r="J1" s="90"/>
      <c r="K1" s="571"/>
    </row>
    <row r="2" spans="1:10" s="502" customFormat="1" ht="15.75" customHeight="1">
      <c r="A2" s="584" t="str">
        <f>Inhoud!$A$2</f>
        <v>Nacalculatieformulier 2004</v>
      </c>
      <c r="B2" s="597"/>
      <c r="C2" s="599"/>
      <c r="D2" s="597"/>
      <c r="E2" s="597"/>
      <c r="F2" s="600" t="b">
        <f>Voorblad!D30</f>
        <v>1</v>
      </c>
      <c r="G2" s="600"/>
      <c r="H2" s="599"/>
      <c r="I2" s="636"/>
      <c r="J2" s="596">
        <f>WZV!M40+1</f>
        <v>11</v>
      </c>
    </row>
    <row r="3" spans="1:11" ht="12.75" customHeight="1">
      <c r="A3" s="619"/>
      <c r="B3" s="42"/>
      <c r="C3" s="42"/>
      <c r="D3" s="42"/>
      <c r="E3" s="42"/>
      <c r="F3" s="42"/>
      <c r="G3" s="42"/>
      <c r="H3" s="42"/>
      <c r="I3" s="42"/>
      <c r="J3" s="42"/>
      <c r="K3" s="571"/>
    </row>
    <row r="4" spans="1:10" s="502" customFormat="1" ht="12.75" customHeight="1">
      <c r="A4" s="14" t="s">
        <v>135</v>
      </c>
      <c r="B4" s="628" t="s">
        <v>69</v>
      </c>
      <c r="C4" s="92"/>
      <c r="D4" s="92"/>
      <c r="E4" s="92"/>
      <c r="F4" s="92"/>
      <c r="G4" s="92"/>
      <c r="H4" s="92"/>
      <c r="I4" s="92"/>
      <c r="J4" s="92"/>
    </row>
    <row r="5" spans="1:8" s="502" customFormat="1" ht="12.75" customHeight="1">
      <c r="A5" s="629"/>
      <c r="B5" s="1289" t="s">
        <v>111</v>
      </c>
      <c r="C5" s="1290"/>
      <c r="D5" s="1291"/>
      <c r="E5" s="613" t="s">
        <v>315</v>
      </c>
      <c r="F5" s="1292" t="str">
        <f>CONCATENATE("In gebruik genomen ",Voorblad!D3)</f>
        <v>In gebruik genomen 2004</v>
      </c>
      <c r="G5" s="1293"/>
      <c r="H5" s="958" t="s">
        <v>261</v>
      </c>
    </row>
    <row r="6" spans="1:8" s="455" customFormat="1" ht="12.75" customHeight="1">
      <c r="A6" s="614"/>
      <c r="B6" s="956" t="s">
        <v>446</v>
      </c>
      <c r="C6" s="956" t="s">
        <v>170</v>
      </c>
      <c r="D6" s="956" t="s">
        <v>110</v>
      </c>
      <c r="E6" s="951" t="str">
        <f>CONCATENATE("nomen t/m ",Voorblad!D3-1)</f>
        <v>nomen t/m 2003</v>
      </c>
      <c r="F6" s="957" t="s">
        <v>260</v>
      </c>
      <c r="G6" s="957" t="s">
        <v>70</v>
      </c>
      <c r="H6" s="955" t="s">
        <v>332</v>
      </c>
    </row>
    <row r="7" spans="1:10" ht="4.5" customHeight="1">
      <c r="A7" s="457"/>
      <c r="B7" s="472"/>
      <c r="C7" s="472"/>
      <c r="D7" s="473"/>
      <c r="E7" s="474"/>
      <c r="F7" s="474"/>
      <c r="G7" s="474"/>
      <c r="H7" s="474"/>
      <c r="I7" s="457"/>
      <c r="J7" s="457"/>
    </row>
    <row r="8" spans="1:10" ht="12.75" customHeight="1">
      <c r="A8" s="733">
        <f>(100*J2)+1</f>
        <v>1101</v>
      </c>
      <c r="B8" s="881"/>
      <c r="C8" s="883"/>
      <c r="D8" s="682"/>
      <c r="E8" s="682"/>
      <c r="F8" s="433"/>
      <c r="G8" s="918"/>
      <c r="H8" s="959">
        <f>0.05*G8</f>
        <v>0</v>
      </c>
      <c r="I8" s="457"/>
      <c r="J8" s="457"/>
    </row>
    <row r="9" spans="1:10" ht="12.75" customHeight="1">
      <c r="A9" s="733">
        <f>A8+1</f>
        <v>1102</v>
      </c>
      <c r="B9" s="751"/>
      <c r="C9" s="882"/>
      <c r="D9" s="682"/>
      <c r="E9" s="682"/>
      <c r="F9" s="433"/>
      <c r="G9" s="918"/>
      <c r="H9" s="959">
        <f aca="true" t="shared" si="0" ref="H9:H27">0.05*G9</f>
        <v>0</v>
      </c>
      <c r="I9" s="457"/>
      <c r="J9" s="457"/>
    </row>
    <row r="10" spans="1:10" ht="12.75" customHeight="1">
      <c r="A10" s="733">
        <f aca="true" t="shared" si="1" ref="A10:A21">A9+1</f>
        <v>1103</v>
      </c>
      <c r="B10" s="751"/>
      <c r="C10" s="481"/>
      <c r="D10" s="682"/>
      <c r="E10" s="682"/>
      <c r="F10" s="433"/>
      <c r="G10" s="918"/>
      <c r="H10" s="959">
        <f t="shared" si="0"/>
        <v>0</v>
      </c>
      <c r="I10" s="457"/>
      <c r="J10" s="457"/>
    </row>
    <row r="11" spans="1:10" ht="12.75" customHeight="1">
      <c r="A11" s="733">
        <f t="shared" si="1"/>
        <v>1104</v>
      </c>
      <c r="B11" s="751"/>
      <c r="C11" s="481"/>
      <c r="D11" s="682"/>
      <c r="E11" s="682"/>
      <c r="F11" s="433"/>
      <c r="G11" s="918"/>
      <c r="H11" s="959">
        <f t="shared" si="0"/>
        <v>0</v>
      </c>
      <c r="I11" s="457"/>
      <c r="J11" s="457"/>
    </row>
    <row r="12" spans="1:10" ht="12.75" customHeight="1">
      <c r="A12" s="733">
        <f t="shared" si="1"/>
        <v>1105</v>
      </c>
      <c r="B12" s="751"/>
      <c r="C12" s="481"/>
      <c r="D12" s="682"/>
      <c r="E12" s="682"/>
      <c r="F12" s="433"/>
      <c r="G12" s="918"/>
      <c r="H12" s="959">
        <f t="shared" si="0"/>
        <v>0</v>
      </c>
      <c r="I12" s="457"/>
      <c r="J12" s="457"/>
    </row>
    <row r="13" spans="1:10" ht="12.75" customHeight="1">
      <c r="A13" s="733">
        <f t="shared" si="1"/>
        <v>1106</v>
      </c>
      <c r="B13" s="751"/>
      <c r="C13" s="481"/>
      <c r="D13" s="682"/>
      <c r="E13" s="682"/>
      <c r="F13" s="433"/>
      <c r="G13" s="918"/>
      <c r="H13" s="959">
        <f t="shared" si="0"/>
        <v>0</v>
      </c>
      <c r="I13" s="457"/>
      <c r="J13" s="457"/>
    </row>
    <row r="14" spans="1:10" ht="12.75" customHeight="1">
      <c r="A14" s="733">
        <f t="shared" si="1"/>
        <v>1107</v>
      </c>
      <c r="B14" s="751"/>
      <c r="C14" s="481"/>
      <c r="D14" s="682"/>
      <c r="E14" s="682"/>
      <c r="F14" s="433"/>
      <c r="G14" s="918"/>
      <c r="H14" s="959">
        <f t="shared" si="0"/>
        <v>0</v>
      </c>
      <c r="I14" s="457"/>
      <c r="J14" s="457"/>
    </row>
    <row r="15" spans="1:10" ht="12.75" customHeight="1">
      <c r="A15" s="733">
        <f t="shared" si="1"/>
        <v>1108</v>
      </c>
      <c r="B15" s="751"/>
      <c r="C15" s="481"/>
      <c r="D15" s="682"/>
      <c r="E15" s="682"/>
      <c r="F15" s="433"/>
      <c r="G15" s="918"/>
      <c r="H15" s="959">
        <f t="shared" si="0"/>
        <v>0</v>
      </c>
      <c r="I15" s="457"/>
      <c r="J15" s="457"/>
    </row>
    <row r="16" spans="1:10" ht="12.75" customHeight="1">
      <c r="A16" s="733">
        <f t="shared" si="1"/>
        <v>1109</v>
      </c>
      <c r="B16" s="751"/>
      <c r="C16" s="481"/>
      <c r="D16" s="682"/>
      <c r="E16" s="682"/>
      <c r="F16" s="433"/>
      <c r="G16" s="918"/>
      <c r="H16" s="959">
        <f t="shared" si="0"/>
        <v>0</v>
      </c>
      <c r="I16" s="457"/>
      <c r="J16" s="457"/>
    </row>
    <row r="17" spans="1:10" ht="12.75" customHeight="1">
      <c r="A17" s="733">
        <f t="shared" si="1"/>
        <v>1110</v>
      </c>
      <c r="B17" s="751"/>
      <c r="C17" s="481"/>
      <c r="D17" s="682"/>
      <c r="E17" s="682"/>
      <c r="F17" s="433"/>
      <c r="G17" s="918"/>
      <c r="H17" s="959">
        <f t="shared" si="0"/>
        <v>0</v>
      </c>
      <c r="I17" s="457"/>
      <c r="J17" s="457"/>
    </row>
    <row r="18" spans="1:10" ht="12.75" customHeight="1">
      <c r="A18" s="733">
        <f t="shared" si="1"/>
        <v>1111</v>
      </c>
      <c r="B18" s="751"/>
      <c r="C18" s="481"/>
      <c r="D18" s="682"/>
      <c r="E18" s="682"/>
      <c r="F18" s="433"/>
      <c r="G18" s="918"/>
      <c r="H18" s="959">
        <f t="shared" si="0"/>
        <v>0</v>
      </c>
      <c r="I18" s="457"/>
      <c r="J18" s="457"/>
    </row>
    <row r="19" spans="1:10" ht="12.75" customHeight="1">
      <c r="A19" s="733">
        <f t="shared" si="1"/>
        <v>1112</v>
      </c>
      <c r="B19" s="751"/>
      <c r="C19" s="481"/>
      <c r="D19" s="682"/>
      <c r="E19" s="682"/>
      <c r="F19" s="433"/>
      <c r="G19" s="918"/>
      <c r="H19" s="959">
        <f t="shared" si="0"/>
        <v>0</v>
      </c>
      <c r="I19" s="457"/>
      <c r="J19" s="457"/>
    </row>
    <row r="20" spans="1:10" ht="12.75" customHeight="1">
      <c r="A20" s="733">
        <f t="shared" si="1"/>
        <v>1113</v>
      </c>
      <c r="B20" s="751"/>
      <c r="C20" s="481"/>
      <c r="D20" s="682"/>
      <c r="E20" s="682"/>
      <c r="F20" s="433"/>
      <c r="G20" s="918"/>
      <c r="H20" s="959">
        <f t="shared" si="0"/>
        <v>0</v>
      </c>
      <c r="I20" s="457"/>
      <c r="J20" s="457"/>
    </row>
    <row r="21" spans="1:10" ht="12.75" customHeight="1">
      <c r="A21" s="733">
        <f t="shared" si="1"/>
        <v>1114</v>
      </c>
      <c r="B21" s="751"/>
      <c r="C21" s="481"/>
      <c r="D21" s="682"/>
      <c r="E21" s="682"/>
      <c r="F21" s="433"/>
      <c r="G21" s="918"/>
      <c r="H21" s="959">
        <f t="shared" si="0"/>
        <v>0</v>
      </c>
      <c r="I21" s="457"/>
      <c r="J21" s="457"/>
    </row>
    <row r="22" spans="1:10" ht="12.75" customHeight="1">
      <c r="A22" s="733">
        <f aca="true" t="shared" si="2" ref="A22:A28">A21+1</f>
        <v>1115</v>
      </c>
      <c r="B22" s="751"/>
      <c r="C22" s="481"/>
      <c r="D22" s="682"/>
      <c r="E22" s="682"/>
      <c r="F22" s="433"/>
      <c r="G22" s="918"/>
      <c r="H22" s="959">
        <f t="shared" si="0"/>
        <v>0</v>
      </c>
      <c r="I22" s="457"/>
      <c r="J22" s="457"/>
    </row>
    <row r="23" spans="1:10" ht="12.75" customHeight="1">
      <c r="A23" s="733">
        <f t="shared" si="2"/>
        <v>1116</v>
      </c>
      <c r="B23" s="751"/>
      <c r="C23" s="481"/>
      <c r="D23" s="682"/>
      <c r="E23" s="682"/>
      <c r="F23" s="433"/>
      <c r="G23" s="918"/>
      <c r="H23" s="960">
        <f t="shared" si="0"/>
        <v>0</v>
      </c>
      <c r="I23" s="457"/>
      <c r="J23" s="457"/>
    </row>
    <row r="24" spans="1:10" ht="12.75" customHeight="1">
      <c r="A24" s="733">
        <f t="shared" si="2"/>
        <v>1117</v>
      </c>
      <c r="B24" s="751"/>
      <c r="C24" s="481"/>
      <c r="D24" s="682"/>
      <c r="E24" s="682"/>
      <c r="F24" s="433"/>
      <c r="G24" s="918"/>
      <c r="H24" s="960">
        <f t="shared" si="0"/>
        <v>0</v>
      </c>
      <c r="I24" s="457"/>
      <c r="J24" s="457"/>
    </row>
    <row r="25" spans="1:10" ht="12.75" customHeight="1">
      <c r="A25" s="733">
        <f t="shared" si="2"/>
        <v>1118</v>
      </c>
      <c r="B25" s="751"/>
      <c r="C25" s="481"/>
      <c r="D25" s="682"/>
      <c r="E25" s="682"/>
      <c r="F25" s="433"/>
      <c r="G25" s="918"/>
      <c r="H25" s="959">
        <f t="shared" si="0"/>
        <v>0</v>
      </c>
      <c r="I25" s="457"/>
      <c r="J25" s="457"/>
    </row>
    <row r="26" spans="1:10" ht="12.75" customHeight="1">
      <c r="A26" s="733">
        <f t="shared" si="2"/>
        <v>1119</v>
      </c>
      <c r="B26" s="751"/>
      <c r="C26" s="481"/>
      <c r="D26" s="682"/>
      <c r="E26" s="682"/>
      <c r="F26" s="433"/>
      <c r="G26" s="918"/>
      <c r="H26" s="959">
        <f t="shared" si="0"/>
        <v>0</v>
      </c>
      <c r="I26" s="457"/>
      <c r="J26" s="457"/>
    </row>
    <row r="27" spans="1:10" ht="12.75" customHeight="1">
      <c r="A27" s="733">
        <f t="shared" si="2"/>
        <v>1120</v>
      </c>
      <c r="B27" s="752"/>
      <c r="C27" s="753"/>
      <c r="D27" s="754"/>
      <c r="E27" s="754"/>
      <c r="F27" s="433"/>
      <c r="G27" s="918"/>
      <c r="H27" s="959">
        <f t="shared" si="0"/>
        <v>0</v>
      </c>
      <c r="I27" s="457"/>
      <c r="J27" s="457"/>
    </row>
    <row r="28" spans="1:10" ht="12.75" customHeight="1">
      <c r="A28" s="733">
        <f t="shared" si="2"/>
        <v>1121</v>
      </c>
      <c r="B28" s="748" t="str">
        <f>CONCATENATE("Totaal regel ",A8," t/m ",A27)</f>
        <v>Totaal regel 1101 t/m 1120</v>
      </c>
      <c r="C28" s="756"/>
      <c r="D28" s="757">
        <f>SUM(D8:D27)</f>
        <v>0</v>
      </c>
      <c r="E28" s="758">
        <f>SUM(E8:E27)</f>
        <v>0</v>
      </c>
      <c r="F28" s="758">
        <f>SUM(F8:F27)</f>
        <v>0</v>
      </c>
      <c r="G28" s="758">
        <f>SUM(G8:G27)</f>
        <v>0</v>
      </c>
      <c r="H28" s="758">
        <f>SUM(H8:H27)</f>
        <v>0</v>
      </c>
      <c r="I28" s="457"/>
      <c r="J28" s="457"/>
    </row>
    <row r="29" spans="1:10" ht="12">
      <c r="A29" s="619"/>
      <c r="B29" s="42"/>
      <c r="C29" s="42"/>
      <c r="D29" s="42"/>
      <c r="E29" s="42"/>
      <c r="F29" s="42"/>
      <c r="G29" s="42"/>
      <c r="H29" s="42"/>
      <c r="I29" s="42"/>
      <c r="J29" s="42"/>
    </row>
    <row r="30" spans="1:10" ht="12">
      <c r="A30" s="457"/>
      <c r="B30" s="457"/>
      <c r="C30" s="457"/>
      <c r="D30" s="457"/>
      <c r="E30" s="457"/>
      <c r="F30" s="457"/>
      <c r="G30" s="457"/>
      <c r="H30" s="457"/>
      <c r="I30" s="457"/>
      <c r="J30" s="457"/>
    </row>
    <row r="31" spans="1:10" ht="12" customHeight="1">
      <c r="A31" s="457"/>
      <c r="B31" s="457"/>
      <c r="C31" s="457"/>
      <c r="D31" s="457"/>
      <c r="E31" s="457"/>
      <c r="F31" s="457"/>
      <c r="G31" s="457"/>
      <c r="H31" s="457"/>
      <c r="I31" s="457"/>
      <c r="J31" s="457"/>
    </row>
    <row r="32" spans="1:10" ht="12.75" customHeight="1">
      <c r="A32" s="457"/>
      <c r="B32" s="457"/>
      <c r="C32" s="457"/>
      <c r="D32" s="457"/>
      <c r="E32" s="457"/>
      <c r="F32" s="457"/>
      <c r="G32" s="457"/>
      <c r="H32" s="457"/>
      <c r="I32" s="457"/>
      <c r="J32" s="457"/>
    </row>
    <row r="33" spans="1:10" ht="12">
      <c r="A33" s="457"/>
      <c r="B33" s="457"/>
      <c r="C33" s="457"/>
      <c r="D33" s="457"/>
      <c r="E33" s="457"/>
      <c r="F33" s="457"/>
      <c r="G33" s="457"/>
      <c r="H33" s="457"/>
      <c r="I33" s="457"/>
      <c r="J33" s="457"/>
    </row>
    <row r="34" spans="1:10" ht="4.5" customHeight="1">
      <c r="A34" s="457"/>
      <c r="B34" s="457"/>
      <c r="C34" s="457"/>
      <c r="D34" s="457"/>
      <c r="E34" s="457"/>
      <c r="F34" s="457"/>
      <c r="G34" s="457"/>
      <c r="H34" s="457"/>
      <c r="I34" s="457"/>
      <c r="J34" s="457"/>
    </row>
    <row r="35" spans="1:10" ht="12">
      <c r="A35" s="457"/>
      <c r="B35" s="832"/>
      <c r="C35" s="457"/>
      <c r="D35" s="457"/>
      <c r="E35" s="457"/>
      <c r="F35" s="457"/>
      <c r="G35" s="457"/>
      <c r="H35" s="457"/>
      <c r="I35" s="457"/>
      <c r="J35" s="457"/>
    </row>
    <row r="36" spans="1:10" ht="12">
      <c r="A36" s="457"/>
      <c r="B36" s="457"/>
      <c r="C36" s="457"/>
      <c r="D36" s="457"/>
      <c r="E36" s="457"/>
      <c r="F36" s="457"/>
      <c r="G36" s="457"/>
      <c r="H36" s="457"/>
      <c r="I36" s="457"/>
      <c r="J36" s="457"/>
    </row>
    <row r="37" spans="1:10" ht="12">
      <c r="A37" s="457"/>
      <c r="B37" s="457"/>
      <c r="C37" s="457"/>
      <c r="D37" s="457"/>
      <c r="E37" s="457"/>
      <c r="F37" s="457"/>
      <c r="G37" s="457"/>
      <c r="H37" s="457"/>
      <c r="I37" s="457"/>
      <c r="J37" s="457"/>
    </row>
    <row r="38" spans="1:10" ht="12">
      <c r="A38" s="457"/>
      <c r="B38" s="457"/>
      <c r="C38" s="457"/>
      <c r="D38" s="457"/>
      <c r="E38" s="457"/>
      <c r="F38" s="457"/>
      <c r="G38" s="457"/>
      <c r="H38" s="457"/>
      <c r="I38" s="457"/>
      <c r="J38" s="457"/>
    </row>
    <row r="39" spans="1:10" ht="12">
      <c r="A39" s="457"/>
      <c r="B39" s="457"/>
      <c r="C39" s="457"/>
      <c r="D39" s="457"/>
      <c r="E39" s="457"/>
      <c r="F39" s="457"/>
      <c r="G39" s="457"/>
      <c r="H39" s="457"/>
      <c r="I39" s="457"/>
      <c r="J39" s="457"/>
    </row>
    <row r="40" spans="1:10" ht="12">
      <c r="A40" s="457"/>
      <c r="B40" s="457"/>
      <c r="C40" s="457"/>
      <c r="D40" s="457"/>
      <c r="E40" s="457"/>
      <c r="F40" s="457"/>
      <c r="G40" s="457"/>
      <c r="H40" s="457"/>
      <c r="I40" s="457"/>
      <c r="J40" s="457"/>
    </row>
    <row r="41" spans="1:10" ht="12">
      <c r="A41" s="457"/>
      <c r="B41" s="457"/>
      <c r="C41" s="457"/>
      <c r="D41" s="457"/>
      <c r="E41" s="457"/>
      <c r="F41" s="457"/>
      <c r="G41" s="457"/>
      <c r="H41" s="457"/>
      <c r="I41" s="457"/>
      <c r="J41" s="457"/>
    </row>
    <row r="42" spans="1:10" ht="12">
      <c r="A42" s="457"/>
      <c r="B42" s="457"/>
      <c r="C42" s="457"/>
      <c r="D42" s="457"/>
      <c r="E42" s="457"/>
      <c r="F42" s="457"/>
      <c r="G42" s="457"/>
      <c r="H42" s="457"/>
      <c r="I42" s="457"/>
      <c r="J42" s="457"/>
    </row>
    <row r="43" spans="1:10" ht="12">
      <c r="A43" s="457"/>
      <c r="B43" s="457"/>
      <c r="C43" s="457"/>
      <c r="D43" s="457"/>
      <c r="E43" s="457"/>
      <c r="F43" s="457"/>
      <c r="G43" s="457"/>
      <c r="H43" s="457"/>
      <c r="I43" s="457"/>
      <c r="J43" s="457"/>
    </row>
    <row r="44" spans="1:10" ht="12">
      <c r="A44" s="457"/>
      <c r="B44" s="457"/>
      <c r="C44" s="457"/>
      <c r="D44" s="457"/>
      <c r="E44" s="457"/>
      <c r="F44" s="457"/>
      <c r="G44" s="457"/>
      <c r="H44" s="457"/>
      <c r="I44" s="457"/>
      <c r="J44" s="457"/>
    </row>
    <row r="45" spans="1:10" ht="12">
      <c r="A45" s="457"/>
      <c r="B45" s="457"/>
      <c r="C45" s="457"/>
      <c r="D45" s="457"/>
      <c r="E45" s="457"/>
      <c r="F45" s="457"/>
      <c r="G45" s="457"/>
      <c r="H45" s="457"/>
      <c r="I45" s="457"/>
      <c r="J45" s="457"/>
    </row>
    <row r="46" spans="1:10" ht="12">
      <c r="A46" s="457"/>
      <c r="B46" s="457"/>
      <c r="C46" s="457"/>
      <c r="D46" s="457"/>
      <c r="E46" s="457"/>
      <c r="F46" s="457"/>
      <c r="G46" s="457"/>
      <c r="H46" s="457"/>
      <c r="I46" s="457"/>
      <c r="J46" s="457"/>
    </row>
    <row r="47" ht="12">
      <c r="J47" s="457"/>
    </row>
    <row r="48" ht="12">
      <c r="J48" s="457"/>
    </row>
  </sheetData>
  <sheetProtection password="CFAD" sheet="1" objects="1" scenarios="1"/>
  <mergeCells count="2">
    <mergeCell ref="B5:D5"/>
    <mergeCell ref="F5:G5"/>
  </mergeCells>
  <conditionalFormatting sqref="H8:J27">
    <cfRule type="expression" priority="1" dxfId="1" stopIfTrue="1">
      <formula>$C$2=TRUE</formula>
    </cfRule>
  </conditionalFormatting>
  <conditionalFormatting sqref="B8:G27">
    <cfRule type="expression" priority="2" dxfId="0" stopIfTrue="1">
      <formula>$F$2=TRUE</formula>
    </cfRule>
  </conditionalFormatting>
  <dataValidations count="2">
    <dataValidation allowBlank="1" showInputMessage="1" showErrorMessage="1" promptTitle="Meldingsbrieven CBZ" prompt="In dit overzicht alleen de meldingsbrieven vermelden waarop in het nacalculatiejaar investeringen zijn uitgevoerd." sqref="B5:D5"/>
    <dataValidation allowBlank="1" showInputMessage="1" showErrorMessage="1" promptTitle="Kenmerk" prompt="In deze kolom het jaartal vermelden waarop de melding betrekking heeft en het volgnummer. Bijvoorbeeld: 01 M1 of 02 J1. Een regel per meldingsbrief gebruiken.&#10;" sqref="C6 C8"/>
  </dataValidations>
  <printOptions/>
  <pageMargins left="0.3937007874015748" right="0.3937007874015748" top="0.3937007874015748" bottom="0.3937007874015748" header="0.5118110236220472" footer="0.5118110236220472"/>
  <pageSetup fitToHeight="1"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E.A. Rutting</cp:lastModifiedBy>
  <cp:lastPrinted>2005-06-21T12:43:57Z</cp:lastPrinted>
  <dcterms:created xsi:type="dcterms:W3CDTF">2000-02-23T15:17:24Z</dcterms:created>
  <dcterms:modified xsi:type="dcterms:W3CDTF">2005-07-07T11:08:33Z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-795833832</vt:i4>
  </property>
  <property fmtid="{D5CDD505-2E9C-101B-9397-08002B2CF9AE}" pid="3" name="_EmailSubject">
    <vt:lpwstr>Nacalculatieformulier 2004 epilepsiecentra</vt:lpwstr>
  </property>
  <property fmtid="{D5CDD505-2E9C-101B-9397-08002B2CF9AE}" pid="4" name="_AuthorEmail">
    <vt:lpwstr>egevers@ctg-zaio.nl</vt:lpwstr>
  </property>
  <property fmtid="{D5CDD505-2E9C-101B-9397-08002B2CF9AE}" pid="5" name="_AuthorEmailDisplayName">
    <vt:lpwstr>Gevers, Evelien</vt:lpwstr>
  </property>
  <property fmtid="{D5CDD505-2E9C-101B-9397-08002B2CF9AE}" pid="6" name="_PreviousAdHocReviewCycleID">
    <vt:i4>-1442786142</vt:i4>
  </property>
  <property fmtid="{D5CDD505-2E9C-101B-9397-08002B2CF9AE}" pid="7" name="_ReviewingToolsShownOnce">
    <vt:lpwstr/>
  </property>
  <property fmtid="{D5CDD505-2E9C-101B-9397-08002B2CF9AE}" pid="8" name="_dlc_DocId">
    <vt:lpwstr>THRFR6N5WDQ4-19-11392</vt:lpwstr>
  </property>
  <property fmtid="{D5CDD505-2E9C-101B-9397-08002B2CF9AE}" pid="9" name="_dlc_DocIdItemGuid">
    <vt:lpwstr>85debc12-8e1f-4649-88e6-a1c9bb6b6247</vt:lpwstr>
  </property>
  <property fmtid="{D5CDD505-2E9C-101B-9397-08002B2CF9AE}" pid="10" name="_dlc_DocIdUrl">
    <vt:lpwstr>http://kennisnet.nza.nl/publicaties/Aanleveren/_layouts/DocIdRedir.aspx?ID=THRFR6N5WDQ4-19-11392, THRFR6N5WDQ4-19-11392</vt:lpwstr>
  </property>
  <property fmtid="{D5CDD505-2E9C-101B-9397-08002B2CF9AE}" pid="11"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
  </property>
  <property fmtid="{D5CDD505-2E9C-101B-9397-08002B2CF9AE}" pid="15" name="DocumentTypeMetadata">
    <vt:lpwstr>Bijlage|5bf77c6e-b0b2-45e1-a13a-aadc6364942c</vt:lpwstr>
  </property>
  <property fmtid="{D5CDD505-2E9C-101B-9397-08002B2CF9AE}" pid="16" name="ExtraZoekwoordenMetadata">
    <vt:lpwstr/>
  </property>
</Properties>
</file>