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1340" windowHeight="6540" firstSheet="1" activeTab="1"/>
  </bookViews>
  <sheets>
    <sheet name="Uitvoer" sheetId="1" state="hidden" r:id="rId1"/>
    <sheet name="Voorblad" sheetId="2" r:id="rId2"/>
    <sheet name="Inhoud" sheetId="3" r:id="rId3"/>
    <sheet name="instructie" sheetId="4" r:id="rId4"/>
    <sheet name="Productie" sheetId="5" r:id="rId5"/>
    <sheet name="Opbrengsten" sheetId="6" r:id="rId6"/>
    <sheet name="Afschrijvingen" sheetId="7" r:id="rId7"/>
    <sheet name="WZV" sheetId="8" r:id="rId8"/>
    <sheet name="Instandhouding" sheetId="9" r:id="rId9"/>
    <sheet name="Overige kap.lasten " sheetId="10" r:id="rId10"/>
    <sheet name="Mutaties" sheetId="11" r:id="rId11"/>
    <sheet name="Rentecalc." sheetId="12" r:id="rId12"/>
    <sheet name="A-E" sheetId="13" r:id="rId13"/>
    <sheet name="F" sheetId="14" r:id="rId14"/>
    <sheet name="G-H" sheetId="15" r:id="rId15"/>
    <sheet name="Vragen" sheetId="16" r:id="rId16"/>
    <sheet name="Aanv.vragen" sheetId="17" r:id="rId17"/>
    <sheet name="controleprotocol" sheetId="18" r:id="rId18"/>
  </sheets>
  <externalReferences>
    <externalReference r:id="rId21"/>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Order1" hidden="1">255</definedName>
    <definedName name="_Order2" hidden="1">255</definedName>
    <definedName name="_xlnm.Print_Area" localSheetId="16">'Aanv.vragen'!$A$1:$H$87</definedName>
    <definedName name="_xlnm.Print_Area" localSheetId="12">'A-E'!$A$1:$G$137</definedName>
    <definedName name="_xlnm.Print_Area" localSheetId="6">'Afschrijvingen'!$A$1:$K$38</definedName>
    <definedName name="_xlnm.Print_Area" localSheetId="17">'controleprotocol'!$A$1:$G$66</definedName>
    <definedName name="_xlnm.Print_Area" localSheetId="14">'G-H'!$A$1:$E$41</definedName>
    <definedName name="_xlnm.Print_Area" localSheetId="2">'Inhoud'!$A$1:$I$39</definedName>
    <definedName name="_xlnm.Print_Area" localSheetId="8">'Instandhouding'!$A$1:$M$89</definedName>
    <definedName name="_xlnm.Print_Area" localSheetId="3">'instructie'!$A$1:$E$89</definedName>
    <definedName name="_xlnm.Print_Area" localSheetId="10">'Mutaties'!$A$1:$I$45</definedName>
    <definedName name="_xlnm.Print_Area" localSheetId="5">'Opbrengsten'!$A$1:$M$87</definedName>
    <definedName name="_xlnm.Print_Area" localSheetId="9">'Overige kap.lasten '!$A$1:$M$82</definedName>
    <definedName name="_xlnm.Print_Area" localSheetId="4">'Productie'!$A$1:$M$164</definedName>
    <definedName name="_xlnm.Print_Area" localSheetId="11">'Rentecalc.'!$A$1:$H$42</definedName>
    <definedName name="_xlnm.Print_Area" localSheetId="1">'Voorblad'!$A$29:$O$54</definedName>
    <definedName name="_xlnm.Print_Area" localSheetId="15">'Vragen'!$A$1:$G$130</definedName>
    <definedName name="_xlnm.Print_Titles" localSheetId="10">'Mutaties'!$2:$2</definedName>
    <definedName name="_xlnm.Print_Titles" localSheetId="11">'Rentecalc.'!$2:$2</definedName>
    <definedName name="_xlnm.Print_Titles" localSheetId="1">'Voorblad'!$1:$13</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kolom_data">#REF!</definedName>
    <definedName name="naam">#REF!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Z_60683067_AF12_11D4_9642_08005ACCD915_.wvu.PrintArea" localSheetId="12" hidden="1">'A-E'!$A:$XFD</definedName>
    <definedName name="Z_60683067_AF12_11D4_9642_08005ACCD915_.wvu.PrintArea" localSheetId="13" hidden="1">'F'!$A:$XFD</definedName>
    <definedName name="Z_60683067_AF12_11D4_9642_08005ACCD915_.wvu.PrintArea" localSheetId="14" hidden="1">'G-H'!$A:$XFD</definedName>
    <definedName name="Z_60683067_AF12_11D4_9642_08005ACCD915_.wvu.PrintArea" localSheetId="8" hidden="1">'Instandhouding'!$A:$XFD</definedName>
    <definedName name="Z_60683067_AF12_11D4_9642_08005ACCD915_.wvu.PrintArea" localSheetId="5" hidden="1">'Opbrengsten'!$A:$XFD</definedName>
    <definedName name="Z_60683067_AF12_11D4_9642_08005ACCD915_.wvu.PrintArea" localSheetId="9" hidden="1">'Overige kap.lasten '!$A:$XFD</definedName>
    <definedName name="Z_60683067_AF12_11D4_9642_08005ACCD915_.wvu.PrintArea" localSheetId="4" hidden="1">'Productie'!$A:$XFD</definedName>
    <definedName name="Z_60683067_AF12_11D4_9642_08005ACCD915_.wvu.PrintArea" localSheetId="7" hidden="1">'WZV'!$A:$XFD</definedName>
    <definedName name="Z_60683067_AF12_11D4_9642_08005ACCD915_.wvu.PrintTitles" localSheetId="16" hidden="1">'Aanv.vragen'!$2:$2</definedName>
    <definedName name="Z_60683067_AF12_11D4_9642_08005ACCD915_.wvu.PrintTitles" localSheetId="10" hidden="1">'Mutaties'!$2:$2</definedName>
    <definedName name="Z_60683067_AF12_11D4_9642_08005ACCD915_.wvu.PrintTitles" localSheetId="11" hidden="1">'Rentecalc.'!$2:$2</definedName>
    <definedName name="Z_60683068_AF12_11D4_9642_08005ACCD915_.wvu.PrintTitles" localSheetId="16" hidden="1">'Aanv.vragen'!$2:$2</definedName>
    <definedName name="Z_60683068_AF12_11D4_9642_08005ACCD915_.wvu.PrintTitles" localSheetId="12" hidden="1">'A-E'!#REF!</definedName>
    <definedName name="Z_60683068_AF12_11D4_9642_08005ACCD915_.wvu.PrintTitles" localSheetId="6" hidden="1">'Afschrijvingen'!$2:$2</definedName>
    <definedName name="Z_60683068_AF12_11D4_9642_08005ACCD915_.wvu.PrintTitles" localSheetId="13" hidden="1">'F'!#REF!</definedName>
    <definedName name="Z_60683068_AF12_11D4_9642_08005ACCD915_.wvu.PrintTitles" localSheetId="14" hidden="1">'G-H'!#REF!</definedName>
    <definedName name="Z_60683068_AF12_11D4_9642_08005ACCD915_.wvu.PrintTitles" localSheetId="2" hidden="1">'Inhoud'!$2:$2</definedName>
    <definedName name="Z_60683068_AF12_11D4_9642_08005ACCD915_.wvu.PrintTitles" localSheetId="8" hidden="1">'Instandhouding'!#REF!</definedName>
    <definedName name="Z_60683068_AF12_11D4_9642_08005ACCD915_.wvu.PrintTitles" localSheetId="3" hidden="1">'instructie'!$2:$2</definedName>
    <definedName name="Z_60683068_AF12_11D4_9642_08005ACCD915_.wvu.PrintTitles" localSheetId="10" hidden="1">'Mutaties'!$2:$2</definedName>
    <definedName name="Z_60683068_AF12_11D4_9642_08005ACCD915_.wvu.PrintTitles" localSheetId="5" hidden="1">'Opbrengsten'!#REF!</definedName>
    <definedName name="Z_60683068_AF12_11D4_9642_08005ACCD915_.wvu.PrintTitles" localSheetId="9" hidden="1">'Overige kap.lasten '!#REF!</definedName>
    <definedName name="Z_60683068_AF12_11D4_9642_08005ACCD915_.wvu.PrintTitles" localSheetId="4" hidden="1">'Productie'!#REF!</definedName>
    <definedName name="Z_60683068_AF12_11D4_9642_08005ACCD915_.wvu.PrintTitles" localSheetId="11" hidden="1">'Rentecalc.'!$2:$2</definedName>
    <definedName name="Z_60683068_AF12_11D4_9642_08005ACCD915_.wvu.PrintTitles" localSheetId="7" hidden="1">'WZV'!#REF!</definedName>
    <definedName name="Z_60683068_AF12_11D4_9642_08005ACCD915_.wvu.Rows" localSheetId="16" hidden="1">'Aanv.vragen'!#REF!,'Aanv.vragen'!#REF!,'Aanv.vragen'!#REF!,'Aanv.vragen'!#REF!</definedName>
    <definedName name="Z_60683068_AF12_11D4_9642_08005ACCD915_.wvu.Rows" localSheetId="6" hidden="1">'Afschrijvingen'!#REF!,'Afschrijvingen'!#REF!,'Afschrijvingen'!#REF!</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0" hidden="1">'Mutaties'!$29:$29,'Mutaties'!#REF!,'Mutaties'!#REF!,'Mutaties'!#REF!</definedName>
    <definedName name="Z_60683068_AF12_11D4_9642_08005ACCD915_.wvu.Rows" localSheetId="11" hidden="1">'Rentecalc.'!#REF!,'Rentecalc.'!#REF!,'Rentecalc.'!#REF!,'Rentecalc.'!#REF!</definedName>
    <definedName name="Z_60683068_AF12_11D4_9642_08005ACCD915_.wvu.Rows" localSheetId="1" hidden="1">'Voorblad'!#REF!,'Voorblad'!#REF!,'Voorblad'!$33:$33,'Voorblad'!#REF!</definedName>
    <definedName name="Z_FA655883_D50B_11D5_8D1E_0004AC965489_.wvu.PrintArea" localSheetId="17" hidden="1">'controleprotocol'!$A$4:$G$23</definedName>
  </definedNames>
  <calcPr fullCalcOnLoad="1"/>
</workbook>
</file>

<file path=xl/sharedStrings.xml><?xml version="1.0" encoding="utf-8"?>
<sst xmlns="http://schemas.openxmlformats.org/spreadsheetml/2006/main" count="1428" uniqueCount="940">
  <si>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</si>
  <si>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</si>
  <si>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</si>
  <si>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</si>
  <si>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</si>
  <si>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</si>
  <si>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</si>
  <si>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</si>
  <si>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</si>
  <si>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Eigen vermogen Riagg</t>
  </si>
  <si>
    <t>Eigen vermogen Ribw</t>
  </si>
  <si>
    <t>Opbrengst asielzoekers ZRA</t>
  </si>
  <si>
    <t xml:space="preserve">klasse </t>
  </si>
  <si>
    <t>opbouw trekkingsrechten</t>
  </si>
  <si>
    <t>van</t>
  </si>
  <si>
    <t>tot en met</t>
  </si>
  <si>
    <t>jaar</t>
  </si>
  <si>
    <t>opbouw klasse</t>
  </si>
  <si>
    <t>te verwerken</t>
  </si>
  <si>
    <t>code</t>
  </si>
  <si>
    <t>ingangs-</t>
  </si>
  <si>
    <t>termijnen</t>
  </si>
  <si>
    <t>datum</t>
  </si>
  <si>
    <t>IVN05</t>
  </si>
  <si>
    <t>IVN06</t>
  </si>
  <si>
    <t>IVN07</t>
  </si>
  <si>
    <t>IVN08</t>
  </si>
  <si>
    <t>IVN09</t>
  </si>
  <si>
    <t>IVN10</t>
  </si>
  <si>
    <t>IVN11</t>
  </si>
  <si>
    <t>IVN12</t>
  </si>
  <si>
    <t>IVN13</t>
  </si>
  <si>
    <t>IVN14</t>
  </si>
  <si>
    <t>IVN15</t>
  </si>
  <si>
    <t>IVN16</t>
  </si>
  <si>
    <t>Verschil</t>
  </si>
  <si>
    <t xml:space="preserve">norm. m2 </t>
  </si>
  <si>
    <t>Totaal 1 t/m 3</t>
  </si>
  <si>
    <t>Al ingeboekte</t>
  </si>
  <si>
    <t xml:space="preserve"> termijnen ¹)</t>
  </si>
  <si>
    <t xml:space="preserve">Beleidsregel-bedrag per m² </t>
  </si>
  <si>
    <t>Overig buiten beschouwing gebleven eigen vermogen (reden toelichten)</t>
  </si>
  <si>
    <t>Kolommen</t>
  </si>
  <si>
    <t xml:space="preserve">Algemeen </t>
  </si>
  <si>
    <t>Deze vragenlijst wordt ingevuld door de instelling en gecontroleerd door de accountant.</t>
  </si>
  <si>
    <t>Per vraag aanklikken wat van toepassing is.</t>
  </si>
  <si>
    <t>Wij zijn van oordeel dat de in het nacalculatieformulier 2004 van .... (naam instelling) opgenomen cijfermatige gegevens op een juiste wijze zijn ontleend aan de jaarrekening danwel juist zijn berekend en dat bij het opstellen en de controle van het nacalculatieformulier 2004 de aanwijzingen die het CTG/ZAio heeft gegeven in het controleprotocol voor het nacalculatieformulier 2004 zijn nageleefd. Tevens hebben wij vastgesteld dat de vragenlijst die deel uitmaakt van het nacalculatieformulier juist is ingevuld.  Het in het nacalculatieformulier berekend bedrag aanvaardbare kosten 2004 bedraagt € ......</t>
  </si>
  <si>
    <t>Wij hebben bijgaand nacalculatieformulier 2004 van.....(naam instelling) gecontroleerd. Het nacalculatieformulier is opgesteld onder verantwoordelijkheid van de leiding van de instelling. Het is onze verantwoordelijkheid een accountantsverklaring bij het nacalculatieformulier te verstrekken.</t>
  </si>
  <si>
    <t>Indien het antwoord in kolom 2 is aangeklikt dient op een separate bijlage een toelichting te worden gegeven.</t>
  </si>
  <si>
    <t>VRAGENLIJST NACALCULATIE</t>
  </si>
  <si>
    <t>Ruimte voor toelichting</t>
  </si>
  <si>
    <t>Vervolg VRAGENLIJST NACALCULATIE</t>
  </si>
  <si>
    <t>Is de Regeling Jaarverslaggeving Zorginstellingen toegepast?</t>
  </si>
  <si>
    <t>Nacalculatie productie/aanvullende inkomsten</t>
  </si>
  <si>
    <t>Vervolg kapitaalslasten</t>
  </si>
  <si>
    <t>Overige vragen</t>
  </si>
  <si>
    <t>KAFOV</t>
  </si>
  <si>
    <t>KRENTE</t>
  </si>
  <si>
    <t>KDOOKA</t>
  </si>
  <si>
    <t>KHUERF</t>
  </si>
  <si>
    <t>LPRIV</t>
  </si>
  <si>
    <t>VOORL</t>
  </si>
  <si>
    <t>Regel</t>
  </si>
  <si>
    <t>Plaats</t>
  </si>
  <si>
    <t>Omschrijving</t>
  </si>
  <si>
    <t>KPVP</t>
  </si>
  <si>
    <t>%</t>
  </si>
  <si>
    <t>Tuinaanleg en bestrating</t>
  </si>
  <si>
    <t>Stenen gebouwen</t>
  </si>
  <si>
    <t>Houten paviljoens</t>
  </si>
  <si>
    <t>Installaties</t>
  </si>
  <si>
    <t>Aanloopkosten</t>
  </si>
  <si>
    <t>Aanloopverliezen</t>
  </si>
  <si>
    <t>Aanschafwaarde grond</t>
  </si>
  <si>
    <t>Overig</t>
  </si>
  <si>
    <t>Rekenstaat</t>
  </si>
  <si>
    <t>Gewogen boekwaarde</t>
  </si>
  <si>
    <t>Factor</t>
  </si>
  <si>
    <t>Geldgever</t>
  </si>
  <si>
    <t xml:space="preserve">Saldo </t>
  </si>
  <si>
    <t>Kapitaal</t>
  </si>
  <si>
    <t>Algemene reserves</t>
  </si>
  <si>
    <t>Reserve aanvaardbare kosten</t>
  </si>
  <si>
    <t>Instandhoudingsreserve</t>
  </si>
  <si>
    <t>Reserve inventarissen</t>
  </si>
  <si>
    <t>Overige reserves</t>
  </si>
  <si>
    <t>Vernieuwingsfonds</t>
  </si>
  <si>
    <t>Egalisatievoorzienining  onderhoud</t>
  </si>
  <si>
    <t>Overige voorzieningen</t>
  </si>
  <si>
    <t>Fondsen en fundaties</t>
  </si>
  <si>
    <t>Saldo resultatenrekening</t>
  </si>
  <si>
    <t>Datum</t>
  </si>
  <si>
    <t>Voorlopige budgetmutatie</t>
  </si>
  <si>
    <t>Mutatie aanvaardbare kosten</t>
  </si>
  <si>
    <t>* In rekenstaat te vinden bij onderbouwing van de regel</t>
  </si>
  <si>
    <t>Berekening exploitatieresultaat</t>
  </si>
  <si>
    <t>&lt;&lt;&lt;</t>
  </si>
  <si>
    <t>Instandhoudingsinvestering</t>
  </si>
  <si>
    <t>Semi-perm. gebouwen</t>
  </si>
  <si>
    <t>dag</t>
  </si>
  <si>
    <t>ma(a)nd(en)</t>
  </si>
  <si>
    <t>Egalisatierekening annuïteitenrente en nog te verrekenen (aanvaardbare) boeterente [(beginbalans + eindbalans) : 2]</t>
  </si>
  <si>
    <t xml:space="preserve">% </t>
  </si>
  <si>
    <t xml:space="preserve">Bedrag </t>
  </si>
  <si>
    <t xml:space="preserve">bedrag </t>
  </si>
  <si>
    <t>Afschrijving op geactiveerde rente van annuïteitenleningen</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</si>
  <si>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</si>
  <si>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</si>
  <si>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</si>
  <si>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</si>
  <si>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</si>
  <si>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</si>
  <si>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</si>
  <si>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</si>
  <si>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</si>
  <si>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</si>
  <si>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</si>
  <si>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</si>
  <si>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</si>
  <si>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</si>
  <si>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</si>
  <si>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</si>
  <si>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</si>
  <si>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SGA-afdelingen</t>
  </si>
  <si>
    <t>Alcohol- en drugs</t>
  </si>
  <si>
    <t>Kinderen en jeugd</t>
  </si>
  <si>
    <t>Volwassenen/ouderen</t>
  </si>
  <si>
    <t>F151</t>
  </si>
  <si>
    <t>F152</t>
  </si>
  <si>
    <t>F153</t>
  </si>
  <si>
    <t>F154</t>
  </si>
  <si>
    <t>F155</t>
  </si>
  <si>
    <t>F156</t>
  </si>
  <si>
    <t>F157</t>
  </si>
  <si>
    <t>Forensisch</t>
  </si>
  <si>
    <t>F101</t>
  </si>
  <si>
    <t>F102</t>
  </si>
  <si>
    <t>F103</t>
  </si>
  <si>
    <t>F104</t>
  </si>
  <si>
    <t>F105</t>
  </si>
  <si>
    <t>F106</t>
  </si>
  <si>
    <t>F107</t>
  </si>
  <si>
    <t>F202</t>
  </si>
  <si>
    <t>F204</t>
  </si>
  <si>
    <t>F205</t>
  </si>
  <si>
    <t>F206</t>
  </si>
  <si>
    <t>RUBRIEK 2: KAPITAALSLASTEN</t>
  </si>
  <si>
    <t>Vervoersmiddelen</t>
  </si>
  <si>
    <t>Eigen wasserij</t>
  </si>
  <si>
    <t>Automatisering</t>
  </si>
  <si>
    <t>Inventaris</t>
  </si>
  <si>
    <t>Jaarlijkse instandhouding</t>
  </si>
  <si>
    <t>Incidentele instandhouding</t>
  </si>
  <si>
    <t>1.5</t>
  </si>
  <si>
    <t xml:space="preserve">1.1 </t>
  </si>
  <si>
    <t xml:space="preserve">1.2 </t>
  </si>
  <si>
    <t>Eerste opnamen</t>
  </si>
  <si>
    <t xml:space="preserve">1.3 </t>
  </si>
  <si>
    <t>Deeltijdbehandeling</t>
  </si>
  <si>
    <t xml:space="preserve">1.6 </t>
  </si>
  <si>
    <t>Totale opbrengst</t>
  </si>
  <si>
    <t>Totaal</t>
  </si>
  <si>
    <t>Tarief*</t>
  </si>
  <si>
    <t xml:space="preserve">2.1 </t>
  </si>
  <si>
    <t>Nacalculeerbare afschrijvingskosten</t>
  </si>
  <si>
    <t xml:space="preserve">Eigen bijdrage psychotherapie  </t>
  </si>
  <si>
    <t xml:space="preserve"> Kinderen en jeugd</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</si>
  <si>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</si>
  <si>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</si>
  <si>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</si>
  <si>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</si>
  <si>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</si>
  <si>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</si>
  <si>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</si>
  <si>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</si>
  <si>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</si>
  <si>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</si>
  <si>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</si>
  <si>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</si>
  <si>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</si>
  <si>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</si>
  <si>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</si>
  <si>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</si>
  <si>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</si>
  <si>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</si>
  <si>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</si>
  <si>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</si>
  <si>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</si>
  <si>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</si>
  <si>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Nummer </t>
  </si>
  <si>
    <t xml:space="preserve">Datum </t>
  </si>
  <si>
    <t xml:space="preserve">Doorwerking </t>
  </si>
  <si>
    <t xml:space="preserve">Besteed </t>
  </si>
  <si>
    <t>Onderhanden bouwprojecten normale WZV-procedures</t>
  </si>
  <si>
    <t xml:space="preserve">A. </t>
  </si>
  <si>
    <t>B.</t>
  </si>
  <si>
    <t xml:space="preserve">C. </t>
  </si>
  <si>
    <t>Werkelijke boekwaarde instandhoudingsinvesteringen</t>
  </si>
  <si>
    <t xml:space="preserve">D. </t>
  </si>
  <si>
    <t xml:space="preserve">E. </t>
  </si>
  <si>
    <t>Normatieve boekwaarde medische en overige inventarissen</t>
  </si>
  <si>
    <t xml:space="preserve">Afschrijvingen* </t>
  </si>
  <si>
    <t xml:space="preserve">F. </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</si>
  <si>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</si>
  <si>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</si>
  <si>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</si>
  <si>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</si>
  <si>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</si>
  <si>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</si>
  <si>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</si>
  <si>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</si>
  <si>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</si>
  <si>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</si>
  <si>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</si>
  <si>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</si>
  <si>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</si>
  <si>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</si>
  <si>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</si>
  <si>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</si>
  <si>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 xml:space="preserve">Structurele </t>
  </si>
  <si>
    <t xml:space="preserve">afschrijving </t>
  </si>
  <si>
    <t>Nacalculatie</t>
  </si>
  <si>
    <t>Contactpersoon</t>
  </si>
  <si>
    <t>Telefoon</t>
  </si>
  <si>
    <t>Fax</t>
  </si>
  <si>
    <t>E-mail</t>
  </si>
  <si>
    <t>(datum)</t>
  </si>
  <si>
    <t>(naam)</t>
  </si>
  <si>
    <t>(handtekening)</t>
  </si>
  <si>
    <t>Zorgkantoor</t>
  </si>
  <si>
    <t>Ondertekening namens het zorgkantoor:</t>
  </si>
  <si>
    <t>Medewerker</t>
  </si>
  <si>
    <t>Niet invullen</t>
  </si>
  <si>
    <t>Aanvraag</t>
  </si>
  <si>
    <t>INHOUDSOPGAVE</t>
  </si>
  <si>
    <t>1.4</t>
  </si>
  <si>
    <t>RUBRIEK 3: OVERZICHT MUTATIES</t>
  </si>
  <si>
    <t>F207</t>
  </si>
  <si>
    <t>F201</t>
  </si>
  <si>
    <t>Opbrengst forensische patiënten voorzover gedeclareerd bij zorgverzekeraar VGZ</t>
  </si>
  <si>
    <t>januari</t>
  </si>
  <si>
    <t>februari</t>
  </si>
  <si>
    <t>maart</t>
  </si>
  <si>
    <t>april</t>
  </si>
  <si>
    <t>mei</t>
  </si>
  <si>
    <t>juni</t>
  </si>
  <si>
    <t>juli</t>
  </si>
  <si>
    <t>augustus</t>
  </si>
  <si>
    <t>september</t>
  </si>
  <si>
    <t>oktober</t>
  </si>
  <si>
    <t>november</t>
  </si>
  <si>
    <t>december</t>
  </si>
  <si>
    <t>Forensische kliniek</t>
  </si>
  <si>
    <t>Forensische afdeling</t>
  </si>
  <si>
    <t>F001</t>
  </si>
  <si>
    <t>F002</t>
  </si>
  <si>
    <t>F003</t>
  </si>
  <si>
    <t>F004</t>
  </si>
  <si>
    <t>F005</t>
  </si>
  <si>
    <t>F050</t>
  </si>
  <si>
    <t>F051</t>
  </si>
  <si>
    <t>F052</t>
  </si>
  <si>
    <t>F053</t>
  </si>
  <si>
    <t>F054</t>
  </si>
  <si>
    <t>F055</t>
  </si>
  <si>
    <t>A003</t>
  </si>
  <si>
    <t>Verkeerd bed</t>
  </si>
  <si>
    <t>RUBRIEK 4: Exploitatieresultaat</t>
  </si>
  <si>
    <t>Eventuele vordering vakantiegeldverplichting (volgens de balans per 1 januari van het jaar van invoering van het budgetsysteem)</t>
  </si>
  <si>
    <t xml:space="preserve">in het budget zijn opgenomen, dan dient dit bedrag hier te worden ingevuld. Dit is nodig om een </t>
  </si>
  <si>
    <t>juiste vergelijking te kunnen maken tussen de werkelijke productiekosten en de in het budget</t>
  </si>
  <si>
    <t>opgenomen productiekosten.</t>
  </si>
  <si>
    <t>U wordt verzocht om hier een overzicht te verstrekken van de niet-nacalculeerbare afschrijvingskosten. Dit zijn alle afschrijvingskosten van investeringen die vallen onder de meldingsprocedure op basis van de Wet ziekenhuisvoorzieningen; de beleidsregel loon- en materiële kosten; en de beleidsregel  investeringen in medische en overige inventarissen en in computerapparatuur en -programmatuur.</t>
  </si>
  <si>
    <t>Tuinaanleg e.d.</t>
  </si>
  <si>
    <t>Semi-permanent</t>
  </si>
  <si>
    <t>Restauraties e.d.</t>
  </si>
  <si>
    <t>Grond</t>
  </si>
  <si>
    <t>2.6</t>
  </si>
  <si>
    <t>2.8</t>
  </si>
  <si>
    <t xml:space="preserve">Werkelijke </t>
  </si>
  <si>
    <t xml:space="preserve">rente** </t>
  </si>
  <si>
    <t>HOND</t>
  </si>
  <si>
    <t>Code</t>
  </si>
  <si>
    <t>1.8</t>
  </si>
  <si>
    <t>Positie eigen vermogen Ribw</t>
  </si>
  <si>
    <t>CEO</t>
  </si>
  <si>
    <t xml:space="preserve"> (t.b.v. definitieve afrekening met zorgkantoor)</t>
  </si>
  <si>
    <t>Opbrengst niet-AWBZ geïndiceerde patiënten</t>
  </si>
  <si>
    <t>Cellen waar met haakjes (    ) is aangegeven dat een negatief bedrag wordt verwacht, kunnen worden gevuld met positieve bedragen. Het programma rekent deze celllen automatisch om; bij een totaaltelling worden ze negatief in de som opgenomen.</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</si>
  <si>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</si>
  <si>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</si>
  <si>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</si>
  <si>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</si>
  <si>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</si>
  <si>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</si>
  <si>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</si>
  <si>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</si>
  <si>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</si>
  <si>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</si>
  <si>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</si>
  <si>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F158</t>
  </si>
  <si>
    <t>F159</t>
  </si>
  <si>
    <t>F160</t>
  </si>
  <si>
    <t>F108</t>
  </si>
  <si>
    <t>F109</t>
  </si>
  <si>
    <t>F110</t>
  </si>
  <si>
    <t>Dagen verslavingszorg</t>
  </si>
  <si>
    <t>Individueel met beperkte begeleiding</t>
  </si>
  <si>
    <t>Individueel met volledige begeleiding</t>
  </si>
  <si>
    <t>Crisisinterventie</t>
  </si>
  <si>
    <t>Dagen kinderen en jeugd</t>
  </si>
  <si>
    <t>Beperkte tot volledige begeleiding</t>
  </si>
  <si>
    <t>Stabilisatie met (beperkte) begeleiding</t>
  </si>
  <si>
    <t>Dagen volwassenen en ouderen</t>
  </si>
  <si>
    <t>Kortdurend met beperkte begeleiding</t>
  </si>
  <si>
    <t>Idem met volledige begeleiding</t>
  </si>
  <si>
    <t>Herstellingsoord</t>
  </si>
  <si>
    <t>Structuurbiedend met beperkte begel.</t>
  </si>
  <si>
    <t>Dagen forensisch</t>
  </si>
  <si>
    <t>Resocialisatie FPA</t>
  </si>
  <si>
    <t>Behandeling FPA</t>
  </si>
  <si>
    <t>Long stay (basis) FPK</t>
  </si>
  <si>
    <t>Long stay (intensief) FPK</t>
  </si>
  <si>
    <t>Resocialisatie FPK</t>
  </si>
  <si>
    <t>Behandeling FPK</t>
  </si>
  <si>
    <t>Deeltijd verslavingszorg</t>
  </si>
  <si>
    <t>Deeltijd met beperkte begeleiding</t>
  </si>
  <si>
    <t>Deeltijd kinderen en jeugd</t>
  </si>
  <si>
    <t>Opname en observatie</t>
  </si>
  <si>
    <t>Algemeen en gezin met geringe begel.</t>
  </si>
  <si>
    <t>Idem met begeleiding op afstand</t>
  </si>
  <si>
    <t>Deeltijd volwassenen en ouderen</t>
  </si>
  <si>
    <t>Structurele deeltijdbehandeling</t>
  </si>
  <si>
    <t>Idem met beperkte begeleiding</t>
  </si>
  <si>
    <t>Stabilisatie</t>
  </si>
  <si>
    <t>Deeltijd forensisch</t>
  </si>
  <si>
    <t>Eerste opnames</t>
  </si>
  <si>
    <t>Alcohol- en drugsverslaafden</t>
  </si>
  <si>
    <t>Volwassenen en ouderen</t>
  </si>
  <si>
    <t>Ambulant kinderen en jeugd</t>
  </si>
  <si>
    <t>Nieuwe inschrijving</t>
  </si>
  <si>
    <t>Intakecontact</t>
  </si>
  <si>
    <t>Onderzoekscontact</t>
  </si>
  <si>
    <t>Psychotherapiecontact</t>
  </si>
  <si>
    <t>Groepscontact psychotherapie</t>
  </si>
  <si>
    <t>Behandeling/begeleidingscontact</t>
  </si>
  <si>
    <t>Groepscontact beh./begeleiding</t>
  </si>
  <si>
    <t>Crisiscontact binnen kantooruren</t>
  </si>
  <si>
    <t>Crisiscontact buiten kantooruren</t>
  </si>
  <si>
    <t>Contact buiten de instelling</t>
  </si>
  <si>
    <t>Ambulant volwassenen</t>
  </si>
  <si>
    <t>Ambulant ouderen</t>
  </si>
  <si>
    <t>Ambulant verslavingszorg</t>
  </si>
  <si>
    <t>Ambulant forensisch</t>
  </si>
  <si>
    <t>Dienstverlening en preventie</t>
  </si>
  <si>
    <t>A.1.1</t>
  </si>
  <si>
    <t>A.1.2</t>
  </si>
  <si>
    <t>A.1.3</t>
  </si>
  <si>
    <t>A.1.4</t>
  </si>
  <si>
    <t>A.1.5</t>
  </si>
  <si>
    <t>Controleprotocol  nacalculatie</t>
  </si>
  <si>
    <t>Controleprotocol</t>
  </si>
  <si>
    <t>Het nacalculatieformulier moet bij de indiening vergezeld gaan van een accountatntsverklaring. Het nacalculatiefiormulier moet derhalve, zoals vastgelegd in de Beleidsregel controleprotocol, worden gecontroleerd door de externe accountant. Op een afzonderlijk werkblad in dit formulier treft u de tekst aan van het controleprotocol alsmede een model van de accountantsverklaring. Deze documenten dienen te worden aangemerkt als bijlage bij dit formulier. De paginanummering loopt derhalve niet door en behoeven dus ook niet te worden uitgeprint ten behoeve van indiening, aangenomen dat de accountantsverklaring op "eigen briefpapier" van de controlerend accountant zal worden opgesteld.</t>
  </si>
  <si>
    <t>A.1.6</t>
  </si>
  <si>
    <t>K.1.1</t>
  </si>
  <si>
    <t>K.1.2</t>
  </si>
  <si>
    <t>K.1.3</t>
  </si>
  <si>
    <t>K.1.4</t>
  </si>
  <si>
    <t>K.1.5</t>
  </si>
  <si>
    <t>K.1.6</t>
  </si>
  <si>
    <t>V.1.1</t>
  </si>
  <si>
    <t>V.1.2</t>
  </si>
  <si>
    <t>V.1.3</t>
  </si>
  <si>
    <t>V.1.4</t>
  </si>
  <si>
    <t>V.2.1</t>
  </si>
  <si>
    <t>V.2.2</t>
  </si>
  <si>
    <t>V.2.3</t>
  </si>
  <si>
    <t>V.2.4</t>
  </si>
  <si>
    <t>V.2.5</t>
  </si>
  <si>
    <t>F.1.1</t>
  </si>
  <si>
    <t>F.1.2</t>
  </si>
  <si>
    <t>F.1.3</t>
  </si>
  <si>
    <t>F.1.4</t>
  </si>
  <si>
    <t>F.1.5</t>
  </si>
  <si>
    <t>F.1.6</t>
  </si>
  <si>
    <t>A.2.1</t>
  </si>
  <si>
    <t>A.2.2</t>
  </si>
  <si>
    <t>K.2.1</t>
  </si>
  <si>
    <t>K.2.2</t>
  </si>
  <si>
    <t>K.2.3</t>
  </si>
  <si>
    <t>V.3.1</t>
  </si>
  <si>
    <t>V.3.2</t>
  </si>
  <si>
    <t>V.3.3</t>
  </si>
  <si>
    <t>V.3.4</t>
  </si>
  <si>
    <t>V.4.1</t>
  </si>
  <si>
    <t>V.4.2</t>
  </si>
  <si>
    <t>Bedrag</t>
  </si>
  <si>
    <t>Dagen intensieve behandelingen</t>
  </si>
  <si>
    <t>Rehabilitatie</t>
  </si>
  <si>
    <t>Psychotherapeutische deeltijdbeh.</t>
  </si>
  <si>
    <t>Continue tot zeer intensieve besch.</t>
  </si>
  <si>
    <t>Stabilisatie met (intensieve) besch.</t>
  </si>
  <si>
    <t>Idem met continue/intensieve besch.</t>
  </si>
  <si>
    <t>Ambulant</t>
  </si>
  <si>
    <t>Nummer brief VWS/CBZ</t>
  </si>
  <si>
    <t>Omschrijving project 1.</t>
  </si>
  <si>
    <t>Goedgekeurd bedrag</t>
  </si>
  <si>
    <t>investering</t>
  </si>
  <si>
    <t>Omschrijving project 2.</t>
  </si>
  <si>
    <t>Omschrijving project 4.</t>
  </si>
  <si>
    <t>Omschrijving project 3.</t>
  </si>
  <si>
    <t>Omschrijving project 5.</t>
  </si>
  <si>
    <t>Omschrijving project 7.</t>
  </si>
  <si>
    <t>Aanvullende inkomsten</t>
  </si>
  <si>
    <t>Niet vrij</t>
  </si>
  <si>
    <t>besteedbaar</t>
  </si>
  <si>
    <t xml:space="preserve">Vrij </t>
  </si>
  <si>
    <t>Te verklaren verschillen</t>
  </si>
  <si>
    <t>Aanschafw.</t>
  </si>
  <si>
    <t>Desinvest.</t>
  </si>
  <si>
    <t>Investering</t>
  </si>
  <si>
    <t>Cum. Afschr.</t>
  </si>
  <si>
    <t>Boekwaarde</t>
  </si>
  <si>
    <t xml:space="preserve">Totaalbedrag </t>
  </si>
  <si>
    <t>Gegevens meldingsbrief  CbZ</t>
  </si>
  <si>
    <t>Specificatie investeringen in instandhouding</t>
  </si>
  <si>
    <t>Specificatie inbrengverplichting</t>
  </si>
  <si>
    <t>Waarvan direct</t>
  </si>
  <si>
    <t>Totaal inbreng-</t>
  </si>
  <si>
    <t>verplichting</t>
  </si>
  <si>
    <t>te verrekenen</t>
  </si>
  <si>
    <t>Voor 2017 nog</t>
  </si>
  <si>
    <t>Te verklaren verschil</t>
  </si>
  <si>
    <t>Restauraties/verbouwingen</t>
  </si>
  <si>
    <t xml:space="preserve">Normatieve </t>
  </si>
  <si>
    <t xml:space="preserve">afschrijvingen* </t>
  </si>
  <si>
    <t xml:space="preserve">boekwaarde </t>
  </si>
  <si>
    <t>Einddatum</t>
  </si>
  <si>
    <t>Werk.</t>
  </si>
  <si>
    <t>Norm.</t>
  </si>
  <si>
    <t>N,W,</t>
  </si>
  <si>
    <t>of V</t>
  </si>
  <si>
    <t>rentebedrag</t>
  </si>
  <si>
    <t>Aanvaardbaar</t>
  </si>
  <si>
    <t>Overschrijding bedrag kort gefinancierd</t>
  </si>
  <si>
    <t>2.1</t>
  </si>
  <si>
    <t>2.2</t>
  </si>
  <si>
    <t>2.5</t>
  </si>
  <si>
    <t>RUBRIEK 3: KAPITAALSLASTEN</t>
  </si>
  <si>
    <t>3.4</t>
  </si>
  <si>
    <t>3.5</t>
  </si>
  <si>
    <t>3.6</t>
  </si>
  <si>
    <t>RUBRIEK 4: OVERZICHT MUTATIES</t>
  </si>
  <si>
    <t>Overige bijlagen</t>
  </si>
  <si>
    <t>Saldo extra opbrengst</t>
  </si>
  <si>
    <t>Algemeen</t>
  </si>
  <si>
    <t>1.1</t>
  </si>
  <si>
    <t>Nacalculatie productie instelling</t>
  </si>
  <si>
    <t>Opbrengst persoonsgebonden budgetten</t>
  </si>
  <si>
    <t>Opbrengst laboratoriumverrichtingen voor derden</t>
  </si>
  <si>
    <t>LNAC</t>
  </si>
  <si>
    <t>Groepsgewijs met beperkte begel.</t>
  </si>
  <si>
    <t>Groepsgewijs met volledige begel.</t>
  </si>
  <si>
    <t>Continue tot zeer intensieve begel.</t>
  </si>
  <si>
    <t>Zeer intensief met (beperkte) begel.</t>
  </si>
  <si>
    <t>Idem met intensieve begel./besch.</t>
  </si>
  <si>
    <t>Veranderingsgericht met bep. begel.</t>
  </si>
  <si>
    <t>Crisis met intensieve beg./besch.</t>
  </si>
  <si>
    <t>CONTROLEPROTOCOL NACALCULATIE</t>
  </si>
  <si>
    <t>ALGEMEEN</t>
  </si>
  <si>
    <t>Het doel en reikwijdte van het controleprotocol</t>
  </si>
  <si>
    <t>Procedure</t>
  </si>
  <si>
    <t>REIKWIJDTE VAN DE CONTROLE</t>
  </si>
  <si>
    <t>Object van de controle</t>
  </si>
  <si>
    <t>Te verrichten werkzaamheden</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</si>
  <si>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</si>
  <si>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</si>
  <si>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</si>
  <si>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</si>
  <si>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 xml:space="preserve">Indien vraag 14 met nee wordt beantwoord: Is de verwachting dat de overschrijding van het vergunningsbedrag op grond van de geldende WZV regels in de eindafrekening alsnog zal worden aanvaard? Als er geen investeringen hebben plaatsgevonden, kies dan nvt.  </t>
  </si>
  <si>
    <t>ACCOUNTANTSCONTROLE</t>
  </si>
  <si>
    <t>De accountant rapporteert over zijn controle overeenkomstig onderstaande model-accountantsverklaring en maakt in zijn verklaring melding van eventuele bevindingen.</t>
  </si>
  <si>
    <t>Vervolg CONTROLEPROTOCOL NACALCULATIE</t>
  </si>
  <si>
    <t>Accountantsverklaring</t>
  </si>
  <si>
    <t>Opdracht</t>
  </si>
  <si>
    <t>Werkzaamheden</t>
  </si>
  <si>
    <t>Bevindingen</t>
  </si>
  <si>
    <t>(indien van toepassing)</t>
  </si>
  <si>
    <t>Oordeel</t>
  </si>
  <si>
    <t>Plaats, datum</t>
  </si>
  <si>
    <t>Ondertekening</t>
  </si>
  <si>
    <t>Nacalculatie 2004 GGZ-instellingen</t>
  </si>
  <si>
    <t>Het doel van het protocol is het geven van aanwijzingen aan de externe accountant van de instelling voor de controle van het nacalculatieformulier. Het controleprotocol voorkomt als zodanig controle op controle en bevordert een doelmatige controlestructuur.</t>
  </si>
  <si>
    <t>De raad van bestuur van de instelling is verantwoordelijk voor de juiste en volledige invulling van het nacalculatieformulier.</t>
  </si>
  <si>
    <t>De raad van bestuur van de instelling geeft de externe accountant opdracht tot het uitvoeren van een accountantscontrole van het nacalculatieformulier, met inachtneming van het door het CTG/ZAio opgestelde controleprotocol.</t>
  </si>
  <si>
    <t>De externe accountant voert de accountantscontrole van het nacalculatieformulier uit met inachtneming van het door het CTG/ZAio opgestelde controleprotocol.</t>
  </si>
  <si>
    <t>De raad van bestuur van de instelling stuurt het door de externe accountant gewaarmerkte en door directie en zorgkantoor/zorgverzekeraar ondertekende nacalculatieformulier vergezeld van de accountantsverklaring toe aan het CTG/ZAio.</t>
  </si>
  <si>
    <t xml:space="preserve">Het object van controle is het nacalculatieformulier 2004. Het nacaculatieformulier is opgesteld onder verantwoordelijkheid van de raad van bestuur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</si>
  <si>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</si>
  <si>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1. De accountant stelt vast dat het nacalculatieformulier is ondertekend door een bevoegd lid van de raad van bestuur.</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</si>
  <si>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</si>
  <si>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MODEL-ACCOUNTANTSVERKLARING BIJ NACALCULATIEFORMULIER 2004</t>
  </si>
  <si>
    <t>Afgegeven ten behoeve van College Tarieven Gezondheidszorg/Zorgautoriteit i.o.</t>
  </si>
  <si>
    <t xml:space="preserve">Onze controle is verricht in overeenstemming met in Nederland algemeen aanvaarde richtlijnen met betrekking tot controleopdrachten en met inachtneming van de aanwijzingen die het CTG/ZAio heeft gegeven in het controleprotocol en de bijbehorende vragenlijst, welke deel uitmaken van het nacalculatieformulier 2004. </t>
  </si>
  <si>
    <t>Partij(en) stellen voor dat, door middel van dit tarief- of tarievenverzoek NACALCULATIE 2004 de in dit verzoek overeengekomen prestaties met de bij die prestaties horende in rekening te brengen tarieven, door de instelling aan alle ziektekostenverzekeraars en alle (niet-)verzekerden in rekening kunnen worden gebracht, met inachtneming van eventueel geldende declaratievoorschriften.</t>
  </si>
  <si>
    <t>Vervoerskosten bij begeleiding in de GGZ ***)</t>
  </si>
  <si>
    <t xml:space="preserve">***) Zie onderbouwing regel 20 rekenstaat. Indien reeds vervoerskosten bij begeleiding in de GGZ </t>
  </si>
  <si>
    <t>nee</t>
  </si>
  <si>
    <t>Is voor de langlopende leningen die geborgd zijn door het Waarborgfonds van 22 november 1999 tot 1 januari 2001, de werkelijk verschuldigde rente verhoogd met 0,6%, gehanteerd? Indien geen langlopende leningen zijn geborgd in de genoemde periode, kies dan nvt.</t>
  </si>
  <si>
    <t xml:space="preserve">PZ/Riagg/Ribw </t>
  </si>
  <si>
    <t>/Paaz Rekenstaat</t>
  </si>
  <si>
    <t>Ribw</t>
  </si>
  <si>
    <t>Nr./groep</t>
  </si>
  <si>
    <t>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Tevens omvat een controle een beoordeling van de grondslagen van financiële verslaggeving, die bij het opmaken van het nacalculatieformulier zijn toegepast en van belangrijke schattingen die de leiding van de instelling daarbij heeft gemaakt, alsmede een evaluatie van het algemene beeld van het nacalculatieformulier. Wij zijn van mening dat onze controle een deugdelijke grondslag vormt voor ons oordeel.</t>
  </si>
  <si>
    <t>Berekende</t>
  </si>
  <si>
    <t xml:space="preserve">rente </t>
  </si>
  <si>
    <t>Normatief</t>
  </si>
  <si>
    <t>Rentekosten langlopende leningen</t>
  </si>
  <si>
    <t>Afschrijving op tot en met 2000 betaalde boeterente van conversies (berekening bijvoegen)</t>
  </si>
  <si>
    <t xml:space="preserve">Gewogen schuld per periode (1 januari-data aflossingen-31 december) </t>
  </si>
  <si>
    <t>Berekening  gewogen schuld en rentekosten</t>
  </si>
  <si>
    <t>normrente</t>
  </si>
  <si>
    <t>schuld</t>
  </si>
  <si>
    <t>Specificatie in gebruikgenomen nacalculeerbare investeringen</t>
  </si>
  <si>
    <t>Vervolg specificatie in gebruik genomen nacalculeerbare investeringen</t>
  </si>
  <si>
    <t>rentevastper.</t>
  </si>
  <si>
    <t>Opmerkingen</t>
  </si>
  <si>
    <t>Direct</t>
  </si>
  <si>
    <t>Toekomstig</t>
  </si>
  <si>
    <t>Overige separaat gedeclareerde tarieven</t>
  </si>
  <si>
    <t>Pag.</t>
  </si>
  <si>
    <t>Loonkosten productie (kasbasis regel 10 rekenstaat)</t>
  </si>
  <si>
    <t>Tarief</t>
  </si>
  <si>
    <t>Verpleeggelden</t>
  </si>
  <si>
    <t>Jaarlijkse in-</t>
  </si>
  <si>
    <t>standhouding</t>
  </si>
  <si>
    <t>Minimaal te financieren met langlopende leningen</t>
  </si>
  <si>
    <t>AIVB</t>
  </si>
  <si>
    <t>IVNB</t>
  </si>
  <si>
    <t>AI</t>
  </si>
  <si>
    <t>Materiële kosten productie (kasbasis regel 20 rekenstaat)</t>
  </si>
  <si>
    <t>K.1.7</t>
  </si>
  <si>
    <t>Logeerdagen</t>
  </si>
  <si>
    <t>Totaal zorgvernieuwingsprojecten</t>
  </si>
  <si>
    <t>Het zorgkantoor verklaart hierbij de productie van deze instelling over 2004 gecontroleerd te hebben conform het voor 2004 geldende productieprotocol en de bevindingen daarover aan het CTG/ZAio ter kennis gesteld</t>
  </si>
  <si>
    <t xml:space="preserve">In dit onderdeel wordt u op grond van de gelijknamige beleidsregel gevraagd de aanvullende inkomsten op te geven. Daarbij kan worden aangegeven welk deel daarvan volgens partijen vrij besteedbaar is. Na toetsing door het CTG/ZAio wordt het budget opgehoogd met het bedrag van de vrij besteedbare aanvullende inkomsten en vervolgens door het zorgkantoor verrekend met de bevoorschotting. </t>
  </si>
  <si>
    <t>Psych. crisisinterventie thuis</t>
  </si>
  <si>
    <r>
      <t xml:space="preserve">Index CBZ </t>
    </r>
    <r>
      <rPr>
        <b/>
        <vertAlign val="superscript"/>
        <sz val="9"/>
        <rFont val="Arial"/>
        <family val="2"/>
      </rPr>
      <t>2</t>
    </r>
  </si>
  <si>
    <r>
      <t>1</t>
    </r>
    <r>
      <rPr>
        <sz val="9"/>
        <rFont val="Arial"/>
        <family val="2"/>
      </rPr>
      <t xml:space="preserve"> De voor het jaar geldende gemiddelde normatieve rentevoet wordt </t>
    </r>
    <r>
      <rPr>
        <u val="single"/>
        <sz val="9"/>
        <rFont val="Arial"/>
        <family val="2"/>
      </rPr>
      <t>na afloop van het jaar</t>
    </r>
    <r>
      <rPr>
        <sz val="9"/>
        <rFont val="Arial"/>
        <family val="2"/>
      </rPr>
      <t xml:space="preserve"> door het CTG/ZAio berekend </t>
    </r>
  </si>
  <si>
    <t>en gepubliceerd. Deze normatieve rentevoet is te vinden op de de website van de CTG/ZAio (www.ctg-zaio.nl), onder rentenormering -&gt; korte rente.</t>
  </si>
  <si>
    <t>Zijn, voor de berekening van de nacalculeerbare afschrijvingskosten van de tot en met 2003 geactiveerde activa, de door het CTG/ZAio geaccepteerde afschrijvingspercentages gecontinueerd? Indien tot en met 2003 geen activa zijn geactiveerd, kies dan nvt.</t>
  </si>
  <si>
    <t>Zijn de aanvaardbare rentekosten berekend conform het door het CTG/ZAio opgestelde calculatiemodel rentekosten?</t>
  </si>
  <si>
    <t>Zijn voor in 2004 afgesloten langlopende leningen (nieuwe en bij afloop rentevaste periode) normrentepercentages gehanteerd die  overeenkomen met de  normrentepercentages volgens de CTGZAio-website rentenormering? Indien geen langlopende leningen in 2004 zijn afgesloten, kies dan nvt.</t>
  </si>
  <si>
    <t>¹) Indien  gebruik wordt gemaakt van een BTW-constructie voor (een deel van) de nacalculeerbare activa kunt u het CTG/ZAio verzoeken om de kapitaalslasten conform de beleidsregel BTW-constructies vast te stellen. Indien een dergelijk verzoek uitblijft zijn de werkelijke kosten van rente en afschrijving tot maximaal het niveau van de beleidsregels uitgangspunt voor de vaststelling van de aanvaardbare kosten.</t>
  </si>
  <si>
    <t>De werkbladen zijn met een wachtwoord beveiligd. U kunt zelf werkbladen toevoegen. Indien u een onjuistheid ontdekt verzoeken wij u dit via e-mail aan het CTG/ZAio door te geven (kamer3@ctg-zaio.nl). Naast de papieren versie wordt u verzocht ook een elektronische versie bij het CTG/ZAio in te dienen.</t>
  </si>
  <si>
    <t xml:space="preserve"> Volw./ouderen/versl.</t>
  </si>
  <si>
    <t>Kenmerk</t>
  </si>
  <si>
    <t>KHUNIN</t>
  </si>
  <si>
    <t>Onderhanden bouwprojecten  met WZV vergunning (geen investeringen meldingsregeling)</t>
  </si>
  <si>
    <t>Werkelijke boekwaarde instandhoudingsinvesteringen (inclusief onderhanden werk)</t>
  </si>
  <si>
    <t>Geactiveerd</t>
  </si>
  <si>
    <t>Rentekosten (zie calculatiemodel rentekosten)</t>
  </si>
  <si>
    <t>CALCULATIEMODEL RENTEKOSTEN</t>
  </si>
  <si>
    <t>BIJLAGEN BIJ CALCULATIEMODEL RENTEKOSTEN</t>
  </si>
  <si>
    <t>Bijlagen bij calculatiemodel rentekosten</t>
  </si>
  <si>
    <t>Is voldaan aan de regels van het protocol voor evenwichtig balansbeheer dat is opgenomen in de Beleidsregel rente?</t>
  </si>
  <si>
    <t>Onderwerp</t>
  </si>
  <si>
    <t xml:space="preserve">Conform jaarrekening en / of </t>
  </si>
  <si>
    <t>Riagg</t>
  </si>
  <si>
    <t>Paaz</t>
  </si>
  <si>
    <t>calculatiemodel rentekosten</t>
  </si>
  <si>
    <t>rekening-</t>
  </si>
  <si>
    <t>schema</t>
  </si>
  <si>
    <t>gecombineerd</t>
  </si>
  <si>
    <t>afzonderlijk</t>
  </si>
  <si>
    <t>Per einde boekjaar</t>
  </si>
  <si>
    <t>Egalisatievoorziening onderhoud</t>
  </si>
  <si>
    <t>Aan riagg/ribw /overig toegerekend vermogen</t>
  </si>
  <si>
    <t>Volgens calculatiemodel rentekosten</t>
  </si>
  <si>
    <t>Boekwaarde onderhanden bouwprojecten</t>
  </si>
  <si>
    <t>Boekwaarde instandhoudingsinvesteringen</t>
  </si>
  <si>
    <t>Normatieve boekwaarde inventarissen en automatisering</t>
  </si>
  <si>
    <t>Gewogen schuld langlopende leningen</t>
  </si>
  <si>
    <t>Jaargemiddelde eigen vermogen e.d.</t>
  </si>
  <si>
    <t>Werkelijke boekwaarde inventaris excl. automatisering</t>
  </si>
  <si>
    <t>Werkelijke boekwaarde automatisering</t>
  </si>
  <si>
    <t>Werkelijke boekwaarde vervoersmiddelen</t>
  </si>
  <si>
    <t>Werkelijke boekwaarde overige materiele vaste activa</t>
  </si>
  <si>
    <t>Ultimo jaar incl. kortlopende aflossingen</t>
  </si>
  <si>
    <t xml:space="preserve">Rente lang lopende leningen </t>
  </si>
  <si>
    <t>Werkelijke rente lang lopende leningen</t>
  </si>
  <si>
    <t>Conform jaarrekening</t>
  </si>
  <si>
    <t>Kosten van voeding, ingredienten</t>
  </si>
  <si>
    <t>Schatting bij levering door derden</t>
  </si>
  <si>
    <t>Kosten ozb</t>
  </si>
  <si>
    <t>Kosten milieuheffingen</t>
  </si>
  <si>
    <t>Verontreinigingsheffing oppervlakte water</t>
  </si>
  <si>
    <t>Kosten overige heffingen</t>
  </si>
  <si>
    <t>Kosten vervoer dagbehandeling /dagbesteding</t>
  </si>
  <si>
    <t>Kosten genees- en bestralingsmid.,dialysebenodigdheden</t>
  </si>
  <si>
    <t>Kosten energie en water</t>
  </si>
  <si>
    <t>Salariskosten algemeen en administratief</t>
  </si>
  <si>
    <t>Inclusief loon tijdens ziekte en ORT doch exclusief vakantietoeslag</t>
  </si>
  <si>
    <t xml:space="preserve">Salariskosten hotelfuncties </t>
  </si>
  <si>
    <t>Salariskosten patient cq bewonergebonden functies</t>
  </si>
  <si>
    <t>Salariskosten leerl.verplk.verz. Personeel</t>
  </si>
  <si>
    <t>Salariskosten terrein en gebouwgebonden functies</t>
  </si>
  <si>
    <t>Kosten niet in loondienst verrichte arbeid</t>
  </si>
  <si>
    <t>Totaal van de factuurbedragen incl b.t.w.</t>
  </si>
  <si>
    <t>Totaal loon tijdens ziekte</t>
  </si>
  <si>
    <t>Alle functies</t>
  </si>
  <si>
    <t>-</t>
  </si>
  <si>
    <t>Totaal sociale kosten</t>
  </si>
  <si>
    <t>Incl. vak.toeslag excl.loon tijdens ziekte</t>
  </si>
  <si>
    <t>Totaal andere personeelskosten</t>
  </si>
  <si>
    <t>Totaal kosten van voeding</t>
  </si>
  <si>
    <t xml:space="preserve">Totaal andere hotelmatige kosten  </t>
  </si>
  <si>
    <t>U wordt verzocht om hier een overzicht te verstrekken van de verkochte activa waarvan de verkoopprijs in 2004 is ontvangen. De eventuele boekwinst wordt conform de beleidsregel III-628/851 "Verrekening boekwinsten bij verkoop" verrekend.</t>
  </si>
  <si>
    <t>Zowel voor uitbreidingen als voor afnames van huurpanden de kosten vermelden op prijspeil 2004. Voor afnames is dit het bedrag van de nacalculatie 2003 verhoogd met de index voor 2004 van 0,96%. Bij uitbreidingen aangeven welke WZV vergunning hieraan ten grondslag ligt. De instelling wordt geadviseerd een specificatie bij te houden van de huurkosten in het budget. Dit kan worden uitgevoerd  door de aanvaarde huurbedragen per project te verhogen met de toegepaste index en aan te vullen met de mutaties.</t>
  </si>
  <si>
    <r>
      <t>3</t>
    </r>
    <r>
      <rPr>
        <sz val="9"/>
        <rFont val="Arial"/>
        <family val="2"/>
      </rPr>
      <t xml:space="preserve"> Specificatie van de verkoopkosten bijvoegen.</t>
    </r>
  </si>
  <si>
    <t>Zijn, voor de bij vraag 3 bedoelde wijzigingen in de plaatsen verblijf, gewijzigde toelatingen afgegeven door het College voor zorgverzekeringen? Als er geen wijziging in de plaatsen verblijf heeft plaatsgevonden, kies dan nvt.</t>
  </si>
  <si>
    <t>Is er in de productieafspraak 2004 een budgetaanpassing aangevraagd op basis van een wijziging in de capaciteit van de plaatsen verblijf?</t>
  </si>
  <si>
    <t xml:space="preserve">Ingevolge beleidsregel II-657 / III-846 "Productieprotocol" geeft het zorgkantoor een verklaring af met betrekking tot de juistheid van het volume en de zorgzwaarte van de gerealiseerde productie. Het oordeel van het zorgkantoor moet mede gebaseerd zijn op steekproeven op cliëntniveau waarin de geleverde zorg wordt vergeleken met de geregistreerde zorg. Het zorgkantoor dient in de verklaring aan te geven hoe er feitelijk gecontroleerd is en hoe de bevindingen tot stand zijn gekomen.  De eerder door het zorgkantoor afgegeven verklaring zal gebruikt worden bij de verdere afhandeling van de nacalculatie van de productie. </t>
  </si>
  <si>
    <t>Totaal algemene kosten</t>
  </si>
  <si>
    <t>Totaal patient bewonergebonden kosten</t>
  </si>
  <si>
    <t>Totaal terrein gebouwgebonden kosten</t>
  </si>
  <si>
    <t>Totaal kapitaalslasten afschrijving, huur, leasing en intrest</t>
  </si>
  <si>
    <t>Totaal andere opbrengsten en verrichtingen/diensten derden</t>
  </si>
  <si>
    <t>82+83</t>
  </si>
  <si>
    <t>Met de nacalculatie wordt het definitief budget aanvaardbare kosten bepaald. Dit vindt plaats op basis van de van toepassing zijnde beleidsregels.Het is van belang de beleidsregels voortdurend te toetsen aan feitelijke uitkomsten en omstandigheden. Met ingang van de nacalculatie 2002 zijn om die reden in het formulier een aantal aanvullende vragen opgenomen. Daarnaast zal deze informatie gebruikt worden voor verdere ontwikkeling van de dienstverlening aan instellingen.</t>
  </si>
  <si>
    <t>Vrije regel voor annuïteitenleningen conform separate specificatie</t>
  </si>
  <si>
    <t>F124</t>
  </si>
  <si>
    <t xml:space="preserve">De in te vullen gegevens dienen in relatie te staan tot het in dit formulier berekende budget aanvaardbare kosten. </t>
  </si>
  <si>
    <t>Per bezoek per vervoerde cliënt</t>
  </si>
  <si>
    <t>Werkelijke vervoerskosten ten laste van de instelling</t>
  </si>
  <si>
    <t>Verzoek tot nacalculatie meerkosten</t>
  </si>
  <si>
    <t>*) Hier worden de vervoerskosten van cliënten gevraagd die een medische indicatie voor vervoer hebben. Voorwaarde is dat de vervoerskosten van deze cliënten ten laste komen van de instelling en niet reeds via een andere weg zijn, of hadden kunnen worden bekostigd. Zie beleidsregel III-782 Vervoerskosten bij begeleiding in de GGZ.</t>
  </si>
  <si>
    <t>Vervoerskosten bij begeleiding in de GGZ</t>
  </si>
  <si>
    <t>Toelichting bij elektronisch formulier:</t>
  </si>
  <si>
    <t>Afname geïndexeerde huren 2004 (afgestoten panden)</t>
  </si>
  <si>
    <t>*) inclusief niet collectief gefinancierd eigen vermogen behorend bij het bedrijfsonderdeel waar deze nacalculatie betrekking op heeft.</t>
  </si>
  <si>
    <t>Heeft het zorgkantoor de productie 2004 gecontroleerd overeenkomstig het productieprotocol materiële controle?</t>
  </si>
  <si>
    <t>Niet alle inkomsten van een instelling komen via de gebruikelijke wijze ten laste van de AWBZ. Soms is er weliswaar sprake van AWBZ financiering maar gebeurt dat via separate declaraties. Ook betalingen door derden komen voor. Omdat in het bevoorschottingssysteem dat zorgkantoren hanteren er vanuit wordt gegaan dat het gehele budget moet worden bevoorschot, moet het bedrag van de overige inkomsten door het zorgkantoor worden verrekend met de ontvangen voorschotten. Als de verrekening achterwege zou blijven zouden de bedoelde bedragen tweemaal worden vergoed.</t>
  </si>
  <si>
    <t>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</si>
  <si>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F125</t>
  </si>
  <si>
    <t>Niet goedgekeurde investeringen</t>
  </si>
  <si>
    <t>(Fictief) leningbedrag met betrekking tot huur/leasing van inventarissen</t>
  </si>
  <si>
    <t>Wordt door de instelling voor nacalculeerbare activa gebruik gemaakt van een zogenaamde BTW-constructie? ¹)</t>
  </si>
  <si>
    <r>
      <t>2</t>
    </r>
    <r>
      <rPr>
        <sz val="9"/>
        <rFont val="Arial"/>
        <family val="2"/>
      </rPr>
      <t xml:space="preserve"> Hier de datum van de boekwaarde vermelden op moment van verkoop.</t>
    </r>
  </si>
  <si>
    <t>Procentuele afwijking van de definitieve productie</t>
  </si>
  <si>
    <t>MVBG</t>
  </si>
  <si>
    <t>KHUWIN</t>
  </si>
  <si>
    <t>Totaal overige bedrijfsopbrengsten cf jaarrekening</t>
  </si>
  <si>
    <t xml:space="preserve">Verslavingszorg </t>
  </si>
  <si>
    <t>F452</t>
  </si>
  <si>
    <t>F454</t>
  </si>
  <si>
    <t>F462</t>
  </si>
  <si>
    <t>F464</t>
  </si>
  <si>
    <t>F466</t>
  </si>
  <si>
    <t>F472</t>
  </si>
  <si>
    <t>F474</t>
  </si>
  <si>
    <t>F476</t>
  </si>
  <si>
    <t>F478</t>
  </si>
  <si>
    <t>F482</t>
  </si>
  <si>
    <t>F484</t>
  </si>
  <si>
    <t>F491</t>
  </si>
  <si>
    <t>Correctiebedrag tbv aansluiting ak cf jaarrekening en ak cf nacalculatieformulier</t>
  </si>
  <si>
    <t>cirkelredenering</t>
  </si>
  <si>
    <t>H125</t>
  </si>
  <si>
    <t>H102</t>
  </si>
  <si>
    <t>H126</t>
  </si>
  <si>
    <t>H127</t>
  </si>
  <si>
    <t>H104</t>
  </si>
  <si>
    <t>H128</t>
  </si>
  <si>
    <t>Huishoudelijke hulp:alpha</t>
  </si>
  <si>
    <t>Huishoudelijke verzorging</t>
  </si>
  <si>
    <t>Persoonlijke verzorging</t>
  </si>
  <si>
    <t>Verpleging</t>
  </si>
  <si>
    <t>Verpleging extra</t>
  </si>
  <si>
    <t>Gespecialiseerde verpleging</t>
  </si>
  <si>
    <t>H106</t>
  </si>
  <si>
    <t>H121</t>
  </si>
  <si>
    <t>Persoonlijke verz. extra</t>
  </si>
  <si>
    <t>Begeleiding</t>
  </si>
  <si>
    <t>Begeleiding extra</t>
  </si>
  <si>
    <t>H129</t>
  </si>
  <si>
    <t>2.9</t>
  </si>
  <si>
    <t>H130</t>
  </si>
  <si>
    <t>Activerende thuiszorg</t>
  </si>
  <si>
    <t>Sectoroverstijgende productie/opbrengsten</t>
  </si>
  <si>
    <t>Kosten zorgvernieuwing (kasbasis regel 30 rekenstaat)</t>
  </si>
  <si>
    <t>Sectoroverstijgende productie (kasbasis regel 35 rekenstaat)</t>
  </si>
  <si>
    <t>Gegevens vergunning</t>
  </si>
  <si>
    <t>oorzaak afname huur</t>
  </si>
  <si>
    <t>naam/adres</t>
  </si>
  <si>
    <t>Gegevens laatste rekenstaat 2004</t>
  </si>
  <si>
    <t xml:space="preserve">Kosten huur en erfpacht </t>
  </si>
  <si>
    <t xml:space="preserve">Incidentele </t>
  </si>
  <si>
    <t xml:space="preserve"> *) ingevolge de aanwijzing is het beschikbare productiebudget het budgetmaximum.</t>
  </si>
  <si>
    <t>ja/nee</t>
  </si>
  <si>
    <t xml:space="preserve">F121 </t>
  </si>
  <si>
    <t>Psychiatrische zorg thuis</t>
  </si>
  <si>
    <t xml:space="preserve">F122 </t>
  </si>
  <si>
    <t xml:space="preserve">F123 </t>
  </si>
  <si>
    <t>Uren gespec.beg. (BZW)</t>
  </si>
  <si>
    <t xml:space="preserve">F124 </t>
  </si>
  <si>
    <t>Uren dienstverl./preventie</t>
  </si>
  <si>
    <t>Aantal *)</t>
  </si>
  <si>
    <t>Tarief **)</t>
  </si>
  <si>
    <t>&lt;--</t>
  </si>
  <si>
    <t>Nummer van de rekenstaat die bij de invulling is gebruikt:</t>
  </si>
  <si>
    <t>*) In rekenstaat te vinden bij onderbouwing van de regel</t>
  </si>
  <si>
    <r>
      <t xml:space="preserve">rentebedrag </t>
    </r>
    <r>
      <rPr>
        <b/>
        <vertAlign val="superscript"/>
        <sz val="8"/>
        <rFont val="Arial"/>
        <family val="2"/>
      </rPr>
      <t>1</t>
    </r>
  </si>
  <si>
    <t>(functie)</t>
  </si>
  <si>
    <t>Jaar van de nacalculatie</t>
  </si>
  <si>
    <t>T.b.v de renteberekening i.v.m. eventuele schrikkeljaren</t>
  </si>
  <si>
    <t>GGZ-instellingen</t>
  </si>
  <si>
    <t>Zorgvernieuwing</t>
  </si>
  <si>
    <t>Afschrijving *</t>
  </si>
  <si>
    <t>Is bij de leningen (met een rentefixatieperiode van minimaal twee jaar) die vervroegd zijn afgelost en vervangen door nieuwe leningen, het juiste rentepercentage toegepast? Indien er geen vervroegde aflossing en vervanging van leningen heeft plaatsgevonden, kies dan nvt.</t>
  </si>
  <si>
    <t>Zijn in 2004 ex WTG gefinancierde vermogensbestanddelen en / of gebouwen uit de WTG-instelling overgebracht naar een andere rechtspersoon?</t>
  </si>
  <si>
    <t>Verzorgingsdagen Beschermd Wonen</t>
  </si>
  <si>
    <t>VZ2.1</t>
  </si>
  <si>
    <t>VZ2.2</t>
  </si>
  <si>
    <t>VZ2.3</t>
  </si>
  <si>
    <t>VZ2.4</t>
  </si>
  <si>
    <t>Structuur biedend/beperkte begeleiding</t>
  </si>
  <si>
    <t>Structuur biedend/volledige begeleiding</t>
  </si>
  <si>
    <t>Veranderingsgericht/beperkte begeleid.</t>
  </si>
  <si>
    <t>Veranderingsgericht/volledige begeleid.</t>
  </si>
  <si>
    <t>Toeslag contact buiten de instelling</t>
  </si>
  <si>
    <t>Aantal</t>
  </si>
  <si>
    <t xml:space="preserve">Tarief </t>
  </si>
  <si>
    <t>F090</t>
  </si>
  <si>
    <t>Verzorgingsdagen beschermd wonen</t>
  </si>
  <si>
    <t>F101..</t>
  </si>
  <si>
    <t>F102..</t>
  </si>
  <si>
    <t>F103..</t>
  </si>
  <si>
    <t>F104..</t>
  </si>
  <si>
    <t>F105..</t>
  </si>
  <si>
    <t>F106..</t>
  </si>
  <si>
    <t>F107..</t>
  </si>
  <si>
    <t>F108..</t>
  </si>
  <si>
    <t>F109..</t>
  </si>
  <si>
    <t>F110..</t>
  </si>
  <si>
    <t>Telefonisch behand./begel.contact</t>
  </si>
  <si>
    <t>F221</t>
  </si>
  <si>
    <t>F224</t>
  </si>
  <si>
    <t>F222</t>
  </si>
  <si>
    <t>F223</t>
  </si>
  <si>
    <t>F225</t>
  </si>
  <si>
    <t>F208</t>
  </si>
  <si>
    <t>Uren activerende psychiatrisch thuiszorg</t>
  </si>
  <si>
    <t>Uren psychiatrische intensieve thuiszorg</t>
  </si>
  <si>
    <t>Dienstverlening</t>
  </si>
  <si>
    <t>Preventie</t>
  </si>
  <si>
    <t>Uren inloop p. week (bedrag op jaarbasis)</t>
  </si>
  <si>
    <t>Uren gespecialiseerde beg. (BZW)</t>
  </si>
  <si>
    <t>Cliënten zorgcoörd. i.c.m. casemanagem.</t>
  </si>
  <si>
    <t>Cont. psych. crisisinterventie thuis</t>
  </si>
  <si>
    <t>F121</t>
  </si>
  <si>
    <t>F122</t>
  </si>
  <si>
    <t>---</t>
  </si>
  <si>
    <t xml:space="preserve">NB Indien er geen verpleegdagen en/of verzorgingsdagen zijn, dan is er sprake van </t>
  </si>
  <si>
    <t>F126</t>
  </si>
  <si>
    <t>Uren recr.-edu.-arbeidsm.act.</t>
  </si>
  <si>
    <t>Opbrengst</t>
  </si>
  <si>
    <t>Kosten</t>
  </si>
  <si>
    <t>Kosten op</t>
  </si>
  <si>
    <t>jaarbasis</t>
  </si>
  <si>
    <t>rekenstaat</t>
  </si>
  <si>
    <t>Geïndexeerde huur (zie onderbouwing regel 72 van de rekenstaat)</t>
  </si>
  <si>
    <t>De raad van bestuur van de instelling verklaart hierbij dat het formulier "Nacalculatie 2004" naar waarheid en in overeenstemming met de beleidsregels van het CTG/ZAio, zoals deze voor het jaar 2004 van kracht waren, is ingevuld.</t>
  </si>
  <si>
    <t>1.2</t>
  </si>
  <si>
    <t>*)</t>
  </si>
  <si>
    <t xml:space="preserve">    10*</t>
  </si>
  <si>
    <t xml:space="preserve">    20*</t>
  </si>
  <si>
    <t>Kapitaalslasten (voor Paaz en zelfstandige Riagg / Ribw (m.u.v. vraag 9) niet van toepassing).</t>
  </si>
  <si>
    <t>Ontvangt u inkomsten die dienen ter dekking van het WTG-budget, die vallen onder artikel 3.2 van de Beleidsregel aanvullende inkomsten zorginstellingen?</t>
  </si>
  <si>
    <t>Voldoen de aanvullende inkomsten die worden aangemerkt als vrij besteedbaar, aan de voorwaarden genoemd onder artikel 4 van de Beleidsregel aanvullende inkomsten zorginstellingen?</t>
  </si>
  <si>
    <t>Nacalculatie productie (zie onderbouwing regel 10 rekenstaat) **)</t>
  </si>
  <si>
    <t xml:space="preserve">**) Indien er sprake is van een voorlopige nacalculatie productie, dan dient deze hier ingevuld </t>
  </si>
  <si>
    <t xml:space="preserve">te worden. Een negatieve nacalculatie productie kan nu bij de definitieve nacalculatie minder </t>
  </si>
  <si>
    <t xml:space="preserve">negatief uitpakken. Dit houdt een positieve mutatie op de nacalculatie productie in. In het uiterste </t>
  </si>
  <si>
    <t>De gebruikte rekenstaat 2004 heeft volgnummer:</t>
  </si>
  <si>
    <t>Alle in te vullen velden zijn mintgroen gearceerd. Dit kunt u hier aan- en uitschakelen. Voor het maken van een duidelijke afdruk van het nacalculatieformulier wordt aanbevolen eerst de arcering van de velden uit te zetten</t>
  </si>
  <si>
    <t>geval (indien er sprake is van overproductie) wordt de negatieve nacalculatie ongedaan gemaakt</t>
  </si>
  <si>
    <t>(zie ook werkblad mutaties).</t>
  </si>
  <si>
    <t xml:space="preserve">Zijn in 2004 onroerende zaken (ook door beheersstichtingen en / of -vennootschappen) verkocht (zie beleidsregel Verrekening Boekwinsten)? </t>
  </si>
  <si>
    <t>Zijn, voor de berekening van de nacalculeerbare afschrijvingskosten van de in 2004 geactiveerde activa, de afschrijvingspercentages gehanteerd zoals in de beleidsregel Afschrijving opgenomen? Indien in 2004 geen activa zijn geactiveerd, kies dan nvt.</t>
  </si>
  <si>
    <t>Is eerst de jaarlijkse investeringsruimte volledig benut (in het onderdeel van het nacalculatieformulier over instandhoudingsinvesteringen), alvorens trekkingsrechten zijn aangesproken voor incidentele instandhoudingsinvesteringen? Indien geen instandhoudingsinvesteringen in 2004, kies dan nvt.</t>
  </si>
  <si>
    <t>Zijn de opgegeven doorberekende kapitaalslasten juist en volledig, conform de beleidsregel aanvullende inkomsten? Indien geen doorberekende kapitaalslasten, kies dan nvt.</t>
  </si>
  <si>
    <t>Zijn de rentepercentages van bestaande langlopende leningen gelijk aan de percentages die in de nacalculatie 2003 zijn gehanteerd?</t>
  </si>
  <si>
    <t>Passen de in 2004 geactiveerde investeringen in immateriele en materiele vaste activa (investeringskosten) binnen de WZV-vergunningen (hiermee wordt tevens verstaan de adviezen van CBZ ingevolge de beleidsregel Overgangsregeling kapitaalslasten bij extramurale zorgverlening) die voor deze projecten zijn afgegeven? Als er geen investeringen zijn geactiveerd, kies dan nvt.</t>
  </si>
  <si>
    <t>Kenmerk en datum brief productiecontrole</t>
  </si>
  <si>
    <t>Te verrekenen door het zorgkantoor:</t>
  </si>
  <si>
    <t>Heeft de accountant een voorbehoud gemaakt in de accountantsverklaring in de jaarrekening?</t>
  </si>
  <si>
    <t>3.10</t>
  </si>
  <si>
    <t>3.11.1</t>
  </si>
  <si>
    <t>3.11.2</t>
  </si>
  <si>
    <t>3.11.3</t>
  </si>
  <si>
    <t>Zijn de kosten van in 2004 afgestoten huurpanden, waarop een indexeringsclausule van toepassing is, negatief verwerkt in onderdeel 3.11.2 "Geïndexeerde huren 2004" van het nacalculatieformulier?</t>
  </si>
  <si>
    <t>Toename geïndexeerde huren 2004 (nieuw ingebruikgenomen panden)</t>
  </si>
  <si>
    <t>Overige mutaties (specificeren op aparte bijlage)</t>
  </si>
  <si>
    <t>1) Voor oude leningen (w) in de kolom "aanvaardbaar rentebedrag" het werkelijke rentebedrag vermelden</t>
  </si>
  <si>
    <t>Specificatie verkochte activa</t>
  </si>
  <si>
    <t>aanschaf-</t>
  </si>
  <si>
    <t>waarde</t>
  </si>
  <si>
    <t>boekwaarde</t>
  </si>
  <si>
    <t>adres</t>
  </si>
  <si>
    <t>verkocht voor</t>
  </si>
  <si>
    <t>boekwinst</t>
  </si>
  <si>
    <t>of -verlies</t>
  </si>
  <si>
    <t>kosten i.v.m.</t>
  </si>
  <si>
    <t>bestemming boekwinst</t>
  </si>
  <si>
    <r>
      <t>1</t>
    </r>
    <r>
      <rPr>
        <sz val="9"/>
        <rFont val="Arial"/>
        <family val="2"/>
      </rPr>
      <t xml:space="preserve"> In dit onderdeel dient u de activa te vermelden waarvan de verkoopprijs in 2004 is ontvangen.</t>
    </r>
  </si>
  <si>
    <r>
      <t xml:space="preserve">per </t>
    </r>
    <r>
      <rPr>
        <b/>
        <vertAlign val="superscript"/>
        <sz val="9"/>
        <rFont val="Arial"/>
        <family val="2"/>
      </rPr>
      <t>2</t>
    </r>
  </si>
  <si>
    <r>
      <t xml:space="preserve">verkoop </t>
    </r>
    <r>
      <rPr>
        <b/>
        <vertAlign val="superscript"/>
        <sz val="9"/>
        <rFont val="Arial"/>
        <family val="2"/>
      </rPr>
      <t>3</t>
    </r>
  </si>
  <si>
    <t>Telefonisch beh./beg.contact</t>
  </si>
  <si>
    <t>Ondertekening door raad van bestuur van het orgaan voor gezondheidszorg:</t>
  </si>
  <si>
    <t>F131</t>
  </si>
  <si>
    <t>F132</t>
  </si>
  <si>
    <t>F133</t>
  </si>
  <si>
    <t>F134</t>
  </si>
  <si>
    <t>F135</t>
  </si>
  <si>
    <t>F136</t>
  </si>
  <si>
    <t>F137</t>
  </si>
  <si>
    <t>F138</t>
  </si>
  <si>
    <t>F139</t>
  </si>
  <si>
    <t>F140</t>
  </si>
  <si>
    <t>F141</t>
  </si>
  <si>
    <t>F142</t>
  </si>
  <si>
    <t>F143</t>
  </si>
  <si>
    <t>F144</t>
  </si>
  <si>
    <t>F145</t>
  </si>
  <si>
    <t>F146</t>
  </si>
  <si>
    <t>F147</t>
  </si>
  <si>
    <t>F148</t>
  </si>
  <si>
    <t>F149</t>
  </si>
  <si>
    <t>F150</t>
  </si>
  <si>
    <t>Loonkostenaftrek vrijgevestigde psychiaters (PAAZ)</t>
  </si>
  <si>
    <t>Individuele prijsafspraak</t>
  </si>
  <si>
    <t>Uren recreatie-educatie-arbeidsm. act.</t>
  </si>
  <si>
    <t>*) Op basis van declarabele dagen (=exclusief afwezigheid)</t>
  </si>
  <si>
    <t>Aftrek opbrengst vaste tarieven vrijgevestigde psychiaters PAAZ *)</t>
  </si>
  <si>
    <t>Aftrek opbrengst vrijgevestigde psychiaters PAAZ</t>
  </si>
  <si>
    <t>2.12</t>
  </si>
  <si>
    <t>*) zie onderbouwing rekenstaatregel 110 (indien PAAZ met vrijgevestigde psychiaters)</t>
  </si>
  <si>
    <r>
      <t xml:space="preserve">index </t>
    </r>
    <r>
      <rPr>
        <b/>
        <vertAlign val="superscript"/>
        <sz val="9"/>
        <rFont val="Arial"/>
        <family val="2"/>
      </rPr>
      <t>3</t>
    </r>
  </si>
  <si>
    <r>
      <t>2</t>
    </r>
    <r>
      <rPr>
        <sz val="9"/>
        <rFont val="Arial"/>
        <family val="2"/>
      </rPr>
      <t xml:space="preserve"> Hier de index CBZ (=prijspeil) van de inbrengverplichting invullen, zoals vermeld onder A van het formulier inbrengverplichting van het CBZ</t>
    </r>
  </si>
  <si>
    <r>
      <t>1</t>
    </r>
    <r>
      <rPr>
        <sz val="9"/>
        <rFont val="Arial"/>
        <family val="2"/>
      </rPr>
      <t xml:space="preserve"> Voor de berekening van de aangepaste inbrengverplichting dient eerst onderdeel 3.7 volledig te worden ingevuld.</t>
    </r>
  </si>
  <si>
    <r>
      <t>3</t>
    </r>
    <r>
      <rPr>
        <sz val="9"/>
        <rFont val="Arial"/>
        <family val="2"/>
      </rPr>
      <t xml:space="preserve"> De "gezondheidszorgindex" volgens de bouwkostennota </t>
    </r>
  </si>
  <si>
    <t xml:space="preserve">2004. De "gezondheidszorgindex" wordt gepubliceerd door </t>
  </si>
  <si>
    <t>een jaartarief, zie hiervoor de tariefbeschikking</t>
  </si>
  <si>
    <t>Werkelijke productie volgens budgetformulier 2005</t>
  </si>
  <si>
    <t>2.10</t>
  </si>
  <si>
    <t>2.11</t>
  </si>
  <si>
    <t>Jaartarief</t>
  </si>
  <si>
    <t>F080</t>
  </si>
  <si>
    <t>maand</t>
  </si>
  <si>
    <t>3.8</t>
  </si>
  <si>
    <t>3.9</t>
  </si>
  <si>
    <r>
      <t xml:space="preserve">Normatieve rentepercentage kort krediet </t>
    </r>
    <r>
      <rPr>
        <vertAlign val="superscript"/>
        <sz val="9"/>
        <rFont val="Arial"/>
        <family val="2"/>
      </rPr>
      <t>1</t>
    </r>
  </si>
  <si>
    <r>
      <t xml:space="preserve">Inflatievergoeding over eigen vermogen </t>
    </r>
    <r>
      <rPr>
        <vertAlign val="superscript"/>
        <sz val="9"/>
        <rFont val="Arial"/>
        <family val="2"/>
      </rPr>
      <t>2</t>
    </r>
  </si>
  <si>
    <t>Percentages t.b.v. berekening rentekosten</t>
  </si>
  <si>
    <r>
      <t>2</t>
    </r>
    <r>
      <rPr>
        <sz val="9"/>
        <rFont val="Arial"/>
        <family val="2"/>
      </rPr>
      <t xml:space="preserve"> De inflatie vergoeding over het eigen vermogen is gelijk aan de prijsstijging voor de materiële kosten.</t>
    </r>
  </si>
  <si>
    <t>Verzorg.dagen beschermd wonen</t>
  </si>
  <si>
    <t>F221..</t>
  </si>
  <si>
    <r>
      <t>het CBZ en is te vinde</t>
    </r>
    <r>
      <rPr>
        <sz val="9"/>
        <rFont val="Arial"/>
        <family val="0"/>
      </rPr>
      <t xml:space="preserve">n op de website van  het CBZ </t>
    </r>
  </si>
  <si>
    <t>(www.bouwcollege.nl), onder indexcijfers.</t>
  </si>
  <si>
    <t>Doorberekende kapitaalslasten</t>
  </si>
  <si>
    <t>F123</t>
  </si>
  <si>
    <t>Registratienummer CTG/ZAio</t>
  </si>
  <si>
    <t>Instelling</t>
  </si>
  <si>
    <t>Naam</t>
  </si>
  <si>
    <t>kamer3@ctg-zaio.nl</t>
  </si>
  <si>
    <t>(psychiatrische ziekenhuizen, Riagg's, Ribw's en Paaz-en)</t>
  </si>
  <si>
    <t>¹) Hier de bedragen invullen van de nog te verwerken inbrengverplichtingen 2005 e.v. die al eerder zijn ingeboekt.  U treft deze bedragen aan op de laatste pagina van de rekenstaat onder de toekomstige budgetmutaties. Uitgaan van de meest recente rekenstaat van het jaar 2004.</t>
  </si>
  <si>
    <t>Geïndexeerde huren 2004</t>
  </si>
  <si>
    <t>Totaal huren 2004</t>
  </si>
  <si>
    <t>Huren</t>
  </si>
  <si>
    <t>Niet-geïndexeerde huren 2004</t>
  </si>
  <si>
    <r>
      <t>1</t>
    </r>
    <r>
      <rPr>
        <sz val="9"/>
        <rFont val="Arial"/>
        <family val="2"/>
      </rPr>
      <t>) De niet-geïndexeerde huren per pand/vergunning specificeren. Eventueel vervolgen op bijlage, indien te weinig regels.</t>
    </r>
  </si>
  <si>
    <r>
      <t xml:space="preserve">Aangepaste inbrengverplichting </t>
    </r>
    <r>
      <rPr>
        <b/>
        <vertAlign val="superscript"/>
        <sz val="9"/>
        <rFont val="Arial"/>
        <family val="2"/>
      </rPr>
      <t>1</t>
    </r>
  </si>
  <si>
    <t>Jaartarief inclusief tijdelijke toeslag/aftrek</t>
  </si>
  <si>
    <r>
      <t xml:space="preserve">In deze rubriek de kosten vermelden van gehuurde gebouwen e.d., waarvoor </t>
    </r>
    <r>
      <rPr>
        <u val="single"/>
        <sz val="9"/>
        <rFont val="Arial"/>
        <family val="2"/>
      </rPr>
      <t>geen</t>
    </r>
    <r>
      <rPr>
        <sz val="9"/>
        <rFont val="Arial"/>
        <family val="2"/>
      </rPr>
      <t xml:space="preserve"> huurindexering geldt (bijvoorbeeld huur van een andere gezondheidszorginstelling).  Bij nieuwe huursituaties de brief van de vergunning vermelden.</t>
    </r>
  </si>
  <si>
    <t>Is de instelling een PAAZ of een zelfstandige RIAGG / RIBW (beantwoorden met ja of nee)</t>
  </si>
  <si>
    <t>Passen de in 2004 geactiveerde instandhoudingsinvesteringen binnen de meldingsverklaringen die door het CBZ zijn afgegeven voor deze projecten? Als er geen investeringen zijn geactiveerd, kies dan nvt.</t>
  </si>
  <si>
    <t>Behoort bij circulaire PTYN/ybas/CARE/GGZ/05/01c</t>
  </si>
  <si>
    <t>Passen de huurkosten behorende bij de in 2004 nieuw aangegane huurovereenkomsten binnen de goedkeuringen die door het CBZ zijn afgegeven? Als er geen kosten van nieuwe huursituaties zijn opgegeven, kies dan nvt.</t>
  </si>
  <si>
    <t>AANVULLENDE VRAGEN 2004</t>
  </si>
  <si>
    <r>
      <t>2</t>
    </r>
    <r>
      <rPr>
        <sz val="9"/>
        <rFont val="Arial"/>
        <family val="2"/>
      </rPr>
      <t>) Bij nieuwe of gewijzigde huursituaties datum en nummer vergunning vermelden.</t>
    </r>
  </si>
  <si>
    <r>
      <t xml:space="preserve">Gegevens vergunning </t>
    </r>
    <r>
      <rPr>
        <b/>
        <vertAlign val="superscript"/>
        <sz val="9"/>
        <rFont val="Arial"/>
        <family val="2"/>
      </rPr>
      <t>2</t>
    </r>
  </si>
  <si>
    <t>excl. index</t>
  </si>
  <si>
    <t xml:space="preserve">    72*</t>
  </si>
  <si>
    <t xml:space="preserve">    80*</t>
  </si>
  <si>
    <t xml:space="preserve">    81*</t>
  </si>
  <si>
    <t>Investeringsruimte rekenstaat (totaal regel 80 resp. 81)</t>
  </si>
  <si>
    <t>trekk.rechten</t>
  </si>
  <si>
    <t>Nieuwe leningen kunt u in dit overzicht opnemen door de storting te verwerken als een negatieve aflossing. Als op de nieuwe lening in hetzelfde jaar nog wordt afgelost, kunnen deze aflossingen op de volgende regel apart worden verwerkt.</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</si>
  <si>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</si>
  <si>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Door zorgkantoor met het voorschot te verrekenen bedragen</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</si>
  <si>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</si>
  <si>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</si>
  <si>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</si>
  <si>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</si>
  <si>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</si>
  <si>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</si>
  <si>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</si>
  <si>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</si>
  <si>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</si>
  <si>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</si>
  <si>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</si>
  <si>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</si>
  <si>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</si>
  <si>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</si>
  <si>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</si>
  <si>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</si>
  <si>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</si>
  <si>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</si>
  <si>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</si>
  <si>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</si>
  <si>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</si>
  <si>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</si>
  <si>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</si>
  <si>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</si>
  <si>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</si>
  <si>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</si>
  <si>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</si>
  <si>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</si>
  <si>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In aanvaardbare kosten te verwerken rentekosten</t>
  </si>
  <si>
    <t>3.7</t>
  </si>
  <si>
    <t>Aantal extra bijlagen bij het nacalculatieformulier:</t>
  </si>
  <si>
    <t>Aanvaardbare kosten volgens jaarrekening</t>
  </si>
  <si>
    <t>Controle productie door het zorgkantoor</t>
  </si>
  <si>
    <t>Versie</t>
  </si>
  <si>
    <t>E.</t>
  </si>
  <si>
    <t>Uitgevoerd en gefactureerd in januari</t>
  </si>
  <si>
    <t>Uitgevoerd en gefactureerd in februari</t>
  </si>
  <si>
    <t>Uitgevoerd en gefactureerd in maart</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</si>
</sst>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d\ mmmm\ yyyy"/>
    <numFmt numFmtId="173" formatCode="0.0"/>
    <numFmt numFmtId="174" formatCode="0.00000"/>
    <numFmt numFmtId="175" formatCode="#,##0.0000"/>
    <numFmt numFmtId="176" formatCode="dd/mm/yy"/>
    <numFmt numFmtId="177" formatCode="#,##0;\(#,##0_ \ \);"/>
    <numFmt numFmtId="178" formatCode="#,##0_ \ ;\(#,##0\)_ ;"/>
    <numFmt numFmtId="179" formatCode="#,##0\ ;\(#,##0;"/>
    <numFmt numFmtId="180" formatCode="#,##0\ ;\(#,##0\);"/>
    <numFmt numFmtId="181" formatCode="#,##0_ \ ;\(#,##0\)_ ;\ \ "/>
    <numFmt numFmtId="182" formatCode="#,##0_ ;\(#,##0\);"/>
    <numFmt numFmtId="183" formatCode="dd/mm/yy_ "/>
    <numFmt numFmtId="184" formatCode="dd/mmm/yy"/>
    <numFmt numFmtId="185" formatCode="\(#,##0\)_ ;#,##0_ \ ;\ \(* \)_ "/>
    <numFmt numFmtId="186" formatCode="#,##0_ ;\(#,##0\)_ ;"/>
    <numFmt numFmtId="187" formatCode="#,##0_ ;;"/>
    <numFmt numFmtId="188" formatCode="General\ "/>
    <numFmt numFmtId="189" formatCode="0\ ;"/>
    <numFmt numFmtId="190" formatCode="\(#,##0\);#,##0_ ;\ \(* \)_ "/>
    <numFmt numFmtId="191" formatCode="\ \ƒ* #,##0_ \ ;\ \ƒ* ;\ \ƒ* "/>
    <numFmt numFmtId="192" formatCode="\ \ \ \ 0"/>
    <numFmt numFmtId="193" formatCode="0_ "/>
    <numFmt numFmtId="194" formatCode="0;;"/>
    <numFmt numFmtId="195" formatCode="0%;\(0%\);\%"/>
    <numFmt numFmtId="196" formatCode="#,##0_ ;\(#,##0\);&quot;-/-&quot;* "/>
    <numFmt numFmtId="197" formatCode="\€* #,##0_ ;\€* \(#,##0\);\€* "/>
    <numFmt numFmtId="198" formatCode="#,##0.00_ ;\(#,##0.00\);"/>
    <numFmt numFmtId="199" formatCode="#,###.00_ ;\(#,##0.00\);"/>
    <numFmt numFmtId="200" formatCode="dd/mm/yy;@"/>
    <numFmt numFmtId="201" formatCode="&quot;Ja&quot;;&quot;Ja&quot;;&quot;Nee&quot;"/>
    <numFmt numFmtId="202" formatCode="&quot;Waar&quot;;&quot;Waar&quot;;&quot;Niet waar&quot;"/>
    <numFmt numFmtId="203" formatCode="&quot;Aan&quot;;&quot;Aan&quot;;&quot;Uit&quot;"/>
    <numFmt numFmtId="204" formatCode="[$€-2]\ #.##000_);[Red]\([$€-2]\ #.##000\)"/>
    <numFmt numFmtId="205" formatCode="[$-413]dddd\ d\ mmmm\ yyyy"/>
    <numFmt numFmtId="206" formatCode="[$-413]d\ mmmm\ yyyy;@"/>
    <numFmt numFmtId="207" formatCode="0.00000000"/>
    <numFmt numFmtId="208" formatCode="0.0000000"/>
    <numFmt numFmtId="209" formatCode="0.000000"/>
    <numFmt numFmtId="210" formatCode="ddmmyyyy"/>
    <numFmt numFmtId="211" formatCode="dd/mm/yyyy"/>
    <numFmt numFmtId="212" formatCode="&quot;F&quot;\ #,##0_-;&quot;F&quot;\ #,##0\-"/>
    <numFmt numFmtId="213" formatCode="#,##0_ ;\-#,##0\ "/>
    <numFmt numFmtId="214" formatCode="0_ ;\-0\ "/>
    <numFmt numFmtId="215" formatCode="_-&quot;EUR&quot;\ * #,##0.000_-;_-&quot;EUR&quot;\ * #,##0.000\-;_-&quot;EUR&quot;\ * &quot;-&quot;??_-;_-@_-"/>
    <numFmt numFmtId="216" formatCode="_-&quot;EUR&quot;\ * #,##0.00_-;_-&quot;EUR&quot;\ * #,##0.00\-;_-&quot;EUR&quot;\ * &quot;-&quot;??_-;_-@_-"/>
    <numFmt numFmtId="217" formatCode="###0_-;###0\-"/>
  </numFmts>
  <fonts count="32">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8"/>
      <color indexed="9"/>
      <name val="Arial"/>
      <family val="2"/>
    </font>
    <font>
      <sz val="10"/>
      <name val="Helv"/>
      <family val="0"/>
    </font>
    <font>
      <b/>
      <sz val="14"/>
      <name val="Helv"/>
      <family val="0"/>
    </font>
    <font>
      <sz val="24"/>
      <color indexed="13"/>
      <name val="Helv"/>
      <family val="0"/>
    </font>
    <font>
      <b/>
      <i/>
      <sz val="8"/>
      <name val="Arial"/>
      <family val="2"/>
    </font>
    <font>
      <sz val="10"/>
      <color indexed="9"/>
      <name val="Arial"/>
      <family val="2"/>
    </font>
    <font>
      <sz val="8"/>
      <name val="Tahoma"/>
      <family val="2"/>
    </font>
    <font>
      <b/>
      <sz val="8"/>
      <color indexed="9"/>
      <name val="Arial"/>
      <family val="2"/>
    </font>
    <font>
      <b/>
      <i/>
      <sz val="9"/>
      <name val="Arial"/>
      <family val="2"/>
    </font>
    <font>
      <sz val="9"/>
      <color indexed="9"/>
      <name val="Arial"/>
      <family val="2"/>
    </font>
    <font>
      <b/>
      <sz val="9"/>
      <color indexed="9"/>
      <name val="Arial"/>
      <family val="2"/>
    </font>
    <font>
      <sz val="12"/>
      <name val="Arial"/>
      <family val="2"/>
    </font>
    <font>
      <sz val="20"/>
      <name val="Arial"/>
      <family val="2"/>
    </font>
    <font>
      <sz val="9"/>
      <color indexed="61"/>
      <name val="Arial"/>
      <family val="2"/>
    </font>
    <font>
      <i/>
      <sz val="9"/>
      <name val="Arial"/>
      <family val="2"/>
    </font>
    <font>
      <b/>
      <sz val="9"/>
      <color indexed="8"/>
      <name val="Arial"/>
      <family val="2"/>
    </font>
    <font>
      <u val="single"/>
      <sz val="10"/>
      <color indexed="12"/>
      <name val="Arial"/>
      <family val="0"/>
    </font>
    <font>
      <u val="single"/>
      <sz val="10"/>
      <color indexed="36"/>
      <name val="Arial"/>
      <family val="0"/>
    </font>
    <font>
      <vertAlign val="superscript"/>
      <sz val="9"/>
      <name val="Arial"/>
      <family val="2"/>
    </font>
    <font>
      <b/>
      <vertAlign val="superscript"/>
      <sz val="9"/>
      <name val="Arial"/>
      <family val="2"/>
    </font>
    <font>
      <b/>
      <vertAlign val="superscript"/>
      <sz val="8"/>
      <name val="Arial"/>
      <family val="2"/>
    </font>
    <font>
      <u val="single"/>
      <sz val="9"/>
      <name val="Arial"/>
      <family val="2"/>
    </font>
    <font>
      <i/>
      <sz val="8"/>
      <name val="Arial"/>
      <family val="2"/>
    </font>
    <font>
      <b/>
      <sz val="16"/>
      <name val="Arial"/>
      <family val="2"/>
    </font>
    <font>
      <b/>
      <sz val="12"/>
      <name val="Arial"/>
      <family val="2"/>
    </font>
    <font>
      <b/>
      <sz val="11"/>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60"/>
        <bgColor indexed="64"/>
      </patternFill>
    </fill>
    <fill>
      <patternFill patternType="solid">
        <fgColor indexed="16"/>
        <bgColor indexed="64"/>
      </patternFill>
    </fill>
    <fill>
      <patternFill patternType="solid">
        <fgColor indexed="41"/>
        <bgColor indexed="64"/>
      </patternFill>
    </fill>
  </fills>
  <borders count="7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thin"/>
      <right style="thin"/>
      <top style="thin"/>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style="hair"/>
      <top style="hair"/>
      <bottom style="thin"/>
    </border>
    <border>
      <left>
        <color indexed="63"/>
      </left>
      <right style="thin"/>
      <top style="thin"/>
      <bottom>
        <color indexed="63"/>
      </bottom>
    </border>
    <border>
      <left style="hair"/>
      <right style="hair"/>
      <top>
        <color indexed="63"/>
      </top>
      <bottom style="hair"/>
    </border>
    <border>
      <left>
        <color indexed="63"/>
      </left>
      <right style="hair"/>
      <top style="thin"/>
      <bottom style="hair"/>
    </border>
    <border>
      <left style="hair"/>
      <right>
        <color indexed="63"/>
      </right>
      <top style="hair"/>
      <bottom style="thin"/>
    </border>
    <border>
      <left style="hair"/>
      <right>
        <color indexed="63"/>
      </right>
      <top style="thin"/>
      <bottom style="thin"/>
    </border>
    <border>
      <left>
        <color indexed="63"/>
      </left>
      <right style="hair"/>
      <top>
        <color indexed="63"/>
      </top>
      <bottom style="thin"/>
    </border>
    <border>
      <left style="hair"/>
      <right style="hair"/>
      <top>
        <color indexed="63"/>
      </top>
      <bottom style="thin"/>
    </border>
    <border>
      <left style="hair"/>
      <right style="hair"/>
      <top style="thin"/>
      <bottom style="thin"/>
    </border>
    <border>
      <left style="thin"/>
      <right style="hair"/>
      <top>
        <color indexed="63"/>
      </top>
      <bottom style="hair"/>
    </border>
    <border>
      <left style="thin"/>
      <right style="hair"/>
      <top style="hair"/>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style="hair"/>
    </border>
    <border>
      <left style="hair"/>
      <right style="thin"/>
      <top>
        <color indexed="63"/>
      </top>
      <bottom>
        <color indexed="63"/>
      </bottom>
    </border>
    <border>
      <left style="thin"/>
      <right>
        <color indexed="63"/>
      </right>
      <top style="thin"/>
      <bottom style="hair"/>
    </border>
    <border>
      <left style="thin"/>
      <right>
        <color indexed="63"/>
      </right>
      <top>
        <color indexed="63"/>
      </top>
      <bottom>
        <color indexed="63"/>
      </bottom>
    </border>
    <border>
      <left style="hair"/>
      <right>
        <color indexed="63"/>
      </right>
      <top style="thin"/>
      <bottom style="hair"/>
    </border>
    <border>
      <left>
        <color indexed="63"/>
      </left>
      <right style="hair"/>
      <top style="thin"/>
      <bottom>
        <color indexed="63"/>
      </bottom>
    </border>
    <border>
      <left>
        <color indexed="63"/>
      </left>
      <right style="thin"/>
      <top style="thin"/>
      <bottom style="hair"/>
    </border>
    <border>
      <left style="hair"/>
      <right>
        <color indexed="63"/>
      </right>
      <top style="thin"/>
      <bottom>
        <color indexed="63"/>
      </bottom>
    </border>
  </borders>
  <cellStyleXfs count="49">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1">
      <alignment/>
      <protection/>
    </xf>
    <xf numFmtId="0" fontId="23"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8"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pplyBorder="0">
      <alignment/>
      <protection/>
    </xf>
    <xf numFmtId="178" fontId="4" fillId="0" borderId="2" applyFill="0" applyBorder="0">
      <alignment/>
      <protection/>
    </xf>
    <xf numFmtId="191" fontId="4" fillId="0" borderId="2" applyFill="0" applyBorder="0">
      <alignment/>
      <protection/>
    </xf>
    <xf numFmtId="185" fontId="4" fillId="0" borderId="2" applyFill="0" applyBorder="0">
      <alignment/>
      <protection/>
    </xf>
    <xf numFmtId="178" fontId="5" fillId="3" borderId="3">
      <alignment/>
      <protection/>
    </xf>
    <xf numFmtId="185" fontId="5" fillId="3" borderId="3">
      <alignment/>
      <protection/>
    </xf>
    <xf numFmtId="178" fontId="5" fillId="3" borderId="3">
      <alignment/>
      <protection/>
    </xf>
    <xf numFmtId="178" fontId="4" fillId="0" borderId="2" applyFill="0" applyBorder="0">
      <alignment/>
      <protection/>
    </xf>
    <xf numFmtId="0" fontId="7" fillId="0" borderId="1">
      <alignment/>
      <protection/>
    </xf>
    <xf numFmtId="0" fontId="9" fillId="4" borderId="0">
      <alignment/>
      <protection/>
    </xf>
    <xf numFmtId="0" fontId="8" fillId="0" borderId="4">
      <alignment/>
      <protection/>
    </xf>
    <xf numFmtId="0" fontId="8"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747">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 fillId="0" borderId="0" xfId="0" applyFont="1" applyBorder="1" applyAlignment="1" applyProtection="1">
      <alignment/>
      <protection hidden="1"/>
    </xf>
    <xf numFmtId="0" fontId="0" fillId="0" borderId="0" xfId="0" applyBorder="1" applyAlignment="1" applyProtection="1">
      <alignment/>
      <protection hidden="1"/>
    </xf>
    <xf numFmtId="0" fontId="2" fillId="0" borderId="5" xfId="0" applyNumberFormat="1" applyFont="1" applyBorder="1" applyAlignment="1" applyProtection="1">
      <alignment vertical="center"/>
      <protection hidden="1"/>
    </xf>
    <xf numFmtId="0" fontId="2"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6" fillId="0" borderId="5" xfId="0" applyFont="1" applyBorder="1" applyAlignment="1" applyProtection="1">
      <alignment vertical="center"/>
      <protection hidden="1"/>
    </xf>
    <xf numFmtId="189" fontId="2" fillId="0" borderId="6"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NumberFormat="1" applyFont="1" applyBorder="1" applyAlignment="1" applyProtection="1">
      <alignment horizontal="left"/>
      <protection hidden="1"/>
    </xf>
    <xf numFmtId="37" fontId="0" fillId="0" borderId="0" xfId="0" applyNumberFormat="1" applyAlignment="1" applyProtection="1">
      <alignment/>
      <protection hidden="1"/>
    </xf>
    <xf numFmtId="2" fontId="0" fillId="0" borderId="0" xfId="0" applyNumberFormat="1" applyFont="1" applyAlignment="1" applyProtection="1">
      <alignment/>
      <protection hidden="1"/>
    </xf>
    <xf numFmtId="37" fontId="0" fillId="0" borderId="0" xfId="0" applyNumberFormat="1" applyFont="1" applyAlignment="1" applyProtection="1">
      <alignment/>
      <protection hidden="1"/>
    </xf>
    <xf numFmtId="37" fontId="1" fillId="0" borderId="0" xfId="0" applyNumberFormat="1" applyFont="1" applyBorder="1" applyAlignment="1" applyProtection="1">
      <alignment horizontal="left"/>
      <protection hidden="1"/>
    </xf>
    <xf numFmtId="37" fontId="1" fillId="0" borderId="0" xfId="0" applyNumberFormat="1" applyFont="1" applyBorder="1" applyAlignment="1" applyProtection="1">
      <alignment horizontal="center"/>
      <protection hidden="1"/>
    </xf>
    <xf numFmtId="0" fontId="1" fillId="0" borderId="0" xfId="32" applyFont="1" applyBorder="1" applyAlignment="1" applyProtection="1">
      <alignment horizontal="left"/>
      <protection hidden="1"/>
    </xf>
    <xf numFmtId="0"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left" vertical="center"/>
      <protection hidden="1"/>
    </xf>
    <xf numFmtId="37" fontId="3" fillId="3" borderId="7" xfId="0" applyNumberFormat="1" applyFont="1" applyFill="1" applyBorder="1" applyAlignment="1" applyProtection="1">
      <alignment horizontal="right" vertical="center"/>
      <protection hidden="1"/>
    </xf>
    <xf numFmtId="37" fontId="3" fillId="0" borderId="0" xfId="0" applyNumberFormat="1" applyFont="1" applyBorder="1" applyAlignment="1" applyProtection="1">
      <alignment vertical="center"/>
      <protection hidden="1"/>
    </xf>
    <xf numFmtId="37" fontId="3" fillId="3" borderId="3"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protection hidden="1"/>
    </xf>
    <xf numFmtId="37" fontId="5" fillId="0" borderId="0" xfId="0" applyNumberFormat="1" applyFont="1" applyBorder="1" applyAlignment="1" applyProtection="1">
      <alignment/>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5" fillId="0" borderId="0" xfId="0" applyFont="1" applyBorder="1" applyAlignment="1" applyProtection="1">
      <alignment horizontal="right"/>
      <protection hidden="1"/>
    </xf>
    <xf numFmtId="0" fontId="5" fillId="3" borderId="8" xfId="0" applyNumberFormat="1" applyFont="1" applyFill="1" applyBorder="1" applyAlignment="1" applyProtection="1">
      <alignment horizontal="left"/>
      <protection hidden="1"/>
    </xf>
    <xf numFmtId="0" fontId="5" fillId="3" borderId="9" xfId="0" applyNumberFormat="1" applyFont="1" applyFill="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3" borderId="10" xfId="0" applyNumberFormat="1" applyFont="1" applyFill="1" applyBorder="1" applyAlignment="1" applyProtection="1">
      <alignment horizontal="left"/>
      <protection hidden="1"/>
    </xf>
    <xf numFmtId="0" fontId="5" fillId="3" borderId="11" xfId="0" applyNumberFormat="1" applyFont="1" applyFill="1" applyBorder="1" applyAlignment="1" applyProtection="1">
      <alignment horizontal="left"/>
      <protection hidden="1"/>
    </xf>
    <xf numFmtId="37" fontId="4" fillId="0" borderId="12" xfId="0" applyNumberFormat="1" applyFont="1" applyFill="1" applyBorder="1" applyAlignment="1" applyProtection="1">
      <alignment/>
      <protection hidden="1"/>
    </xf>
    <xf numFmtId="0" fontId="5" fillId="3" borderId="3" xfId="0" applyNumberFormat="1" applyFont="1" applyFill="1" applyBorder="1" applyAlignment="1" applyProtection="1">
      <alignment horizontal="left"/>
      <protection hidden="1"/>
    </xf>
    <xf numFmtId="37" fontId="5" fillId="3" borderId="5" xfId="0" applyNumberFormat="1" applyFont="1" applyFill="1" applyBorder="1" applyAlignment="1" applyProtection="1">
      <alignment/>
      <protection hidden="1"/>
    </xf>
    <xf numFmtId="187" fontId="4" fillId="3" borderId="5" xfId="36" applyNumberFormat="1" applyFont="1" applyFill="1" applyBorder="1" applyAlignment="1" applyProtection="1">
      <alignment horizontal="left"/>
      <protection hidden="1"/>
    </xf>
    <xf numFmtId="187" fontId="4" fillId="3" borderId="5" xfId="38" applyNumberFormat="1" applyFont="1" applyFill="1" applyBorder="1" applyAlignment="1" applyProtection="1">
      <alignmen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187" fontId="4" fillId="3" borderId="7" xfId="38" applyNumberFormat="1"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vertical="top"/>
      <protection hidden="1"/>
    </xf>
    <xf numFmtId="37" fontId="4" fillId="0" borderId="13" xfId="0" applyNumberFormat="1" applyFont="1" applyFill="1" applyBorder="1" applyAlignment="1" applyProtection="1">
      <alignment/>
      <protection hidden="1" locked="0"/>
    </xf>
    <xf numFmtId="0" fontId="4" fillId="0" borderId="13" xfId="0" applyFont="1" applyFill="1" applyBorder="1" applyAlignment="1" applyProtection="1">
      <alignment/>
      <protection hidden="1" locked="0"/>
    </xf>
    <xf numFmtId="0" fontId="5" fillId="3" borderId="14" xfId="0" applyNumberFormat="1" applyFont="1" applyFill="1" applyBorder="1" applyAlignment="1" applyProtection="1">
      <alignment horizontal="left"/>
      <protection hidden="1"/>
    </xf>
    <xf numFmtId="0" fontId="4" fillId="3" borderId="5" xfId="0" applyFont="1" applyFill="1" applyBorder="1" applyAlignment="1" applyProtection="1">
      <alignment/>
      <protection hidden="1"/>
    </xf>
    <xf numFmtId="0" fontId="1" fillId="0" borderId="0" xfId="0" applyNumberFormat="1" applyFont="1" applyBorder="1" applyAlignment="1" applyProtection="1">
      <alignment/>
      <protection hidden="1"/>
    </xf>
    <xf numFmtId="0" fontId="5" fillId="3" borderId="15" xfId="0" applyNumberFormat="1" applyFont="1" applyFill="1" applyBorder="1" applyAlignment="1" applyProtection="1">
      <alignment horizontal="left"/>
      <protection hidden="1"/>
    </xf>
    <xf numFmtId="37" fontId="4" fillId="0" borderId="6" xfId="0" applyNumberFormat="1" applyFont="1" applyFill="1" applyBorder="1" applyAlignment="1" applyProtection="1">
      <alignment/>
      <protection hidden="1" locked="0"/>
    </xf>
    <xf numFmtId="0" fontId="4" fillId="0" borderId="6" xfId="0" applyFont="1" applyFill="1" applyBorder="1" applyAlignment="1" applyProtection="1">
      <alignment/>
      <protection hidden="1" locked="0"/>
    </xf>
    <xf numFmtId="166" fontId="4" fillId="0" borderId="0" xfId="0" applyNumberFormat="1" applyFont="1" applyBorder="1" applyAlignment="1" applyProtection="1">
      <alignment horizontal="center"/>
      <protection hidden="1"/>
    </xf>
    <xf numFmtId="178" fontId="4" fillId="0" borderId="0" xfId="36" applyFont="1" applyBorder="1" applyAlignment="1" applyProtection="1">
      <alignment/>
      <protection hidden="1"/>
    </xf>
    <xf numFmtId="37" fontId="5" fillId="3" borderId="16" xfId="0" applyNumberFormat="1"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7" xfId="0" applyFont="1" applyFill="1" applyBorder="1" applyAlignment="1" applyProtection="1">
      <alignment/>
      <protection hidden="1"/>
    </xf>
    <xf numFmtId="37" fontId="3" fillId="0" borderId="0" xfId="0" applyNumberFormat="1" applyFont="1" applyFill="1" applyBorder="1" applyAlignment="1" applyProtection="1">
      <alignment horizontal="right" vertical="center"/>
      <protection hidden="1"/>
    </xf>
    <xf numFmtId="188" fontId="3" fillId="0" borderId="0"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protection hidden="1"/>
    </xf>
    <xf numFmtId="37" fontId="3" fillId="0" borderId="0" xfId="0" applyNumberFormat="1" applyFont="1" applyBorder="1" applyAlignment="1" applyProtection="1">
      <alignment/>
      <protection hidden="1"/>
    </xf>
    <xf numFmtId="0" fontId="1" fillId="0" borderId="0" xfId="0" applyFont="1" applyBorder="1" applyAlignment="1" applyProtection="1">
      <alignment horizontal="right" vertical="top"/>
      <protection hidden="1"/>
    </xf>
    <xf numFmtId="0" fontId="1" fillId="0" borderId="0" xfId="0" applyFont="1" applyBorder="1" applyAlignment="1" applyProtection="1">
      <alignment horizontal="right"/>
      <protection hidden="1"/>
    </xf>
    <xf numFmtId="37" fontId="3" fillId="0" borderId="0" xfId="0" applyNumberFormat="1" applyFont="1" applyFill="1" applyBorder="1" applyAlignment="1" applyProtection="1">
      <alignment/>
      <protection hidden="1"/>
    </xf>
    <xf numFmtId="0" fontId="1" fillId="0" borderId="0" xfId="0" applyFont="1" applyFill="1" applyBorder="1" applyAlignment="1" applyProtection="1">
      <alignment horizontal="right" vertical="top"/>
      <protection hidden="1"/>
    </xf>
    <xf numFmtId="0" fontId="1" fillId="0" borderId="0" xfId="0" applyFont="1" applyFill="1" applyBorder="1" applyAlignment="1" applyProtection="1">
      <alignment horizontal="right"/>
      <protection hidden="1"/>
    </xf>
    <xf numFmtId="0" fontId="5"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0" fillId="0" borderId="17" xfId="0" applyNumberFormat="1" applyFont="1" applyFill="1" applyBorder="1" applyAlignment="1" applyProtection="1">
      <alignment horizontal="right"/>
      <protection hidden="1"/>
    </xf>
    <xf numFmtId="0" fontId="1"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5" fillId="0" borderId="17" xfId="0" applyFont="1" applyFill="1" applyBorder="1" applyAlignment="1" applyProtection="1">
      <alignment horizontal="right"/>
      <protection hidden="1"/>
    </xf>
    <xf numFmtId="0" fontId="4" fillId="0" borderId="18" xfId="0" applyFont="1" applyFill="1" applyBorder="1" applyAlignment="1" applyProtection="1">
      <alignment/>
      <protection hidden="1"/>
    </xf>
    <xf numFmtId="178" fontId="4" fillId="0" borderId="19" xfId="36" applyFont="1" applyFill="1" applyBorder="1" applyAlignment="1" applyProtection="1">
      <alignment/>
      <protection hidden="1"/>
    </xf>
    <xf numFmtId="178" fontId="4" fillId="3" borderId="7" xfId="36" applyFont="1" applyFill="1" applyBorder="1" applyAlignment="1" applyProtection="1">
      <alignment/>
      <protection hidden="1"/>
    </xf>
    <xf numFmtId="0" fontId="5" fillId="3" borderId="2" xfId="0" applyNumberFormat="1" applyFont="1" applyFill="1" applyBorder="1" applyAlignment="1" applyProtection="1">
      <alignment horizontal="left"/>
      <protection hidden="1"/>
    </xf>
    <xf numFmtId="0" fontId="5" fillId="0" borderId="20" xfId="0" applyFont="1" applyFill="1" applyBorder="1" applyAlignment="1" applyProtection="1">
      <alignment horizontal="right"/>
      <protection hidden="1"/>
    </xf>
    <xf numFmtId="0" fontId="5"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1" fillId="0" borderId="0" xfId="0" applyFont="1" applyFill="1" applyBorder="1" applyAlignment="1" applyProtection="1">
      <alignment/>
      <protection hidden="1"/>
    </xf>
    <xf numFmtId="0" fontId="1" fillId="0" borderId="0" xfId="0" applyNumberFormat="1" applyFont="1" applyFill="1" applyAlignment="1" applyProtection="1">
      <alignment/>
      <protection hidden="1"/>
    </xf>
    <xf numFmtId="0" fontId="0" fillId="0" borderId="0" xfId="0" applyFill="1" applyAlignment="1" applyProtection="1">
      <alignment/>
      <protection hidden="1"/>
    </xf>
    <xf numFmtId="0" fontId="10" fillId="0" borderId="13" xfId="0" applyFont="1" applyFill="1" applyBorder="1" applyAlignment="1" applyProtection="1">
      <alignment horizontal="right"/>
      <protection hidden="1"/>
    </xf>
    <xf numFmtId="178" fontId="4" fillId="3" borderId="5" xfId="36"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Alignment="1" applyProtection="1">
      <alignment horizontal="left"/>
      <protection hidden="1"/>
    </xf>
    <xf numFmtId="0" fontId="1" fillId="0" borderId="0" xfId="0" applyNumberFormat="1" applyFont="1" applyBorder="1" applyAlignment="1" applyProtection="1">
      <alignment horizontal="left"/>
      <protection hidden="1"/>
    </xf>
    <xf numFmtId="0" fontId="3" fillId="0" borderId="0" xfId="0" applyFont="1" applyFill="1" applyBorder="1" applyAlignment="1" applyProtection="1">
      <alignment horizontal="left"/>
      <protection hidden="1"/>
    </xf>
    <xf numFmtId="170"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protection hidden="1"/>
    </xf>
    <xf numFmtId="37"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right"/>
      <protection hidden="1"/>
    </xf>
    <xf numFmtId="0" fontId="3" fillId="0" borderId="0" xfId="0" applyFont="1" applyFill="1" applyAlignment="1" applyProtection="1">
      <alignment/>
      <protection hidden="1"/>
    </xf>
    <xf numFmtId="37" fontId="3" fillId="3" borderId="21" xfId="0" applyNumberFormat="1" applyFont="1" applyFill="1" applyBorder="1" applyAlignment="1" applyProtection="1">
      <alignment horizontal="right" vertical="center"/>
      <protection hidden="1"/>
    </xf>
    <xf numFmtId="193" fontId="3" fillId="3" borderId="14" xfId="0" applyNumberFormat="1" applyFont="1" applyFill="1" applyBorder="1" applyAlignment="1" applyProtection="1">
      <alignment horizontal="right" vertical="center"/>
      <protection hidden="1"/>
    </xf>
    <xf numFmtId="0" fontId="3" fillId="3" borderId="22"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14" xfId="0" applyFont="1" applyFill="1" applyBorder="1" applyAlignment="1" applyProtection="1">
      <alignment horizontal="right" vertical="center"/>
      <protection hidden="1"/>
    </xf>
    <xf numFmtId="170"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2" fillId="0" borderId="0" xfId="0" applyNumberFormat="1" applyFont="1" applyBorder="1" applyAlignment="1" applyProtection="1">
      <alignment horizontal="left"/>
      <protection hidden="1"/>
    </xf>
    <xf numFmtId="0" fontId="3" fillId="0" borderId="0" xfId="0" applyFont="1" applyBorder="1" applyAlignment="1" applyProtection="1">
      <alignment horizontal="lef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37" fontId="5" fillId="0" borderId="0" xfId="0" applyNumberFormat="1" applyFont="1" applyFill="1" applyBorder="1" applyAlignment="1" applyProtection="1">
      <alignment horizontal="right"/>
      <protection hidden="1"/>
    </xf>
    <xf numFmtId="0" fontId="10" fillId="0" borderId="0" xfId="0" applyFont="1" applyBorder="1" applyAlignment="1" applyProtection="1">
      <alignment horizontal="right"/>
      <protection hidden="1"/>
    </xf>
    <xf numFmtId="0" fontId="4" fillId="0" borderId="17" xfId="0" applyFont="1" applyFill="1" applyBorder="1" applyAlignment="1" applyProtection="1">
      <alignment/>
      <protection hidden="1"/>
    </xf>
    <xf numFmtId="170" fontId="0" fillId="0" borderId="0" xfId="0" applyNumberFormat="1" applyAlignment="1" applyProtection="1">
      <alignment horizontal="left"/>
      <protection hidden="1"/>
    </xf>
    <xf numFmtId="37" fontId="5" fillId="0" borderId="0" xfId="0" applyNumberFormat="1" applyFont="1" applyFill="1" applyBorder="1" applyAlignment="1" applyProtection="1">
      <alignment horizontal="right" vertical="center"/>
      <protection hidden="1"/>
    </xf>
    <xf numFmtId="0" fontId="5" fillId="0" borderId="0" xfId="32" applyFont="1" applyAlignment="1" applyProtection="1">
      <alignment horizontal="left"/>
      <protection hidden="1"/>
    </xf>
    <xf numFmtId="0" fontId="5" fillId="3" borderId="8" xfId="32" applyFont="1" applyFill="1" applyBorder="1" applyAlignment="1" applyProtection="1">
      <alignment horizontal="left"/>
      <protection hidden="1"/>
    </xf>
    <xf numFmtId="0" fontId="5" fillId="3" borderId="10" xfId="32" applyFont="1" applyFill="1" applyBorder="1" applyAlignment="1" applyProtection="1">
      <alignment horizontal="left"/>
      <protection hidden="1"/>
    </xf>
    <xf numFmtId="0" fontId="4" fillId="0" borderId="0" xfId="32" applyFont="1" applyBorder="1" applyAlignment="1" applyProtection="1">
      <alignment horizontal="center"/>
      <protection hidden="1"/>
    </xf>
    <xf numFmtId="0" fontId="5" fillId="3" borderId="15" xfId="32" applyFont="1" applyFill="1" applyBorder="1" applyAlignment="1" applyProtection="1">
      <alignment horizontal="left"/>
      <protection hidden="1"/>
    </xf>
    <xf numFmtId="0" fontId="5" fillId="3" borderId="3" xfId="32"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4" fillId="0" borderId="0" xfId="32" applyFont="1" applyAlignment="1" applyProtection="1">
      <alignment horizontal="left"/>
      <protection hidden="1"/>
    </xf>
    <xf numFmtId="37" fontId="5" fillId="0" borderId="0" xfId="0" applyNumberFormat="1" applyFont="1" applyFill="1" applyBorder="1" applyAlignment="1" applyProtection="1">
      <alignment/>
      <protection hidden="1"/>
    </xf>
    <xf numFmtId="0" fontId="5" fillId="3" borderId="8" xfId="0" applyFont="1" applyFill="1" applyBorder="1" applyAlignment="1" applyProtection="1">
      <alignment horizontal="left"/>
      <protection hidden="1"/>
    </xf>
    <xf numFmtId="0" fontId="4" fillId="0" borderId="13" xfId="0" applyFont="1" applyFill="1" applyBorder="1" applyAlignment="1" applyProtection="1">
      <alignment/>
      <protection hidden="1"/>
    </xf>
    <xf numFmtId="0" fontId="5" fillId="3" borderId="10" xfId="0" applyFont="1" applyFill="1" applyBorder="1" applyAlignment="1" applyProtection="1">
      <alignment horizontal="left"/>
      <protection hidden="1"/>
    </xf>
    <xf numFmtId="183" fontId="4" fillId="0" borderId="23" xfId="0" applyNumberFormat="1" applyFont="1" applyFill="1" applyBorder="1" applyAlignment="1" applyProtection="1">
      <alignment horizontal="left"/>
      <protection hidden="1" locked="0"/>
    </xf>
    <xf numFmtId="2" fontId="0" fillId="0" borderId="0" xfId="0" applyNumberFormat="1" applyAlignment="1" applyProtection="1">
      <alignment/>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alignment/>
      <protection hidden="1"/>
    </xf>
    <xf numFmtId="37" fontId="0" fillId="0" borderId="0" xfId="0" applyNumberFormat="1" applyBorder="1" applyAlignment="1" applyProtection="1">
      <alignment horizontal="center"/>
      <protection hidden="1"/>
    </xf>
    <xf numFmtId="192" fontId="4" fillId="0" borderId="23" xfId="0" applyNumberFormat="1" applyFont="1" applyFill="1" applyBorder="1" applyAlignment="1" applyProtection="1">
      <alignment horizontal="left"/>
      <protection hidden="1"/>
    </xf>
    <xf numFmtId="0" fontId="4" fillId="0" borderId="23" xfId="0" applyNumberFormat="1" applyFont="1" applyFill="1" applyBorder="1" applyAlignment="1" applyProtection="1">
      <alignment horizontal="left"/>
      <protection hidden="1"/>
    </xf>
    <xf numFmtId="0" fontId="4" fillId="5" borderId="24" xfId="0" applyNumberFormat="1" applyFont="1" applyFill="1" applyBorder="1" applyAlignment="1" applyProtection="1">
      <alignment horizontal="left"/>
      <protection hidden="1"/>
    </xf>
    <xf numFmtId="192" fontId="4" fillId="5" borderId="24" xfId="0" applyNumberFormat="1" applyFont="1" applyFill="1" applyBorder="1" applyAlignment="1" applyProtection="1">
      <alignment horizontal="left"/>
      <protection hidden="1"/>
    </xf>
    <xf numFmtId="0" fontId="4" fillId="3" borderId="5" xfId="0" applyNumberFormat="1" applyFont="1" applyFill="1" applyBorder="1" applyAlignment="1" applyProtection="1">
      <alignment horizontal="left"/>
      <protection hidden="1"/>
    </xf>
    <xf numFmtId="178" fontId="4" fillId="0" borderId="0" xfId="0" applyNumberFormat="1" applyFont="1" applyBorder="1" applyAlignment="1" applyProtection="1">
      <alignment/>
      <protection hidden="1"/>
    </xf>
    <xf numFmtId="49" fontId="4" fillId="0" borderId="0" xfId="0" applyNumberFormat="1" applyFont="1" applyBorder="1" applyAlignment="1" applyProtection="1">
      <alignment horizontal="center"/>
      <protection hidden="1"/>
    </xf>
    <xf numFmtId="185" fontId="4" fillId="6" borderId="23" xfId="38" applyFont="1" applyFill="1" applyBorder="1" applyAlignment="1" applyProtection="1">
      <alignment horizontal="right"/>
      <protection hidden="1"/>
    </xf>
    <xf numFmtId="49" fontId="5" fillId="6" borderId="25" xfId="0" applyNumberFormat="1" applyFont="1" applyFill="1" applyBorder="1" applyAlignment="1" applyProtection="1">
      <alignment horizontal="left"/>
      <protection hidden="1"/>
    </xf>
    <xf numFmtId="185" fontId="4" fillId="0" borderId="0" xfId="38" applyFont="1" applyFill="1" applyBorder="1" applyAlignment="1" applyProtection="1">
      <alignment horizontal="right"/>
      <protection hidden="1"/>
    </xf>
    <xf numFmtId="49" fontId="5" fillId="0" borderId="0" xfId="0" applyNumberFormat="1" applyFont="1" applyFill="1" applyBorder="1" applyAlignment="1" applyProtection="1">
      <alignment horizontal="left"/>
      <protection hidden="1"/>
    </xf>
    <xf numFmtId="49" fontId="5" fillId="0" borderId="13" xfId="0" applyNumberFormat="1" applyFont="1" applyFill="1" applyBorder="1" applyAlignment="1" applyProtection="1">
      <alignment horizontal="left"/>
      <protection hidden="1"/>
    </xf>
    <xf numFmtId="49" fontId="5" fillId="0" borderId="6" xfId="0" applyNumberFormat="1" applyFont="1" applyFill="1" applyBorder="1" applyAlignment="1" applyProtection="1">
      <alignment horizontal="left"/>
      <protection hidden="1"/>
    </xf>
    <xf numFmtId="49" fontId="5" fillId="3" borderId="5" xfId="0" applyNumberFormat="1" applyFont="1" applyFill="1" applyBorder="1" applyAlignment="1" applyProtection="1">
      <alignment horizontal="left"/>
      <protection hidden="1"/>
    </xf>
    <xf numFmtId="49" fontId="0" fillId="0" borderId="0" xfId="0" applyNumberFormat="1" applyFont="1" applyBorder="1" applyAlignment="1" applyProtection="1">
      <alignment horizontal="center"/>
      <protection hidden="1"/>
    </xf>
    <xf numFmtId="49" fontId="5" fillId="0" borderId="0" xfId="0" applyNumberFormat="1" applyFont="1" applyFill="1" applyBorder="1" applyAlignment="1" applyProtection="1">
      <alignment horizontal="right"/>
      <protection hidden="1"/>
    </xf>
    <xf numFmtId="49" fontId="4" fillId="0" borderId="0" xfId="0" applyNumberFormat="1" applyFont="1" applyAlignment="1" applyProtection="1">
      <alignment/>
      <protection hidden="1"/>
    </xf>
    <xf numFmtId="49" fontId="4" fillId="0" borderId="13" xfId="0" applyNumberFormat="1" applyFont="1" applyFill="1" applyBorder="1" applyAlignment="1" applyProtection="1">
      <alignment horizontal="left"/>
      <protection hidden="1"/>
    </xf>
    <xf numFmtId="0" fontId="5" fillId="0" borderId="6" xfId="0" applyNumberFormat="1" applyFont="1" applyBorder="1" applyAlignment="1" applyProtection="1">
      <alignment horizontal="left"/>
      <protection hidden="1"/>
    </xf>
    <xf numFmtId="37" fontId="5" fillId="0" borderId="0" xfId="0" applyNumberFormat="1" applyFont="1" applyBorder="1" applyAlignment="1" applyProtection="1">
      <alignment horizontal="right"/>
      <protection hidden="1"/>
    </xf>
    <xf numFmtId="37" fontId="5"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protection hidden="1"/>
    </xf>
    <xf numFmtId="37" fontId="4" fillId="0" borderId="0" xfId="0" applyNumberFormat="1" applyFont="1" applyBorder="1" applyAlignment="1" applyProtection="1">
      <alignment/>
      <protection hidden="1"/>
    </xf>
    <xf numFmtId="37" fontId="4" fillId="0" borderId="0" xfId="0" applyNumberFormat="1" applyFont="1" applyBorder="1" applyAlignment="1" applyProtection="1">
      <alignment horizontal="left"/>
      <protection hidden="1"/>
    </xf>
    <xf numFmtId="37"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protection hidden="1"/>
    </xf>
    <xf numFmtId="3" fontId="4" fillId="0" borderId="0" xfId="0" applyNumberFormat="1" applyFont="1" applyAlignment="1" applyProtection="1">
      <alignment horizontal="left"/>
      <protection hidden="1"/>
    </xf>
    <xf numFmtId="3" fontId="4" fillId="0" borderId="0" xfId="0" applyNumberFormat="1" applyFont="1" applyAlignment="1" applyProtection="1">
      <alignment/>
      <protection hidden="1"/>
    </xf>
    <xf numFmtId="0" fontId="5" fillId="0" borderId="0" xfId="0" applyNumberFormat="1" applyFont="1" applyAlignment="1" applyProtection="1">
      <alignment vertical="center"/>
      <protection hidden="1"/>
    </xf>
    <xf numFmtId="0" fontId="4" fillId="3" borderId="26"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4" fillId="3" borderId="0" xfId="0" applyFont="1" applyFill="1" applyBorder="1" applyAlignment="1" applyProtection="1">
      <alignment/>
      <protection hidden="1"/>
    </xf>
    <xf numFmtId="0" fontId="5" fillId="3" borderId="5" xfId="0"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0" fontId="5" fillId="0" borderId="0" xfId="0" applyFont="1" applyBorder="1" applyAlignment="1" applyProtection="1">
      <alignment horizontal="center"/>
      <protection hidden="1"/>
    </xf>
    <xf numFmtId="0" fontId="4" fillId="0" borderId="27" xfId="0" applyFont="1" applyFill="1" applyBorder="1" applyAlignment="1" applyProtection="1">
      <alignment horizontal="left"/>
      <protection hidden="1"/>
    </xf>
    <xf numFmtId="0" fontId="4" fillId="0" borderId="28" xfId="0" applyFont="1" applyFill="1" applyBorder="1" applyAlignment="1" applyProtection="1">
      <alignment/>
      <protection hidden="1"/>
    </xf>
    <xf numFmtId="0" fontId="4" fillId="0" borderId="0" xfId="0" applyFont="1" applyFill="1" applyAlignment="1" applyProtection="1">
      <alignment vertical="center"/>
      <protection hidden="1"/>
    </xf>
    <xf numFmtId="37" fontId="4" fillId="0" borderId="0" xfId="0" applyNumberFormat="1" applyFont="1" applyFill="1" applyAlignment="1" applyProtection="1">
      <alignment vertical="center"/>
      <protection hidden="1"/>
    </xf>
    <xf numFmtId="3" fontId="4" fillId="0" borderId="29" xfId="0" applyNumberFormat="1"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3" fontId="4" fillId="0" borderId="30" xfId="0" applyNumberFormat="1" applyFont="1" applyFill="1" applyBorder="1" applyAlignment="1" applyProtection="1">
      <alignment horizontal="left"/>
      <protection hidden="1"/>
    </xf>
    <xf numFmtId="0" fontId="4" fillId="0" borderId="19"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0" applyFont="1" applyAlignment="1" applyProtection="1">
      <alignment horizontal="center"/>
      <protection hidden="1"/>
    </xf>
    <xf numFmtId="0" fontId="4" fillId="3" borderId="16" xfId="0" applyNumberFormat="1" applyFont="1" applyFill="1" applyBorder="1" applyAlignment="1" applyProtection="1">
      <alignment horizontal="left"/>
      <protection hidden="1"/>
    </xf>
    <xf numFmtId="0" fontId="4" fillId="0" borderId="31" xfId="0"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left"/>
      <protection hidden="1"/>
    </xf>
    <xf numFmtId="0" fontId="4" fillId="0" borderId="13" xfId="0" applyNumberFormat="1" applyFont="1" applyFill="1" applyBorder="1" applyAlignment="1" applyProtection="1">
      <alignment horizontal="left"/>
      <protection hidden="1"/>
    </xf>
    <xf numFmtId="0" fontId="0" fillId="0" borderId="17" xfId="0" applyBorder="1" applyAlignment="1" applyProtection="1">
      <alignment/>
      <protection hidden="1"/>
    </xf>
    <xf numFmtId="0" fontId="4" fillId="0" borderId="32" xfId="0" applyFont="1" applyFill="1" applyBorder="1" applyAlignment="1" applyProtection="1">
      <alignment/>
      <protection hidden="1"/>
    </xf>
    <xf numFmtId="0" fontId="0" fillId="0" borderId="12" xfId="0" applyBorder="1" applyAlignment="1" applyProtection="1">
      <alignment/>
      <protection hidden="1"/>
    </xf>
    <xf numFmtId="0" fontId="5" fillId="0" borderId="5" xfId="0" applyFont="1" applyFill="1" applyBorder="1" applyAlignment="1" applyProtection="1">
      <alignment/>
      <protection hidden="1"/>
    </xf>
    <xf numFmtId="0" fontId="0" fillId="0" borderId="7" xfId="0" applyFill="1" applyBorder="1" applyAlignment="1" applyProtection="1">
      <alignment/>
      <protection hidden="1"/>
    </xf>
    <xf numFmtId="178" fontId="5" fillId="3" borderId="3" xfId="39" applyAlignment="1">
      <alignment/>
      <protection/>
    </xf>
    <xf numFmtId="0" fontId="5" fillId="0" borderId="33" xfId="0" applyFont="1" applyFill="1" applyBorder="1" applyAlignment="1" applyProtection="1">
      <alignment horizontal="right" vertical="top"/>
      <protection hidden="1"/>
    </xf>
    <xf numFmtId="0" fontId="3" fillId="0" borderId="0" xfId="0" applyNumberFormat="1" applyFont="1" applyFill="1" applyBorder="1" applyAlignment="1" applyProtection="1">
      <alignment vertical="center"/>
      <protection hidden="1"/>
    </xf>
    <xf numFmtId="0" fontId="3" fillId="3" borderId="21" xfId="0" applyFont="1" applyFill="1" applyBorder="1" applyAlignment="1" applyProtection="1">
      <alignment horizontal="right" vertical="center"/>
      <protection hidden="1"/>
    </xf>
    <xf numFmtId="37" fontId="3" fillId="0" borderId="34" xfId="0" applyNumberFormat="1"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NumberFormat="1" applyFont="1" applyBorder="1" applyAlignment="1" applyProtection="1">
      <alignment horizontal="center" vertical="center"/>
      <protection hidden="1"/>
    </xf>
    <xf numFmtId="0" fontId="3" fillId="3" borderId="21" xfId="0" applyNumberFormat="1" applyFont="1" applyFill="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37" fontId="3" fillId="0" borderId="0" xfId="0" applyNumberFormat="1" applyFont="1" applyBorder="1" applyAlignment="1" applyProtection="1">
      <alignment horizontal="center" vertical="center"/>
      <protection hidden="1"/>
    </xf>
    <xf numFmtId="37" fontId="3" fillId="3" borderId="14" xfId="0" applyNumberFormat="1" applyFont="1" applyFill="1" applyBorder="1" applyAlignment="1" applyProtection="1">
      <alignment horizontal="right" vertical="center"/>
      <protection hidden="1"/>
    </xf>
    <xf numFmtId="49" fontId="3" fillId="3" borderId="3" xfId="0" applyNumberFormat="1" applyFont="1" applyFill="1" applyBorder="1" applyAlignment="1" applyProtection="1">
      <alignment horizontal="center" vertical="center"/>
      <protection hidden="1"/>
    </xf>
    <xf numFmtId="0" fontId="3" fillId="3" borderId="3" xfId="0" applyFont="1" applyFill="1" applyBorder="1" applyAlignment="1" applyProtection="1">
      <alignment horizontal="right"/>
      <protection hidden="1"/>
    </xf>
    <xf numFmtId="37" fontId="3" fillId="0" borderId="34" xfId="0" applyNumberFormat="1" applyFont="1" applyBorder="1" applyAlignment="1" applyProtection="1">
      <alignment vertical="center"/>
      <protection hidden="1"/>
    </xf>
    <xf numFmtId="37" fontId="3" fillId="3" borderId="16" xfId="0" applyNumberFormat="1" applyFont="1" applyFill="1" applyBorder="1" applyAlignment="1" applyProtection="1">
      <alignment horizontal="center" vertical="center"/>
      <protection hidden="1"/>
    </xf>
    <xf numFmtId="37" fontId="3" fillId="3" borderId="2" xfId="0" applyNumberFormat="1" applyFont="1" applyFill="1" applyBorder="1" applyAlignment="1" applyProtection="1">
      <alignment horizontal="right" vertical="center"/>
      <protection hidden="1"/>
    </xf>
    <xf numFmtId="0" fontId="3" fillId="0" borderId="0" xfId="0" applyNumberFormat="1" applyFont="1" applyBorder="1" applyAlignment="1" applyProtection="1">
      <alignment horizontal="left" vertical="center"/>
      <protection hidden="1"/>
    </xf>
    <xf numFmtId="37" fontId="3" fillId="3" borderId="3" xfId="0" applyNumberFormat="1" applyFont="1" applyFill="1" applyBorder="1" applyAlignment="1" applyProtection="1">
      <alignment horizontal="center" vertical="center"/>
      <protection hidden="1"/>
    </xf>
    <xf numFmtId="0" fontId="3" fillId="0" borderId="34" xfId="0" applyNumberFormat="1" applyFont="1" applyBorder="1" applyAlignment="1" applyProtection="1">
      <alignment horizontal="left" vertical="center"/>
      <protection hidden="1"/>
    </xf>
    <xf numFmtId="3" fontId="3" fillId="3" borderId="21" xfId="0" applyNumberFormat="1" applyFont="1" applyFill="1" applyBorder="1" applyAlignment="1" applyProtection="1">
      <alignment horizontal="left" vertical="center"/>
      <protection hidden="1"/>
    </xf>
    <xf numFmtId="3" fontId="3" fillId="3" borderId="21" xfId="0" applyNumberFormat="1" applyFont="1" applyFill="1" applyBorder="1" applyAlignment="1" applyProtection="1">
      <alignment horizontal="right" vertical="center"/>
      <protection hidden="1"/>
    </xf>
    <xf numFmtId="0" fontId="3" fillId="0" borderId="34" xfId="0" applyNumberFormat="1" applyFont="1" applyBorder="1" applyAlignment="1" applyProtection="1">
      <alignment horizontal="center" vertical="center"/>
      <protection hidden="1"/>
    </xf>
    <xf numFmtId="3" fontId="3" fillId="3" borderId="14" xfId="0" applyNumberFormat="1" applyFont="1" applyFill="1" applyBorder="1" applyAlignment="1" applyProtection="1">
      <alignment horizontal="center" vertical="center"/>
      <protection hidden="1"/>
    </xf>
    <xf numFmtId="2" fontId="3" fillId="3" borderId="14" xfId="0" applyNumberFormat="1" applyFont="1" applyFill="1" applyBorder="1" applyAlignment="1" applyProtection="1">
      <alignment horizontal="right" vertical="center"/>
      <protection hidden="1"/>
    </xf>
    <xf numFmtId="3" fontId="3" fillId="3" borderId="6" xfId="0" applyNumberFormat="1" applyFont="1" applyFill="1" applyBorder="1" applyAlignment="1" applyProtection="1">
      <alignment horizontal="right" vertical="center"/>
      <protection hidden="1"/>
    </xf>
    <xf numFmtId="3" fontId="3" fillId="3" borderId="3" xfId="0" applyNumberFormat="1" applyFont="1" applyFill="1" applyBorder="1" applyAlignment="1" applyProtection="1">
      <alignment horizontal="center" vertical="center"/>
      <protection hidden="1"/>
    </xf>
    <xf numFmtId="37" fontId="3" fillId="3" borderId="3" xfId="0" applyNumberFormat="1" applyFont="1" applyFill="1" applyBorder="1" applyAlignment="1" applyProtection="1">
      <alignment horizontal="right"/>
      <protection hidden="1"/>
    </xf>
    <xf numFmtId="0" fontId="2" fillId="0" borderId="0" xfId="0" applyFont="1" applyBorder="1" applyAlignment="1" applyProtection="1">
      <alignment horizontal="center" vertical="center"/>
      <protection hidden="1"/>
    </xf>
    <xf numFmtId="14" fontId="3" fillId="3" borderId="3" xfId="0" applyNumberFormat="1" applyFont="1" applyFill="1" applyBorder="1" applyAlignment="1" applyProtection="1">
      <alignment horizontal="right" vertical="center"/>
      <protection hidden="1"/>
    </xf>
    <xf numFmtId="49" fontId="4" fillId="0" borderId="18" xfId="0" applyNumberFormat="1" applyFont="1" applyFill="1" applyBorder="1" applyAlignment="1" applyProtection="1">
      <alignment horizontal="left"/>
      <protection hidden="1"/>
    </xf>
    <xf numFmtId="0" fontId="5" fillId="0" borderId="0" xfId="0" applyFont="1" applyFill="1" applyBorder="1" applyAlignment="1" applyProtection="1">
      <alignment/>
      <protection hidden="1"/>
    </xf>
    <xf numFmtId="37" fontId="20" fillId="0" borderId="13" xfId="0" applyNumberFormat="1" applyFont="1" applyFill="1" applyBorder="1" applyAlignment="1" applyProtection="1">
      <alignment/>
      <protection hidden="1" locked="0"/>
    </xf>
    <xf numFmtId="0" fontId="2" fillId="0" borderId="0" xfId="0" applyFont="1" applyAlignment="1" applyProtection="1">
      <alignment horizontal="left"/>
      <protection hidden="1"/>
    </xf>
    <xf numFmtId="49" fontId="4" fillId="0" borderId="0" xfId="0" applyNumberFormat="1" applyFont="1" applyFill="1" applyBorder="1" applyAlignment="1" applyProtection="1">
      <alignment horizontal="left"/>
      <protection hidden="1"/>
    </xf>
    <xf numFmtId="9" fontId="5" fillId="3" borderId="5" xfId="39" applyNumberFormat="1" applyFont="1" applyFill="1" applyBorder="1" applyAlignment="1" applyProtection="1">
      <alignment horizontal="right"/>
      <protection hidden="1"/>
    </xf>
    <xf numFmtId="0" fontId="10" fillId="0" borderId="0" xfId="32"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vertical="center"/>
      <protection hidden="1"/>
    </xf>
    <xf numFmtId="0" fontId="3" fillId="3" borderId="3"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horizontal="right"/>
      <protection hidden="1"/>
    </xf>
    <xf numFmtId="37" fontId="4" fillId="0" borderId="32" xfId="0" applyNumberFormat="1" applyFont="1" applyFill="1" applyBorder="1" applyAlignment="1" applyProtection="1">
      <alignment/>
      <protection hidden="1"/>
    </xf>
    <xf numFmtId="0" fontId="4" fillId="0" borderId="33" xfId="0" applyFont="1" applyBorder="1" applyAlignment="1" applyProtection="1">
      <alignment horizontal="left"/>
      <protection hidden="1"/>
    </xf>
    <xf numFmtId="185" fontId="4" fillId="0" borderId="25" xfId="38" applyBorder="1" applyAlignment="1" applyProtection="1">
      <alignment/>
      <protection hidden="1"/>
    </xf>
    <xf numFmtId="49" fontId="4" fillId="0" borderId="35"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178" fontId="4" fillId="0" borderId="36" xfId="36" applyBorder="1" applyAlignment="1" applyProtection="1">
      <alignment/>
      <protection hidden="1"/>
    </xf>
    <xf numFmtId="0" fontId="3" fillId="3" borderId="21" xfId="0" applyFont="1" applyFill="1" applyBorder="1" applyAlignment="1" applyProtection="1">
      <alignment horizontal="right"/>
      <protection hidden="1"/>
    </xf>
    <xf numFmtId="0" fontId="3" fillId="3" borderId="7" xfId="0" applyFont="1" applyFill="1" applyBorder="1" applyAlignment="1" applyProtection="1">
      <alignment horizontal="right"/>
      <protection hidden="1"/>
    </xf>
    <xf numFmtId="0" fontId="3" fillId="3" borderId="14" xfId="0" applyFont="1" applyFill="1" applyBorder="1" applyAlignment="1" applyProtection="1">
      <alignment horizontal="right"/>
      <protection hidden="1"/>
    </xf>
    <xf numFmtId="49" fontId="4" fillId="0" borderId="19" xfId="0" applyNumberFormat="1" applyFont="1" applyFill="1" applyBorder="1" applyAlignment="1" applyProtection="1">
      <alignment horizontal="left"/>
      <protection hidden="1" locked="0"/>
    </xf>
    <xf numFmtId="49" fontId="4" fillId="0" borderId="32" xfId="0" applyNumberFormat="1" applyFont="1" applyFill="1" applyBorder="1" applyAlignment="1" applyProtection="1">
      <alignment horizontal="left"/>
      <protection hidden="1" locked="0"/>
    </xf>
    <xf numFmtId="49" fontId="4" fillId="0" borderId="0" xfId="0" applyNumberFormat="1" applyFont="1" applyFill="1" applyBorder="1" applyAlignment="1" applyProtection="1">
      <alignment horizontal="left"/>
      <protection hidden="1" locked="0"/>
    </xf>
    <xf numFmtId="0" fontId="3" fillId="3" borderId="37" xfId="0" applyFont="1" applyFill="1" applyBorder="1" applyAlignment="1" applyProtection="1">
      <alignment horizontal="right"/>
      <protection hidden="1"/>
    </xf>
    <xf numFmtId="0" fontId="4" fillId="0" borderId="38" xfId="0" applyNumberFormat="1" applyFont="1" applyFill="1" applyBorder="1" applyAlignment="1" applyProtection="1">
      <alignment horizontal="left"/>
      <protection hidden="1"/>
    </xf>
    <xf numFmtId="0" fontId="4" fillId="0" borderId="32" xfId="0" applyNumberFormat="1" applyFont="1" applyFill="1" applyBorder="1" applyAlignment="1" applyProtection="1">
      <alignment horizontal="left"/>
      <protection hidden="1"/>
    </xf>
    <xf numFmtId="192" fontId="4" fillId="0" borderId="39" xfId="0" applyNumberFormat="1"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20" fillId="0" borderId="29" xfId="0" applyFont="1" applyFill="1" applyBorder="1" applyAlignment="1" applyProtection="1">
      <alignment horizontal="left"/>
      <protection hidden="1"/>
    </xf>
    <xf numFmtId="3" fontId="20" fillId="0" borderId="29" xfId="0" applyNumberFormat="1" applyFont="1" applyFill="1" applyBorder="1" applyAlignment="1" applyProtection="1">
      <alignment horizontal="left"/>
      <protection hidden="1"/>
    </xf>
    <xf numFmtId="3" fontId="20" fillId="0" borderId="35" xfId="0" applyNumberFormat="1" applyFont="1" applyFill="1" applyBorder="1" applyAlignment="1" applyProtection="1">
      <alignment horizontal="left"/>
      <protection hidden="1"/>
    </xf>
    <xf numFmtId="3" fontId="20" fillId="0" borderId="30" xfId="0" applyNumberFormat="1" applyFont="1" applyFill="1" applyBorder="1" applyAlignment="1" applyProtection="1">
      <alignment horizontal="left"/>
      <protection hidden="1"/>
    </xf>
    <xf numFmtId="0" fontId="2" fillId="0" borderId="0" xfId="0" applyNumberFormat="1" applyFont="1" applyBorder="1" applyAlignment="1" applyProtection="1">
      <alignment vertical="center"/>
      <protection hidden="1"/>
    </xf>
    <xf numFmtId="0" fontId="2" fillId="0" borderId="0" xfId="0" applyNumberFormat="1" applyFont="1" applyAlignment="1" applyProtection="1">
      <alignment/>
      <protection hidden="1"/>
    </xf>
    <xf numFmtId="0" fontId="3" fillId="3" borderId="8" xfId="0" applyNumberFormat="1" applyFont="1" applyFill="1" applyBorder="1" applyAlignment="1" applyProtection="1">
      <alignment horizontal="left"/>
      <protection hidden="1"/>
    </xf>
    <xf numFmtId="178" fontId="5" fillId="3" borderId="3" xfId="39" applyFont="1" applyFill="1" applyBorder="1" applyAlignment="1" applyProtection="1">
      <alignment/>
      <protection hidden="1"/>
    </xf>
    <xf numFmtId="194" fontId="4" fillId="0" borderId="13" xfId="0" applyNumberFormat="1" applyFont="1" applyFill="1" applyBorder="1" applyAlignment="1" applyProtection="1">
      <alignment/>
      <protection hidden="1" locked="0"/>
    </xf>
    <xf numFmtId="194" fontId="4" fillId="0" borderId="40" xfId="0" applyNumberFormat="1" applyFont="1" applyFill="1" applyBorder="1" applyAlignment="1" applyProtection="1">
      <alignment horizontal="left"/>
      <protection hidden="1" locked="0"/>
    </xf>
    <xf numFmtId="194" fontId="4" fillId="0" borderId="23" xfId="0" applyNumberFormat="1" applyFont="1" applyFill="1" applyBorder="1" applyAlignment="1" applyProtection="1">
      <alignment horizontal="center"/>
      <protection hidden="1" locked="0"/>
    </xf>
    <xf numFmtId="178" fontId="4" fillId="0" borderId="23" xfId="36" applyFill="1" applyBorder="1" applyAlignment="1" applyProtection="1">
      <alignment/>
      <protection hidden="1" locked="0"/>
    </xf>
    <xf numFmtId="191" fontId="4" fillId="0" borderId="23" xfId="37" applyFill="1" applyBorder="1" applyAlignment="1" applyProtection="1">
      <alignment/>
      <protection hidden="1" locked="0"/>
    </xf>
    <xf numFmtId="191" fontId="4" fillId="0" borderId="23" xfId="37" applyFill="1" applyBorder="1" applyAlignment="1" applyProtection="1">
      <alignment/>
      <protection hidden="1"/>
    </xf>
    <xf numFmtId="178" fontId="4" fillId="0" borderId="23" xfId="36" applyFont="1" applyFill="1" applyBorder="1" applyAlignment="1" applyProtection="1">
      <alignment/>
      <protection hidden="1" locked="0"/>
    </xf>
    <xf numFmtId="0" fontId="4" fillId="0" borderId="5" xfId="0" applyFont="1" applyFill="1" applyBorder="1" applyAlignment="1" applyProtection="1">
      <alignment/>
      <protection hidden="1"/>
    </xf>
    <xf numFmtId="0" fontId="3" fillId="3" borderId="16" xfId="0" applyFont="1" applyFill="1" applyBorder="1" applyAlignment="1" applyProtection="1">
      <alignment horizontal="center"/>
      <protection hidden="1"/>
    </xf>
    <xf numFmtId="0" fontId="0" fillId="0" borderId="7" xfId="0" applyBorder="1" applyAlignment="1">
      <alignment horizontal="center"/>
    </xf>
    <xf numFmtId="0" fontId="2" fillId="0" borderId="0" xfId="0" applyNumberFormat="1" applyFont="1" applyAlignment="1" applyProtection="1">
      <alignment horizontal="justify"/>
      <protection hidden="1"/>
    </xf>
    <xf numFmtId="0" fontId="2" fillId="0" borderId="0" xfId="0" applyFont="1" applyAlignment="1">
      <alignment horizontal="justify"/>
    </xf>
    <xf numFmtId="49" fontId="3" fillId="3" borderId="16" xfId="0" applyNumberFormat="1" applyFont="1" applyFill="1" applyBorder="1" applyAlignment="1" applyProtection="1">
      <alignment horizontal="center" vertical="center"/>
      <protection hidden="1"/>
    </xf>
    <xf numFmtId="49" fontId="3" fillId="3" borderId="5" xfId="0" applyNumberFormat="1" applyFont="1" applyFill="1" applyBorder="1" applyAlignment="1" applyProtection="1">
      <alignment horizontal="center" vertical="center"/>
      <protection hidden="1"/>
    </xf>
    <xf numFmtId="49" fontId="3" fillId="3" borderId="16" xfId="0" applyNumberFormat="1" applyFont="1" applyFill="1" applyBorder="1" applyAlignment="1" applyProtection="1">
      <alignment horizontal="right" vertical="center"/>
      <protection hidden="1"/>
    </xf>
    <xf numFmtId="49" fontId="3" fillId="3" borderId="7" xfId="0" applyNumberFormat="1" applyFont="1" applyFill="1" applyBorder="1" applyAlignment="1" applyProtection="1">
      <alignment horizontal="right" vertical="center"/>
      <protection hidden="1"/>
    </xf>
    <xf numFmtId="178" fontId="4" fillId="0" borderId="41" xfId="36" applyFill="1" applyBorder="1" applyAlignment="1" applyProtection="1">
      <alignment/>
      <protection hidden="1" locked="0"/>
    </xf>
    <xf numFmtId="178" fontId="4" fillId="0" borderId="20" xfId="36" applyFill="1" applyBorder="1" applyAlignment="1" applyProtection="1">
      <alignment/>
      <protection hidden="1" locked="0"/>
    </xf>
    <xf numFmtId="178" fontId="5" fillId="0" borderId="0" xfId="36" applyFont="1" applyFill="1" applyBorder="1" applyAlignment="1" applyProtection="1">
      <alignment horizontal="right"/>
      <protection hidden="1"/>
    </xf>
    <xf numFmtId="178" fontId="14" fillId="0" borderId="0" xfId="36" applyFont="1" applyFill="1" applyBorder="1" applyAlignment="1" applyProtection="1">
      <alignment horizontal="right"/>
      <protection hidden="1"/>
    </xf>
    <xf numFmtId="0" fontId="4" fillId="0" borderId="0" xfId="32" applyFont="1" applyFill="1" applyBorder="1" applyAlignment="1" applyProtection="1">
      <alignment horizontal="left"/>
      <protection hidden="1"/>
    </xf>
    <xf numFmtId="37" fontId="4" fillId="0" borderId="0" xfId="0"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3" borderId="26" xfId="0" applyNumberFormat="1" applyFont="1" applyFill="1" applyBorder="1" applyAlignment="1" applyProtection="1">
      <alignment horizontal="left"/>
      <protection hidden="1"/>
    </xf>
    <xf numFmtId="0" fontId="5" fillId="3" borderId="5" xfId="0" applyNumberFormat="1" applyFont="1" applyFill="1" applyBorder="1" applyAlignment="1" applyProtection="1">
      <alignment horizontal="left"/>
      <protection hidden="1"/>
    </xf>
    <xf numFmtId="0" fontId="5" fillId="3" borderId="0" xfId="0" applyNumberFormat="1" applyFont="1" applyFill="1" applyBorder="1" applyAlignment="1" applyProtection="1">
      <alignment horizontal="left"/>
      <protection hidden="1"/>
    </xf>
    <xf numFmtId="178" fontId="4" fillId="3" borderId="23" xfId="36" applyFill="1" applyBorder="1" applyAlignment="1" applyProtection="1">
      <alignment/>
      <protection hidden="1"/>
    </xf>
    <xf numFmtId="178" fontId="5" fillId="3" borderId="3" xfId="39"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78" fontId="4" fillId="0" borderId="24" xfId="36" applyFill="1" applyBorder="1" applyAlignment="1" applyProtection="1">
      <alignment/>
      <protection hidden="1" locked="0"/>
    </xf>
    <xf numFmtId="37" fontId="4" fillId="0" borderId="6" xfId="0" applyNumberFormat="1" applyFont="1" applyFill="1" applyBorder="1" applyAlignment="1" applyProtection="1">
      <alignment/>
      <protection hidden="1"/>
    </xf>
    <xf numFmtId="37" fontId="4" fillId="0" borderId="42" xfId="0" applyNumberFormat="1" applyFont="1" applyFill="1" applyBorder="1" applyAlignment="1" applyProtection="1">
      <alignment/>
      <protection hidden="1"/>
    </xf>
    <xf numFmtId="178" fontId="4" fillId="0" borderId="43" xfId="36" applyFill="1" applyBorder="1" applyAlignment="1" applyProtection="1">
      <alignment/>
      <protection hidden="1"/>
    </xf>
    <xf numFmtId="37" fontId="3" fillId="3" borderId="7" xfId="0" applyNumberFormat="1"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185" fontId="4" fillId="0" borderId="23" xfId="38" applyFill="1" applyBorder="1" applyAlignment="1" applyProtection="1">
      <alignment/>
      <protection hidden="1" locked="0"/>
    </xf>
    <xf numFmtId="178" fontId="4" fillId="0" borderId="23" xfId="36" applyFill="1" applyBorder="1" applyAlignment="1" applyProtection="1">
      <alignment/>
      <protection hidden="1"/>
    </xf>
    <xf numFmtId="185" fontId="4" fillId="0" borderId="36" xfId="38" applyFill="1" applyBorder="1" applyAlignment="1" applyProtection="1">
      <alignment/>
      <protection hidden="1" locked="0"/>
    </xf>
    <xf numFmtId="178" fontId="5" fillId="3" borderId="3" xfId="39" applyFill="1" applyAlignment="1" applyProtection="1">
      <alignment/>
      <protection hidden="1"/>
    </xf>
    <xf numFmtId="185" fontId="5" fillId="3" borderId="3" xfId="40" applyAlignment="1" applyProtection="1">
      <alignment/>
      <protection hidden="1"/>
    </xf>
    <xf numFmtId="178" fontId="4" fillId="0" borderId="0" xfId="36" applyFont="1" applyFill="1" applyBorder="1" applyAlignment="1" applyProtection="1">
      <alignment/>
      <protection hidden="1"/>
    </xf>
    <xf numFmtId="178" fontId="5" fillId="0" borderId="5" xfId="39" applyFill="1" applyBorder="1" applyAlignment="1" applyProtection="1">
      <alignment/>
      <protection hidden="1"/>
    </xf>
    <xf numFmtId="178" fontId="5" fillId="3" borderId="5" xfId="36" applyFont="1" applyFill="1" applyBorder="1" applyAlignment="1" applyProtection="1">
      <alignment/>
      <protection hidden="1"/>
    </xf>
    <xf numFmtId="0" fontId="3" fillId="0" borderId="0" xfId="0" applyNumberFormat="1" applyFont="1" applyBorder="1" applyAlignment="1" applyProtection="1">
      <alignment horizontal="left"/>
      <protection hidden="1"/>
    </xf>
    <xf numFmtId="37" fontId="4" fillId="0" borderId="0" xfId="32" applyNumberFormat="1" applyFont="1" applyAlignment="1" applyProtection="1">
      <alignment/>
      <protection hidden="1"/>
    </xf>
    <xf numFmtId="0" fontId="4" fillId="0" borderId="0" xfId="32" applyFont="1" applyAlignment="1" applyProtection="1">
      <alignment/>
      <protection hidden="1"/>
    </xf>
    <xf numFmtId="0" fontId="5" fillId="0" borderId="0" xfId="32" applyFont="1" applyAlignment="1" applyProtection="1">
      <alignment/>
      <protection hidden="1"/>
    </xf>
    <xf numFmtId="0" fontId="4" fillId="0" borderId="27" xfId="32" applyFont="1" applyFill="1" applyBorder="1" applyAlignment="1" applyProtection="1">
      <alignment/>
      <protection hidden="1"/>
    </xf>
    <xf numFmtId="178" fontId="4" fillId="0" borderId="25" xfId="36" applyFill="1" applyBorder="1" applyAlignment="1" applyProtection="1">
      <alignment/>
      <protection hidden="1" locked="0"/>
    </xf>
    <xf numFmtId="0" fontId="4" fillId="0" borderId="0" xfId="32" applyFont="1" applyBorder="1" applyAlignment="1" applyProtection="1">
      <alignment/>
      <protection hidden="1"/>
    </xf>
    <xf numFmtId="185" fontId="4" fillId="0" borderId="38" xfId="38" applyFill="1" applyBorder="1" applyAlignment="1" applyProtection="1">
      <alignment/>
      <protection hidden="1" locked="0"/>
    </xf>
    <xf numFmtId="0" fontId="4" fillId="0" borderId="28" xfId="32" applyFont="1" applyFill="1" applyBorder="1" applyAlignment="1" applyProtection="1">
      <alignment/>
      <protection hidden="1"/>
    </xf>
    <xf numFmtId="178" fontId="4" fillId="5" borderId="36" xfId="36" applyFill="1" applyBorder="1" applyAlignment="1" applyProtection="1">
      <alignment/>
      <protection hidden="1"/>
    </xf>
    <xf numFmtId="178" fontId="4" fillId="0" borderId="44" xfId="36" applyFill="1" applyBorder="1" applyAlignment="1" applyProtection="1">
      <alignment/>
      <protection hidden="1"/>
    </xf>
    <xf numFmtId="0" fontId="5" fillId="3" borderId="3" xfId="32" applyFont="1" applyFill="1" applyBorder="1" applyAlignment="1" applyProtection="1">
      <alignment/>
      <protection hidden="1"/>
    </xf>
    <xf numFmtId="0" fontId="4" fillId="0" borderId="0" xfId="32" applyFont="1" applyFill="1" applyBorder="1" applyAlignment="1" applyProtection="1">
      <alignment/>
      <protection hidden="1"/>
    </xf>
    <xf numFmtId="37" fontId="4" fillId="0" borderId="0" xfId="0" applyNumberFormat="1" applyFont="1" applyFill="1" applyBorder="1" applyAlignment="1" applyProtection="1">
      <alignment/>
      <protection hidden="1"/>
    </xf>
    <xf numFmtId="178" fontId="4" fillId="0" borderId="0" xfId="36" applyFill="1" applyBorder="1" applyAlignment="1" applyProtection="1">
      <alignment/>
      <protection hidden="1"/>
    </xf>
    <xf numFmtId="0" fontId="5" fillId="0" borderId="0" xfId="32" applyFont="1" applyFill="1" applyBorder="1" applyAlignment="1" applyProtection="1">
      <alignment/>
      <protection hidden="1"/>
    </xf>
    <xf numFmtId="178" fontId="5" fillId="0" borderId="0" xfId="39" applyFill="1" applyBorder="1" applyAlignment="1" applyProtection="1">
      <alignment/>
      <protection hidden="1"/>
    </xf>
    <xf numFmtId="185" fontId="5" fillId="3" borderId="3" xfId="40" applyAlignment="1">
      <alignment/>
      <protection/>
    </xf>
    <xf numFmtId="0" fontId="20" fillId="0" borderId="0" xfId="0" applyFont="1" applyFill="1" applyBorder="1" applyAlignment="1" applyProtection="1">
      <alignment/>
      <protection hidden="1"/>
    </xf>
    <xf numFmtId="185" fontId="4" fillId="0" borderId="0" xfId="38" applyFill="1" applyBorder="1" applyAlignment="1">
      <alignment/>
      <protection/>
    </xf>
    <xf numFmtId="178" fontId="4" fillId="0" borderId="17" xfId="36" applyFill="1" applyBorder="1" applyAlignment="1" applyProtection="1">
      <alignment/>
      <protection hidden="1" locked="0"/>
    </xf>
    <xf numFmtId="49" fontId="4" fillId="0" borderId="0" xfId="0" applyNumberFormat="1" applyFont="1" applyBorder="1" applyAlignment="1" applyProtection="1">
      <alignment/>
      <protection hidden="1"/>
    </xf>
    <xf numFmtId="0" fontId="4" fillId="0" borderId="27" xfId="0" applyFont="1" applyFill="1" applyBorder="1" applyAlignment="1" applyProtection="1">
      <alignment/>
      <protection hidden="1"/>
    </xf>
    <xf numFmtId="178" fontId="4" fillId="0" borderId="25" xfId="36" applyBorder="1" applyAlignment="1" applyProtection="1">
      <alignment/>
      <protection hidden="1"/>
    </xf>
    <xf numFmtId="178" fontId="4" fillId="0" borderId="23" xfId="36" applyBorder="1" applyAlignment="1" applyProtection="1">
      <alignment/>
      <protection hidden="1"/>
    </xf>
    <xf numFmtId="0" fontId="5" fillId="3" borderId="3" xfId="0" applyFont="1" applyFill="1" applyBorder="1" applyAlignment="1" applyProtection="1">
      <alignment/>
      <protection hidden="1"/>
    </xf>
    <xf numFmtId="178" fontId="4" fillId="5" borderId="12" xfId="36" applyFill="1" applyBorder="1" applyAlignment="1" applyProtection="1">
      <alignment/>
      <protection hidden="1"/>
    </xf>
    <xf numFmtId="0" fontId="4" fillId="0" borderId="45" xfId="0" applyFont="1" applyFill="1" applyBorder="1" applyAlignment="1" applyProtection="1">
      <alignment/>
      <protection hidden="1"/>
    </xf>
    <xf numFmtId="185" fontId="4" fillId="0" borderId="12" xfId="38" applyFill="1" applyBorder="1" applyAlignment="1" applyProtection="1">
      <alignment/>
      <protection hidden="1" locked="0"/>
    </xf>
    <xf numFmtId="185" fontId="4" fillId="0" borderId="23" xfId="38" applyBorder="1" applyAlignment="1" applyProtection="1">
      <alignment/>
      <protection hidden="1"/>
    </xf>
    <xf numFmtId="0" fontId="4" fillId="0" borderId="46" xfId="0" applyFont="1" applyFill="1" applyBorder="1" applyAlignment="1" applyProtection="1">
      <alignment/>
      <protection hidden="1"/>
    </xf>
    <xf numFmtId="178" fontId="4" fillId="0" borderId="47" xfId="36" applyFill="1" applyBorder="1" applyAlignment="1" applyProtection="1">
      <alignment/>
      <protection hidden="1" locked="0"/>
    </xf>
    <xf numFmtId="178" fontId="5" fillId="3" borderId="7" xfId="39" applyFont="1" applyBorder="1" applyAlignment="1" applyProtection="1">
      <alignment/>
      <protection hidden="1"/>
    </xf>
    <xf numFmtId="178" fontId="5" fillId="0" borderId="0" xfId="39" applyFont="1" applyFill="1" applyBorder="1" applyAlignment="1" applyProtection="1">
      <alignment/>
      <protection hidden="1"/>
    </xf>
    <xf numFmtId="178" fontId="4" fillId="0" borderId="31" xfId="36" applyFont="1" applyFill="1" applyBorder="1" applyAlignment="1" applyProtection="1">
      <alignment/>
      <protection hidden="1"/>
    </xf>
    <xf numFmtId="178" fontId="5" fillId="3" borderId="5" xfId="39" applyFont="1" applyBorder="1" applyAlignment="1" applyProtection="1">
      <alignment/>
      <protection hidden="1"/>
    </xf>
    <xf numFmtId="178" fontId="5" fillId="3" borderId="3" xfId="39" applyBorder="1" applyAlignment="1" applyProtection="1">
      <alignment/>
      <protection hidden="1"/>
    </xf>
    <xf numFmtId="178" fontId="4" fillId="0" borderId="13" xfId="39" applyFont="1" applyFill="1" applyBorder="1" applyAlignment="1" applyProtection="1">
      <alignment/>
      <protection hidden="1"/>
    </xf>
    <xf numFmtId="178" fontId="4" fillId="0" borderId="17" xfId="39" applyFont="1" applyFill="1" applyBorder="1" applyAlignment="1" applyProtection="1">
      <alignment/>
      <protection hidden="1"/>
    </xf>
    <xf numFmtId="0" fontId="4" fillId="0" borderId="13" xfId="0" applyFont="1" applyBorder="1" applyAlignment="1" applyProtection="1">
      <alignment/>
      <protection hidden="1"/>
    </xf>
    <xf numFmtId="185" fontId="4" fillId="0" borderId="13" xfId="38" applyBorder="1" applyAlignment="1" applyProtection="1">
      <alignment/>
      <protection hidden="1"/>
    </xf>
    <xf numFmtId="185" fontId="4" fillId="6" borderId="17" xfId="38" applyFont="1" applyFill="1" applyBorder="1" applyAlignment="1" applyProtection="1">
      <alignment/>
      <protection hidden="1"/>
    </xf>
    <xf numFmtId="185" fontId="4" fillId="0" borderId="23" xfId="38" applyFont="1" applyBorder="1" applyAlignment="1" applyProtection="1">
      <alignment/>
      <protection hidden="1"/>
    </xf>
    <xf numFmtId="185" fontId="4" fillId="0" borderId="0" xfId="38" applyFont="1" applyFill="1" applyBorder="1" applyAlignment="1" applyProtection="1">
      <alignment/>
      <protection hidden="1"/>
    </xf>
    <xf numFmtId="0" fontId="4" fillId="0" borderId="0" xfId="0" applyFont="1" applyFill="1" applyAlignment="1" applyProtection="1">
      <alignment/>
      <protection hidden="1"/>
    </xf>
    <xf numFmtId="0" fontId="4" fillId="0" borderId="29" xfId="0" applyFont="1" applyFill="1" applyBorder="1" applyAlignment="1" applyProtection="1">
      <alignment/>
      <protection hidden="1"/>
    </xf>
    <xf numFmtId="185" fontId="4" fillId="0" borderId="13" xfId="38" applyFont="1" applyFill="1" applyBorder="1" applyAlignment="1" applyProtection="1">
      <alignment/>
      <protection hidden="1"/>
    </xf>
    <xf numFmtId="185" fontId="4" fillId="0" borderId="17" xfId="38" applyFont="1" applyFill="1" applyBorder="1" applyAlignment="1" applyProtection="1">
      <alignment/>
      <protection hidden="1"/>
    </xf>
    <xf numFmtId="185" fontId="4" fillId="0" borderId="6" xfId="38" applyFont="1" applyFill="1" applyBorder="1" applyAlignment="1" applyProtection="1">
      <alignment/>
      <protection hidden="1"/>
    </xf>
    <xf numFmtId="185" fontId="4" fillId="0" borderId="42" xfId="38" applyFont="1" applyFill="1" applyBorder="1" applyAlignment="1" applyProtection="1">
      <alignment/>
      <protection hidden="1"/>
    </xf>
    <xf numFmtId="0" fontId="5" fillId="3" borderId="16" xfId="0" applyFont="1" applyFill="1" applyBorder="1" applyAlignment="1" applyProtection="1">
      <alignment/>
      <protection hidden="1"/>
    </xf>
    <xf numFmtId="185" fontId="5" fillId="3" borderId="5" xfId="38" applyFont="1" applyFill="1" applyBorder="1" applyAlignment="1" applyProtection="1">
      <alignment/>
      <protection hidden="1"/>
    </xf>
    <xf numFmtId="185" fontId="5" fillId="3" borderId="7" xfId="38" applyFont="1" applyFill="1" applyBorder="1" applyAlignment="1" applyProtection="1">
      <alignment/>
      <protection hidden="1"/>
    </xf>
    <xf numFmtId="178" fontId="5" fillId="3" borderId="3" xfId="39" applyFont="1" applyFill="1" applyAlignment="1" applyProtection="1">
      <alignment/>
      <protection hidden="1"/>
    </xf>
    <xf numFmtId="37" fontId="2" fillId="0" borderId="0" xfId="0" applyNumberFormat="1" applyFont="1" applyBorder="1" applyAlignment="1" applyProtection="1">
      <alignment/>
      <protection hidden="1"/>
    </xf>
    <xf numFmtId="178" fontId="4" fillId="0" borderId="23" xfId="36" applyFont="1" applyBorder="1" applyAlignment="1" applyProtection="1">
      <alignment/>
      <protection hidden="1"/>
    </xf>
    <xf numFmtId="0" fontId="4" fillId="0" borderId="35" xfId="0" applyFont="1" applyFill="1" applyBorder="1" applyAlignment="1" applyProtection="1">
      <alignment/>
      <protection hidden="1"/>
    </xf>
    <xf numFmtId="178" fontId="4" fillId="0" borderId="0" xfId="36" applyAlignment="1" applyProtection="1">
      <alignment/>
      <protection hidden="1"/>
    </xf>
    <xf numFmtId="0" fontId="4" fillId="0" borderId="30" xfId="0" applyFont="1" applyFill="1" applyBorder="1" applyAlignment="1" applyProtection="1">
      <alignment/>
      <protection hidden="1"/>
    </xf>
    <xf numFmtId="0" fontId="4" fillId="0" borderId="18" xfId="0" applyFont="1" applyBorder="1" applyAlignment="1" applyProtection="1">
      <alignment/>
      <protection hidden="1"/>
    </xf>
    <xf numFmtId="178" fontId="4" fillId="0" borderId="19" xfId="36" applyBorder="1" applyAlignment="1" applyProtection="1">
      <alignment/>
      <protection hidden="1"/>
    </xf>
    <xf numFmtId="178" fontId="5" fillId="3" borderId="5" xfId="39" applyFont="1" applyFill="1" applyBorder="1" applyAlignment="1" applyProtection="1">
      <alignment/>
      <protection hidden="1"/>
    </xf>
    <xf numFmtId="185" fontId="5" fillId="3" borderId="7" xfId="40" applyFont="1" applyBorder="1" applyAlignment="1" applyProtection="1">
      <alignment/>
      <protection hidden="1"/>
    </xf>
    <xf numFmtId="169" fontId="4" fillId="0" borderId="13" xfId="0" applyNumberFormat="1" applyFont="1" applyFill="1" applyBorder="1" applyAlignment="1" applyProtection="1">
      <alignment/>
      <protection hidden="1"/>
    </xf>
    <xf numFmtId="0" fontId="4" fillId="0" borderId="48" xfId="0" applyFont="1" applyFill="1" applyBorder="1" applyAlignment="1" applyProtection="1">
      <alignment/>
      <protection hidden="1"/>
    </xf>
    <xf numFmtId="178" fontId="4" fillId="0" borderId="48" xfId="36" applyFont="1" applyFill="1" applyBorder="1" applyAlignment="1" applyProtection="1">
      <alignment/>
      <protection hidden="1"/>
    </xf>
    <xf numFmtId="178" fontId="4" fillId="0" borderId="39" xfId="36" applyFont="1" applyFill="1" applyBorder="1" applyAlignment="1" applyProtection="1">
      <alignment/>
      <protection hidden="1"/>
    </xf>
    <xf numFmtId="178" fontId="4" fillId="0" borderId="18" xfId="36" applyFont="1" applyFill="1" applyBorder="1" applyAlignment="1" applyProtection="1">
      <alignment/>
      <protection hidden="1" locked="0"/>
    </xf>
    <xf numFmtId="178" fontId="4" fillId="0" borderId="19" xfId="36" applyFont="1" applyFill="1" applyBorder="1" applyAlignment="1" applyProtection="1">
      <alignment/>
      <protection hidden="1" locked="0"/>
    </xf>
    <xf numFmtId="0" fontId="20" fillId="0" borderId="29" xfId="0" applyFont="1" applyFill="1" applyBorder="1" applyAlignment="1" applyProtection="1">
      <alignment/>
      <protection hidden="1"/>
    </xf>
    <xf numFmtId="0" fontId="20" fillId="0" borderId="35" xfId="0" applyFont="1" applyFill="1" applyBorder="1" applyAlignment="1" applyProtection="1">
      <alignment/>
      <protection hidden="1"/>
    </xf>
    <xf numFmtId="0" fontId="4" fillId="0" borderId="49" xfId="0" applyFont="1" applyBorder="1" applyAlignment="1" applyProtection="1">
      <alignment/>
      <protection hidden="1"/>
    </xf>
    <xf numFmtId="195" fontId="4" fillId="0" borderId="23" xfId="36" applyNumberFormat="1" applyBorder="1" applyAlignment="1" applyProtection="1">
      <alignment/>
      <protection hidden="1"/>
    </xf>
    <xf numFmtId="0" fontId="14" fillId="3" borderId="16" xfId="0" applyFont="1" applyFill="1" applyBorder="1" applyAlignment="1" applyProtection="1">
      <alignment/>
      <protection hidden="1"/>
    </xf>
    <xf numFmtId="185" fontId="5" fillId="3" borderId="5" xfId="40" applyFont="1" applyBorder="1" applyAlignment="1" applyProtection="1">
      <alignment/>
      <protection hidden="1"/>
    </xf>
    <xf numFmtId="2" fontId="4" fillId="0" borderId="0" xfId="0" applyNumberFormat="1" applyFont="1" applyAlignment="1" applyProtection="1">
      <alignment/>
      <protection hidden="1"/>
    </xf>
    <xf numFmtId="37" fontId="4" fillId="0" borderId="27" xfId="0" applyNumberFormat="1" applyFont="1" applyFill="1" applyBorder="1" applyAlignment="1" applyProtection="1">
      <alignment/>
      <protection hidden="1"/>
    </xf>
    <xf numFmtId="178" fontId="4" fillId="0" borderId="17" xfId="36" applyFont="1" applyFill="1" applyBorder="1" applyAlignment="1" applyProtection="1">
      <alignment/>
      <protection hidden="1" locked="0"/>
    </xf>
    <xf numFmtId="185" fontId="4" fillId="0" borderId="23" xfId="38" applyFont="1" applyFill="1" applyBorder="1" applyAlignment="1" applyProtection="1">
      <alignment/>
      <protection hidden="1" locked="0"/>
    </xf>
    <xf numFmtId="185" fontId="19" fillId="6" borderId="25" xfId="38" applyFont="1" applyFill="1" applyBorder="1" applyAlignment="1" applyProtection="1">
      <alignment/>
      <protection hidden="1"/>
    </xf>
    <xf numFmtId="185" fontId="4" fillId="0" borderId="25" xfId="38" applyFont="1" applyFill="1" applyBorder="1" applyAlignment="1" applyProtection="1">
      <alignment/>
      <protection hidden="1" locked="0"/>
    </xf>
    <xf numFmtId="37" fontId="4" fillId="0" borderId="28" xfId="0" applyNumberFormat="1" applyFont="1" applyFill="1" applyBorder="1" applyAlignment="1" applyProtection="1">
      <alignment/>
      <protection hidden="1"/>
    </xf>
    <xf numFmtId="178" fontId="5" fillId="3" borderId="16" xfId="36" applyFont="1" applyFill="1" applyBorder="1" applyAlignment="1" applyProtection="1">
      <alignment/>
      <protection hidden="1"/>
    </xf>
    <xf numFmtId="185" fontId="5" fillId="3" borderId="16" xfId="40" applyBorder="1" applyAlignment="1" applyProtection="1">
      <alignment horizontal="right"/>
      <protection hidden="1"/>
    </xf>
    <xf numFmtId="185" fontId="5" fillId="3" borderId="5" xfId="40" applyBorder="1" applyAlignment="1" applyProtection="1">
      <alignment horizontal="right"/>
      <protection hidden="1"/>
    </xf>
    <xf numFmtId="185" fontId="4" fillId="5" borderId="23" xfId="38" applyFont="1" applyFill="1" applyBorder="1" applyAlignment="1" applyProtection="1">
      <alignment/>
      <protection hidden="1"/>
    </xf>
    <xf numFmtId="185" fontId="4" fillId="5" borderId="36" xfId="38" applyFont="1" applyFill="1" applyBorder="1" applyAlignment="1" applyProtection="1">
      <alignment/>
      <protection hidden="1"/>
    </xf>
    <xf numFmtId="178" fontId="5" fillId="3" borderId="5" xfId="39" applyBorder="1" applyAlignment="1" applyProtection="1">
      <alignment/>
      <protection hidden="1"/>
    </xf>
    <xf numFmtId="185" fontId="5" fillId="3" borderId="5" xfId="40" applyBorder="1" applyAlignment="1" applyProtection="1">
      <alignment/>
      <protection hidden="1"/>
    </xf>
    <xf numFmtId="178" fontId="5" fillId="3" borderId="7" xfId="39" applyBorder="1" applyAlignment="1" applyProtection="1">
      <alignment/>
      <protection hidden="1"/>
    </xf>
    <xf numFmtId="178" fontId="4" fillId="0" borderId="3" xfId="36" applyFont="1" applyFill="1" applyBorder="1" applyAlignment="1" applyProtection="1">
      <alignment/>
      <protection hidden="1" locked="0"/>
    </xf>
    <xf numFmtId="178" fontId="4" fillId="5" borderId="23" xfId="36" applyFont="1" applyFill="1" applyBorder="1" applyAlignment="1" applyProtection="1">
      <alignment/>
      <protection hidden="1"/>
    </xf>
    <xf numFmtId="37" fontId="3" fillId="3" borderId="50" xfId="0" applyNumberFormat="1" applyFont="1" applyFill="1" applyBorder="1" applyAlignment="1" applyProtection="1">
      <alignment horizontal="right" vertical="center"/>
      <protection hidden="1"/>
    </xf>
    <xf numFmtId="0" fontId="2" fillId="0" borderId="37" xfId="0" applyFont="1" applyBorder="1" applyAlignment="1">
      <alignment horizontal="right" vertical="center"/>
    </xf>
    <xf numFmtId="0" fontId="3" fillId="3" borderId="51" xfId="0" applyFont="1" applyFill="1" applyBorder="1" applyAlignment="1" applyProtection="1">
      <alignment horizontal="right" vertical="center"/>
      <protection hidden="1"/>
    </xf>
    <xf numFmtId="0" fontId="2" fillId="0" borderId="22" xfId="0" applyFont="1" applyBorder="1" applyAlignment="1">
      <alignment horizontal="right" vertical="center"/>
    </xf>
    <xf numFmtId="37" fontId="4" fillId="0" borderId="26" xfId="0" applyNumberFormat="1" applyFont="1" applyFill="1" applyBorder="1" applyAlignment="1" applyProtection="1">
      <alignment/>
      <protection hidden="1"/>
    </xf>
    <xf numFmtId="185" fontId="4" fillId="0" borderId="49" xfId="38" applyFont="1" applyFill="1" applyBorder="1" applyAlignment="1" applyProtection="1">
      <alignment/>
      <protection hidden="1" locked="0"/>
    </xf>
    <xf numFmtId="178" fontId="4" fillId="0" borderId="17" xfId="36" applyFont="1" applyFill="1" applyBorder="1" applyAlignment="1" applyProtection="1">
      <alignment/>
      <protection hidden="1"/>
    </xf>
    <xf numFmtId="3" fontId="3" fillId="3" borderId="16" xfId="0" applyNumberFormat="1"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3" fontId="3" fillId="3" borderId="7" xfId="0" applyNumberFormat="1" applyFont="1" applyFill="1" applyBorder="1" applyAlignment="1" applyProtection="1">
      <alignment horizontal="center" vertical="center"/>
      <protection hidden="1"/>
    </xf>
    <xf numFmtId="194" fontId="4" fillId="0" borderId="23" xfId="0" applyNumberFormat="1" applyFont="1" applyFill="1" applyBorder="1" applyAlignment="1" applyProtection="1">
      <alignment/>
      <protection hidden="1" locked="0"/>
    </xf>
    <xf numFmtId="2" fontId="4" fillId="0" borderId="23" xfId="0" applyNumberFormat="1" applyFont="1" applyFill="1" applyBorder="1" applyAlignment="1" applyProtection="1">
      <alignment/>
      <protection hidden="1" locked="0"/>
    </xf>
    <xf numFmtId="182" fontId="5" fillId="3" borderId="16" xfId="36" applyNumberFormat="1" applyFont="1" applyFill="1" applyBorder="1" applyAlignment="1" applyProtection="1">
      <alignment/>
      <protection hidden="1"/>
    </xf>
    <xf numFmtId="182" fontId="5" fillId="3" borderId="5" xfId="36" applyNumberFormat="1" applyFont="1" applyFill="1" applyBorder="1" applyAlignment="1" applyProtection="1">
      <alignment/>
      <protection hidden="1"/>
    </xf>
    <xf numFmtId="3" fontId="5" fillId="0" borderId="0" xfId="0" applyNumberFormat="1" applyFont="1" applyAlignment="1" applyProtection="1">
      <alignment/>
      <protection hidden="1"/>
    </xf>
    <xf numFmtId="185" fontId="4" fillId="0" borderId="36" xfId="38" applyFont="1" applyFill="1" applyBorder="1" applyAlignment="1" applyProtection="1">
      <alignment/>
      <protection hidden="1" locked="0"/>
    </xf>
    <xf numFmtId="185" fontId="4" fillId="0" borderId="36" xfId="38" applyFont="1" applyFill="1" applyBorder="1" applyAlignment="1" applyProtection="1">
      <alignment/>
      <protection hidden="1"/>
    </xf>
    <xf numFmtId="37" fontId="14" fillId="3" borderId="5" xfId="0" applyNumberFormat="1" applyFont="1" applyFill="1" applyBorder="1" applyAlignment="1" applyProtection="1">
      <alignment/>
      <protection hidden="1"/>
    </xf>
    <xf numFmtId="0" fontId="3" fillId="3" borderId="3" xfId="0" applyFont="1" applyFill="1" applyBorder="1" applyAlignment="1" applyProtection="1">
      <alignment/>
      <protection hidden="1"/>
    </xf>
    <xf numFmtId="178" fontId="4" fillId="0" borderId="0" xfId="36" applyFont="1" applyFill="1" applyBorder="1" applyAlignment="1" applyProtection="1">
      <alignment/>
      <protection hidden="1" locked="0"/>
    </xf>
    <xf numFmtId="178" fontId="4" fillId="0" borderId="13" xfId="36" applyFont="1" applyFill="1" applyBorder="1" applyAlignment="1" applyProtection="1">
      <alignment/>
      <protection hidden="1" locked="0"/>
    </xf>
    <xf numFmtId="178" fontId="4" fillId="0" borderId="26" xfId="36" applyFont="1" applyFill="1" applyBorder="1" applyAlignment="1" applyProtection="1">
      <alignment/>
      <protection hidden="1" locked="0"/>
    </xf>
    <xf numFmtId="178" fontId="4" fillId="0" borderId="52" xfId="36" applyFont="1" applyFill="1" applyBorder="1" applyAlignment="1" applyProtection="1">
      <alignment/>
      <protection hidden="1"/>
    </xf>
    <xf numFmtId="178" fontId="5" fillId="3" borderId="21" xfId="39" applyFont="1" applyFill="1" applyBorder="1" applyAlignment="1" applyProtection="1">
      <alignment/>
      <protection hidden="1"/>
    </xf>
    <xf numFmtId="178" fontId="4" fillId="3" borderId="14" xfId="36" applyFont="1" applyFill="1" applyBorder="1" applyAlignment="1" applyProtection="1">
      <alignment/>
      <protection hidden="1" locked="0"/>
    </xf>
    <xf numFmtId="178" fontId="4" fillId="0" borderId="32" xfId="36" applyFont="1" applyFill="1" applyBorder="1" applyAlignment="1" applyProtection="1">
      <alignment/>
      <protection hidden="1"/>
    </xf>
    <xf numFmtId="178" fontId="4" fillId="0" borderId="25" xfId="36" applyFont="1" applyFill="1" applyBorder="1" applyAlignment="1" applyProtection="1">
      <alignment/>
      <protection hidden="1" locked="0"/>
    </xf>
    <xf numFmtId="178" fontId="4" fillId="0" borderId="38" xfId="36" applyFont="1" applyBorder="1" applyAlignment="1" applyProtection="1">
      <alignment/>
      <protection hidden="1"/>
    </xf>
    <xf numFmtId="178" fontId="4" fillId="0" borderId="23" xfId="36" applyFill="1" applyBorder="1" applyProtection="1">
      <alignment/>
      <protection/>
    </xf>
    <xf numFmtId="178" fontId="4" fillId="0" borderId="23" xfId="36" applyFont="1" applyFill="1" applyBorder="1" applyProtection="1">
      <alignment/>
      <protection/>
    </xf>
    <xf numFmtId="178" fontId="4" fillId="0" borderId="23" xfId="36" applyFont="1" applyFill="1" applyBorder="1" applyProtection="1">
      <alignment/>
      <protection locked="0"/>
    </xf>
    <xf numFmtId="0" fontId="1"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5" xfId="0" applyFont="1" applyBorder="1" applyAlignment="1" applyProtection="1">
      <alignment vertical="center"/>
      <protection/>
    </xf>
    <xf numFmtId="0" fontId="2" fillId="0" borderId="5" xfId="0" applyFont="1" applyBorder="1" applyAlignment="1" applyProtection="1">
      <alignment horizontal="left" vertical="center"/>
      <protection/>
    </xf>
    <xf numFmtId="0" fontId="3" fillId="0" borderId="5" xfId="0" applyNumberFormat="1" applyFont="1" applyBorder="1"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protection/>
    </xf>
    <xf numFmtId="0" fontId="4" fillId="0" borderId="0" xfId="0" applyFont="1" applyBorder="1" applyAlignment="1" applyProtection="1">
      <alignment/>
      <protection/>
    </xf>
    <xf numFmtId="37" fontId="5" fillId="0" borderId="0" xfId="0" applyNumberFormat="1" applyFont="1" applyBorder="1" applyAlignment="1" applyProtection="1">
      <alignment horizontal="left"/>
      <protection/>
    </xf>
    <xf numFmtId="0" fontId="4" fillId="0" borderId="0" xfId="0" applyFont="1" applyAlignment="1" applyProtection="1">
      <alignment/>
      <protection/>
    </xf>
    <xf numFmtId="37" fontId="4" fillId="0" borderId="13" xfId="0" applyNumberFormat="1" applyFont="1" applyFill="1" applyBorder="1" applyAlignment="1" applyProtection="1">
      <alignment/>
      <protection locked="0"/>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Alignment="1" applyProtection="1">
      <alignment/>
      <protection/>
    </xf>
    <xf numFmtId="0" fontId="4" fillId="0" borderId="0" xfId="0" applyFont="1" applyAlignment="1" applyProtection="1">
      <alignment vertical="top"/>
      <protection/>
    </xf>
    <xf numFmtId="0" fontId="4" fillId="0" borderId="13" xfId="0" applyFont="1" applyFill="1" applyBorder="1" applyAlignment="1" applyProtection="1">
      <alignment/>
      <protection locked="0"/>
    </xf>
    <xf numFmtId="0" fontId="0" fillId="0" borderId="0" xfId="0" applyBorder="1" applyAlignment="1" applyProtection="1">
      <alignment/>
      <protection/>
    </xf>
    <xf numFmtId="0" fontId="0" fillId="0" borderId="0" xfId="0" applyFill="1" applyAlignment="1" applyProtection="1">
      <alignment/>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NumberFormat="1" applyFont="1" applyAlignment="1" applyProtection="1">
      <alignment/>
      <protection/>
    </xf>
    <xf numFmtId="17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1" fillId="0" borderId="0" xfId="0" applyNumberFormat="1" applyFont="1" applyAlignment="1" applyProtection="1">
      <alignment/>
      <protection/>
    </xf>
    <xf numFmtId="0" fontId="4" fillId="0" borderId="0" xfId="0" applyFont="1" applyFill="1" applyAlignment="1" applyProtection="1">
      <alignment vertical="center"/>
      <protection/>
    </xf>
    <xf numFmtId="37" fontId="4" fillId="0" borderId="0" xfId="0" applyNumberFormat="1" applyFont="1" applyAlignment="1" applyProtection="1">
      <alignment/>
      <protection/>
    </xf>
    <xf numFmtId="0" fontId="4" fillId="0" borderId="0" xfId="0" applyFont="1" applyFill="1" applyBorder="1" applyAlignment="1" applyProtection="1">
      <alignment/>
      <protection/>
    </xf>
    <xf numFmtId="0" fontId="5" fillId="0" borderId="0" xfId="0" applyFont="1" applyBorder="1" applyAlignment="1" applyProtection="1">
      <alignment/>
      <protection/>
    </xf>
    <xf numFmtId="37" fontId="5" fillId="0" borderId="0" xfId="0" applyNumberFormat="1" applyFont="1" applyFill="1" applyBorder="1" applyAlignment="1" applyProtection="1">
      <alignment/>
      <protection/>
    </xf>
    <xf numFmtId="37" fontId="5" fillId="3" borderId="3" xfId="0" applyNumberFormat="1" applyFont="1" applyFill="1" applyBorder="1" applyAlignment="1" applyProtection="1">
      <alignment horizontal="right"/>
      <protection/>
    </xf>
    <xf numFmtId="178" fontId="4" fillId="0" borderId="17" xfId="36" applyFont="1" applyFill="1" applyBorder="1" applyProtection="1">
      <alignmen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49" fontId="4" fillId="0" borderId="23" xfId="0" applyNumberFormat="1" applyFont="1" applyFill="1" applyBorder="1" applyAlignment="1" applyProtection="1">
      <alignment horizontal="left"/>
      <protection locked="0"/>
    </xf>
    <xf numFmtId="178" fontId="4" fillId="0" borderId="23" xfId="36" applyFont="1" applyBorder="1" applyProtection="1">
      <alignment/>
      <protection/>
    </xf>
    <xf numFmtId="0" fontId="2" fillId="0" borderId="0" xfId="0" applyNumberFormat="1" applyFont="1" applyBorder="1" applyAlignment="1" applyProtection="1">
      <alignment/>
      <protection/>
    </xf>
    <xf numFmtId="0" fontId="5" fillId="0" borderId="0" xfId="0" applyFont="1" applyFill="1" applyBorder="1" applyAlignment="1" applyProtection="1">
      <alignment/>
      <protection/>
    </xf>
    <xf numFmtId="49" fontId="4" fillId="0" borderId="0" xfId="0" applyNumberFormat="1" applyFont="1" applyBorder="1" applyAlignment="1" applyProtection="1">
      <alignment horizontal="center"/>
      <protection/>
    </xf>
    <xf numFmtId="0" fontId="4" fillId="0" borderId="13" xfId="0" applyFont="1" applyBorder="1" applyAlignment="1" applyProtection="1">
      <alignment/>
      <protection/>
    </xf>
    <xf numFmtId="185" fontId="4" fillId="0" borderId="23" xfId="38" applyFont="1" applyBorder="1" applyProtection="1">
      <alignment/>
      <protection/>
    </xf>
    <xf numFmtId="185" fontId="4" fillId="0" borderId="0" xfId="38" applyFont="1" applyFill="1" applyBorder="1" applyAlignment="1" applyProtection="1">
      <alignment horizontal="right"/>
      <protection/>
    </xf>
    <xf numFmtId="49" fontId="5" fillId="0" borderId="0" xfId="0" applyNumberFormat="1" applyFont="1" applyFill="1" applyBorder="1" applyAlignment="1" applyProtection="1">
      <alignment horizontal="left"/>
      <protection/>
    </xf>
    <xf numFmtId="185" fontId="4" fillId="0" borderId="0" xfId="38" applyFont="1" applyFill="1" applyBorder="1" applyProtection="1">
      <alignment/>
      <protection/>
    </xf>
    <xf numFmtId="49" fontId="4" fillId="0" borderId="0" xfId="0" applyNumberFormat="1" applyFont="1" applyAlignment="1" applyProtection="1">
      <alignment/>
      <protection/>
    </xf>
    <xf numFmtId="0" fontId="4" fillId="0" borderId="0" xfId="0" applyFont="1" applyFill="1" applyAlignment="1" applyProtection="1">
      <alignment/>
      <protection/>
    </xf>
    <xf numFmtId="49" fontId="5" fillId="0" borderId="13" xfId="0" applyNumberFormat="1" applyFont="1" applyFill="1" applyBorder="1" applyAlignment="1" applyProtection="1">
      <alignment horizontal="left"/>
      <protection/>
    </xf>
    <xf numFmtId="185" fontId="4" fillId="0" borderId="13" xfId="38" applyFont="1" applyFill="1" applyBorder="1" applyProtection="1">
      <alignment/>
      <protection/>
    </xf>
    <xf numFmtId="185" fontId="4" fillId="0" borderId="17" xfId="38" applyFont="1" applyFill="1" applyBorder="1" applyProtection="1">
      <alignment/>
      <protection/>
    </xf>
    <xf numFmtId="0" fontId="0" fillId="0" borderId="0" xfId="0" applyFont="1" applyAlignment="1" applyProtection="1">
      <alignment/>
      <protection/>
    </xf>
    <xf numFmtId="37" fontId="4" fillId="0" borderId="0" xfId="0" applyNumberFormat="1" applyFont="1" applyAlignment="1" applyProtection="1">
      <alignment/>
      <protection/>
    </xf>
    <xf numFmtId="178" fontId="4" fillId="0" borderId="17" xfId="36" applyFont="1" applyFill="1" applyBorder="1" applyProtection="1">
      <alignment/>
      <protection locked="0"/>
    </xf>
    <xf numFmtId="185" fontId="4" fillId="0" borderId="23" xfId="38" applyFont="1" applyFill="1" applyBorder="1" applyProtection="1">
      <alignment/>
      <protection locked="0"/>
    </xf>
    <xf numFmtId="178" fontId="4" fillId="0" borderId="25" xfId="36" applyFont="1" applyBorder="1" applyAlignment="1" applyProtection="1">
      <alignment/>
      <protection/>
    </xf>
    <xf numFmtId="185" fontId="4" fillId="0" borderId="25" xfId="38" applyFont="1" applyFill="1" applyBorder="1" applyProtection="1">
      <alignment/>
      <protection locked="0"/>
    </xf>
    <xf numFmtId="37" fontId="5" fillId="0" borderId="0" xfId="0" applyNumberFormat="1" applyFont="1" applyBorder="1" applyAlignment="1" applyProtection="1">
      <alignment horizontal="right"/>
      <protection/>
    </xf>
    <xf numFmtId="178" fontId="4" fillId="0" borderId="25" xfId="36" applyFont="1" applyBorder="1" applyProtection="1">
      <alignment/>
      <protection/>
    </xf>
    <xf numFmtId="185" fontId="4" fillId="0" borderId="23" xfId="38" applyFont="1" applyFill="1" applyBorder="1" applyProtection="1">
      <alignment/>
      <protection/>
    </xf>
    <xf numFmtId="0" fontId="2" fillId="0" borderId="0" xfId="0" applyFont="1" applyBorder="1" applyAlignment="1" applyProtection="1">
      <alignment vertical="center"/>
      <protection/>
    </xf>
    <xf numFmtId="37" fontId="5" fillId="0" borderId="0" xfId="0" applyNumberFormat="1" applyFont="1" applyBorder="1" applyAlignment="1" applyProtection="1">
      <alignment horizontal="right" vertical="top"/>
      <protection/>
    </xf>
    <xf numFmtId="37" fontId="4" fillId="0" borderId="0" xfId="0" applyNumberFormat="1" applyFont="1" applyBorder="1" applyAlignment="1" applyProtection="1">
      <alignment/>
      <protection/>
    </xf>
    <xf numFmtId="167" fontId="4" fillId="0" borderId="23" xfId="0" applyNumberFormat="1" applyFont="1" applyFill="1" applyBorder="1" applyAlignment="1" applyProtection="1">
      <alignment horizontal="center"/>
      <protection/>
    </xf>
    <xf numFmtId="0" fontId="4" fillId="0" borderId="13" xfId="0" applyFont="1" applyFill="1" applyBorder="1" applyAlignment="1" applyProtection="1">
      <alignment/>
      <protection/>
    </xf>
    <xf numFmtId="0" fontId="2"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23"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xf>
    <xf numFmtId="0" fontId="2" fillId="0" borderId="0" xfId="0" applyFont="1" applyBorder="1" applyAlignment="1" applyProtection="1">
      <alignment/>
      <protection/>
    </xf>
    <xf numFmtId="178" fontId="2" fillId="0" borderId="13" xfId="36" applyFont="1" applyFill="1" applyBorder="1" applyAlignment="1" applyProtection="1">
      <alignment horizontal="right"/>
      <protection/>
    </xf>
    <xf numFmtId="178" fontId="2" fillId="0" borderId="17" xfId="36" applyFont="1" applyFill="1" applyBorder="1" applyAlignment="1" applyProtection="1">
      <alignment horizontal="right"/>
      <protection/>
    </xf>
    <xf numFmtId="178" fontId="2" fillId="0" borderId="0" xfId="0" applyNumberFormat="1" applyFont="1" applyBorder="1" applyAlignment="1" applyProtection="1">
      <alignment/>
      <protection/>
    </xf>
    <xf numFmtId="37" fontId="4" fillId="0" borderId="0" xfId="0" applyNumberFormat="1" applyFont="1" applyFill="1" applyAlignment="1" applyProtection="1">
      <alignment vertical="center"/>
      <protection/>
    </xf>
    <xf numFmtId="190" fontId="4" fillId="0" borderId="23" xfId="36" applyNumberFormat="1" applyFill="1" applyBorder="1" applyProtection="1">
      <alignment/>
      <protection locked="0"/>
    </xf>
    <xf numFmtId="168" fontId="4" fillId="0" borderId="23" xfId="0" applyNumberFormat="1" applyFont="1" applyFill="1" applyBorder="1" applyAlignment="1" applyProtection="1">
      <alignment/>
      <protection locked="0"/>
    </xf>
    <xf numFmtId="0" fontId="4" fillId="0" borderId="0" xfId="0" applyFont="1" applyAlignment="1" applyProtection="1">
      <alignment horizontal="justify"/>
      <protection/>
    </xf>
    <xf numFmtId="0" fontId="3" fillId="0" borderId="0" xfId="0" applyFont="1" applyAlignment="1" applyProtection="1">
      <alignment/>
      <protection/>
    </xf>
    <xf numFmtId="0" fontId="17" fillId="0" borderId="0" xfId="0" applyFont="1" applyAlignment="1" applyProtection="1">
      <alignment/>
      <protection/>
    </xf>
    <xf numFmtId="0" fontId="0" fillId="0" borderId="0" xfId="0" applyAlignment="1" applyProtection="1">
      <alignment horizontal="justify" wrapText="1"/>
      <protection/>
    </xf>
    <xf numFmtId="0" fontId="0" fillId="0" borderId="53" xfId="0" applyBorder="1" applyAlignment="1" applyProtection="1">
      <alignment/>
      <protection/>
    </xf>
    <xf numFmtId="0" fontId="1" fillId="0" borderId="54"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1" fillId="0" borderId="16" xfId="0" applyFont="1" applyBorder="1" applyAlignment="1" applyProtection="1">
      <alignment vertical="top"/>
      <protection/>
    </xf>
    <xf numFmtId="0" fontId="0" fillId="0" borderId="7" xfId="0" applyBorder="1" applyAlignment="1" applyProtection="1">
      <alignment vertical="top" wrapText="1"/>
      <protection/>
    </xf>
    <xf numFmtId="0" fontId="0" fillId="0" borderId="0" xfId="0" applyBorder="1" applyAlignment="1" applyProtection="1">
      <alignment vertical="top" wrapText="1"/>
      <protection/>
    </xf>
    <xf numFmtId="0" fontId="0" fillId="0" borderId="57" xfId="0"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0" fontId="0" fillId="0" borderId="59" xfId="0" applyFill="1" applyBorder="1" applyAlignment="1" applyProtection="1">
      <alignment vertical="top" wrapText="1"/>
      <protection/>
    </xf>
    <xf numFmtId="0" fontId="0" fillId="0" borderId="59" xfId="0" applyFill="1" applyBorder="1" applyAlignment="1" applyProtection="1">
      <alignment vertical="top"/>
      <protection/>
    </xf>
    <xf numFmtId="0" fontId="0" fillId="0" borderId="60" xfId="0" applyFill="1" applyBorder="1" applyAlignment="1" applyProtection="1">
      <alignment/>
      <protection/>
    </xf>
    <xf numFmtId="0" fontId="4" fillId="0" borderId="5"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37" fontId="4" fillId="0" borderId="13" xfId="0" applyNumberFormat="1" applyFont="1" applyFill="1" applyBorder="1" applyAlignment="1" applyProtection="1">
      <alignment vertical="center"/>
      <protection locked="0"/>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0" fontId="0" fillId="0" borderId="0" xfId="0" applyFont="1" applyAlignment="1" applyProtection="1">
      <alignment horizontal="left"/>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170" fontId="4" fillId="0" borderId="0" xfId="0" applyNumberFormat="1" applyFont="1" applyAlignment="1" applyProtection="1">
      <alignment/>
      <protection/>
    </xf>
    <xf numFmtId="37" fontId="5"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0" xfId="0" applyFont="1" applyBorder="1" applyAlignment="1" applyProtection="1">
      <alignment horizontal="justify"/>
      <protection/>
    </xf>
    <xf numFmtId="37" fontId="4" fillId="0" borderId="0" xfId="0" applyNumberFormat="1" applyFont="1" applyAlignment="1" applyProtection="1">
      <alignment horizontal="justify"/>
      <protection/>
    </xf>
    <xf numFmtId="170" fontId="0" fillId="0" borderId="0" xfId="0" applyNumberFormat="1" applyFont="1" applyAlignment="1" applyProtection="1">
      <alignment/>
      <protection/>
    </xf>
    <xf numFmtId="170" fontId="0" fillId="0" borderId="0" xfId="0" applyNumberFormat="1" applyFont="1" applyAlignment="1" applyProtection="1">
      <alignment horizontal="justify"/>
      <protection/>
    </xf>
    <xf numFmtId="0" fontId="5" fillId="0" borderId="0" xfId="0" applyNumberFormat="1" applyFont="1" applyAlignment="1" applyProtection="1">
      <alignment horizontal="justify"/>
      <protection/>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Fill="1" applyAlignment="1" applyProtection="1">
      <alignment/>
      <protection hidden="1"/>
    </xf>
    <xf numFmtId="0" fontId="5" fillId="0" borderId="0" xfId="0" applyFont="1" applyFill="1" applyAlignment="1" applyProtection="1">
      <alignment/>
      <protection hidden="1"/>
    </xf>
    <xf numFmtId="176" fontId="4" fillId="0" borderId="61" xfId="0" applyNumberFormat="1" applyFont="1" applyFill="1" applyBorder="1" applyAlignment="1" applyProtection="1">
      <alignment horizontal="left"/>
      <protection locked="0"/>
    </xf>
    <xf numFmtId="176" fontId="4" fillId="0" borderId="36" xfId="0" applyNumberFormat="1" applyFont="1" applyFill="1" applyBorder="1" applyAlignment="1" applyProtection="1">
      <alignment horizontal="left"/>
      <protection locked="0"/>
    </xf>
    <xf numFmtId="168" fontId="4" fillId="0" borderId="23" xfId="36" applyNumberFormat="1" applyFont="1" applyFill="1" applyBorder="1" applyProtection="1">
      <alignment/>
      <protection locked="0"/>
    </xf>
    <xf numFmtId="14" fontId="4" fillId="0" borderId="23" xfId="0" applyNumberFormat="1" applyFont="1" applyFill="1" applyBorder="1" applyAlignment="1" applyProtection="1">
      <alignment horizontal="left"/>
      <protection locked="0"/>
    </xf>
    <xf numFmtId="0" fontId="4" fillId="0" borderId="25" xfId="0" applyFont="1" applyFill="1" applyBorder="1" applyAlignment="1" applyProtection="1">
      <alignment/>
      <protection hidden="1"/>
    </xf>
    <xf numFmtId="0" fontId="4" fillId="0" borderId="13"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4" fillId="3" borderId="13" xfId="0" applyFont="1" applyFill="1" applyBorder="1" applyAlignment="1" applyProtection="1">
      <alignment/>
      <protection hidden="1"/>
    </xf>
    <xf numFmtId="0" fontId="5" fillId="0" borderId="0" xfId="32" applyFont="1" applyBorder="1" applyAlignment="1" applyProtection="1">
      <alignment horizontal="left"/>
      <protection/>
    </xf>
    <xf numFmtId="0" fontId="4" fillId="0" borderId="0" xfId="0" applyFont="1" applyAlignment="1" applyProtection="1">
      <alignment/>
      <protection locked="0"/>
    </xf>
    <xf numFmtId="189" fontId="15" fillId="0" borderId="6" xfId="0" applyNumberFormat="1" applyFont="1" applyBorder="1" applyAlignment="1" applyProtection="1">
      <alignment horizontal="right" vertical="center"/>
      <protection/>
    </xf>
    <xf numFmtId="0" fontId="15" fillId="0" borderId="5" xfId="0" applyFont="1" applyBorder="1" applyAlignment="1" applyProtection="1">
      <alignment vertical="center"/>
      <protection/>
    </xf>
    <xf numFmtId="0" fontId="5" fillId="0" borderId="0" xfId="0" applyNumberFormat="1" applyFont="1" applyBorder="1" applyAlignment="1" applyProtection="1">
      <alignment vertical="center"/>
      <protection/>
    </xf>
    <xf numFmtId="0" fontId="4" fillId="0" borderId="0" xfId="0" applyNumberFormat="1" applyFont="1" applyAlignment="1" applyProtection="1">
      <alignment horizontal="right"/>
      <protection/>
    </xf>
    <xf numFmtId="182" fontId="4" fillId="0" borderId="52" xfId="36" applyNumberFormat="1" applyFont="1" applyFill="1" applyBorder="1" applyAlignment="1" applyProtection="1">
      <alignment/>
      <protection hidden="1"/>
    </xf>
    <xf numFmtId="0" fontId="4" fillId="0" borderId="0" xfId="0" applyFont="1" applyAlignment="1">
      <alignment/>
    </xf>
    <xf numFmtId="182" fontId="4" fillId="0" borderId="0" xfId="36" applyNumberFormat="1" applyFont="1" applyFill="1" applyBorder="1" applyAlignment="1" applyProtection="1">
      <alignment/>
      <protection hidden="1"/>
    </xf>
    <xf numFmtId="0" fontId="4" fillId="0" borderId="13" xfId="0" applyFont="1" applyBorder="1" applyAlignment="1" applyProtection="1">
      <alignment/>
      <protection/>
    </xf>
    <xf numFmtId="178" fontId="4" fillId="0" borderId="13" xfId="36" applyFont="1" applyFill="1" applyBorder="1" applyProtection="1">
      <alignment/>
      <protection locked="0"/>
    </xf>
    <xf numFmtId="0" fontId="4" fillId="0" borderId="5" xfId="0" applyFont="1" applyBorder="1" applyAlignment="1" applyProtection="1">
      <alignment horizontal="left" vertical="center"/>
      <protection/>
    </xf>
    <xf numFmtId="0" fontId="5" fillId="0" borderId="5" xfId="0" applyNumberFormat="1" applyFont="1" applyBorder="1" applyAlignment="1" applyProtection="1">
      <alignment vertical="center"/>
      <protection/>
    </xf>
    <xf numFmtId="0" fontId="16" fillId="0" borderId="5" xfId="0" applyNumberFormat="1" applyFont="1" applyBorder="1" applyAlignment="1" applyProtection="1">
      <alignment vertical="center"/>
      <protection/>
    </xf>
    <xf numFmtId="0" fontId="5" fillId="0" borderId="0" xfId="0" applyFont="1" applyFill="1" applyBorder="1" applyAlignment="1" applyProtection="1">
      <alignment horizontal="right" vertical="top"/>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vertical="center"/>
      <protection/>
    </xf>
    <xf numFmtId="0" fontId="5" fillId="0" borderId="0" xfId="0" applyNumberFormat="1" applyFont="1" applyBorder="1" applyAlignment="1" applyProtection="1">
      <alignment horizontal="left" wrapText="1"/>
      <protection/>
    </xf>
    <xf numFmtId="170" fontId="4" fillId="0" borderId="0" xfId="0" applyNumberFormat="1" applyFont="1" applyAlignment="1" applyProtection="1">
      <alignment horizontal="left"/>
      <protection/>
    </xf>
    <xf numFmtId="0" fontId="5" fillId="3" borderId="3" xfId="0" applyFont="1" applyFill="1" applyBorder="1" applyAlignment="1" applyProtection="1">
      <alignment vertical="center"/>
      <protection/>
    </xf>
    <xf numFmtId="177" fontId="4" fillId="0" borderId="61" xfId="36" applyNumberFormat="1" applyFont="1" applyFill="1" applyBorder="1" applyProtection="1">
      <alignment/>
      <protection locked="0"/>
    </xf>
    <xf numFmtId="177" fontId="4" fillId="0" borderId="39" xfId="36" applyNumberFormat="1" applyFont="1" applyFill="1" applyBorder="1" applyProtection="1">
      <alignment/>
      <protection locked="0"/>
    </xf>
    <xf numFmtId="177" fontId="4" fillId="0" borderId="23" xfId="36" applyNumberFormat="1" applyFont="1" applyFill="1" applyBorder="1" applyProtection="1">
      <alignment/>
      <protection locked="0"/>
    </xf>
    <xf numFmtId="177" fontId="4" fillId="0" borderId="17" xfId="36" applyNumberFormat="1" applyFont="1" applyFill="1" applyBorder="1" applyProtection="1">
      <alignment/>
      <protection locked="0"/>
    </xf>
    <xf numFmtId="0" fontId="5" fillId="0" borderId="0" xfId="0" applyFont="1" applyBorder="1" applyAlignment="1" applyProtection="1">
      <alignment horizontal="center" vertical="center"/>
      <protection/>
    </xf>
    <xf numFmtId="185" fontId="4" fillId="0" borderId="25" xfId="38" applyFont="1" applyBorder="1" applyProtection="1">
      <alignment/>
      <protection/>
    </xf>
    <xf numFmtId="185" fontId="4" fillId="0" borderId="12" xfId="38" applyFont="1" applyFill="1" applyBorder="1" applyProtection="1">
      <alignment/>
      <protection locked="0"/>
    </xf>
    <xf numFmtId="185" fontId="4" fillId="0" borderId="13" xfId="38" applyFont="1" applyBorder="1" applyProtection="1">
      <alignment/>
      <protection/>
    </xf>
    <xf numFmtId="185" fontId="4" fillId="0" borderId="25" xfId="38" applyFont="1" applyBorder="1" applyAlignment="1" applyProtection="1">
      <alignment/>
      <protection/>
    </xf>
    <xf numFmtId="0" fontId="4" fillId="0" borderId="0" xfId="0" applyFont="1" applyAlignment="1" applyProtection="1">
      <alignment/>
      <protection hidden="1"/>
    </xf>
    <xf numFmtId="3" fontId="4" fillId="0" borderId="23" xfId="36" applyNumberFormat="1" applyFont="1" applyFill="1" applyBorder="1" applyProtection="1">
      <alignment/>
      <protection locked="0"/>
    </xf>
    <xf numFmtId="3" fontId="4" fillId="0" borderId="24" xfId="36" applyNumberFormat="1" applyFont="1" applyFill="1" applyBorder="1" applyProtection="1">
      <alignment/>
      <protection locked="0"/>
    </xf>
    <xf numFmtId="0" fontId="4" fillId="0" borderId="0" xfId="0" applyFont="1" applyAlignment="1" applyProtection="1">
      <alignment horizontal="left" vertical="top" wrapText="1"/>
      <protection hidden="1"/>
    </xf>
    <xf numFmtId="171" fontId="4" fillId="0" borderId="23" xfId="36" applyNumberFormat="1" applyFont="1" applyFill="1" applyBorder="1" applyProtection="1">
      <alignment/>
      <protection locked="0"/>
    </xf>
    <xf numFmtId="171" fontId="4" fillId="0" borderId="23" xfId="36" applyNumberFormat="1" applyFont="1" applyFill="1" applyBorder="1" applyProtection="1">
      <alignment/>
      <protection/>
    </xf>
    <xf numFmtId="171" fontId="4" fillId="0" borderId="0" xfId="0" applyNumberFormat="1" applyFont="1" applyAlignment="1" applyProtection="1">
      <alignment/>
      <protection/>
    </xf>
    <xf numFmtId="171" fontId="4" fillId="0" borderId="0" xfId="0" applyNumberFormat="1" applyFont="1" applyBorder="1" applyAlignment="1" applyProtection="1">
      <alignment/>
      <protection/>
    </xf>
    <xf numFmtId="171" fontId="4" fillId="0" borderId="23" xfId="38" applyNumberFormat="1" applyFont="1" applyFill="1" applyBorder="1" applyProtection="1">
      <alignment/>
      <protection locked="0"/>
    </xf>
    <xf numFmtId="171" fontId="5" fillId="0" borderId="0" xfId="0" applyNumberFormat="1" applyFont="1" applyAlignment="1" applyProtection="1">
      <alignment/>
      <protection/>
    </xf>
    <xf numFmtId="171" fontId="2" fillId="0" borderId="17" xfId="36" applyNumberFormat="1" applyFont="1" applyFill="1" applyBorder="1" applyAlignment="1" applyProtection="1">
      <alignment horizontal="right"/>
      <protection/>
    </xf>
    <xf numFmtId="0" fontId="2" fillId="0" borderId="0" xfId="0" applyFont="1" applyAlignment="1" applyProtection="1">
      <alignment horizontal="right" vertical="center"/>
      <protection/>
    </xf>
    <xf numFmtId="0" fontId="16" fillId="0" borderId="0" xfId="0" applyNumberFormat="1" applyFont="1" applyBorder="1" applyAlignment="1" applyProtection="1">
      <alignment vertical="center"/>
      <protection/>
    </xf>
    <xf numFmtId="173" fontId="4" fillId="0" borderId="23" xfId="0" applyNumberFormat="1" applyFont="1" applyFill="1" applyBorder="1" applyAlignment="1" applyProtection="1">
      <alignment horizontal="right"/>
      <protection locked="0"/>
    </xf>
    <xf numFmtId="0" fontId="4" fillId="0" borderId="5" xfId="0" applyNumberFormat="1" applyFont="1" applyBorder="1" applyAlignment="1" applyProtection="1">
      <alignment vertical="center"/>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37" fontId="4" fillId="0" borderId="0" xfId="0" applyNumberFormat="1" applyFont="1" applyAlignment="1" applyProtection="1">
      <alignment horizontal="center"/>
      <protection hidden="1"/>
    </xf>
    <xf numFmtId="37" fontId="15" fillId="0" borderId="0" xfId="0" applyNumberFormat="1" applyFont="1" applyAlignment="1" applyProtection="1">
      <alignment/>
      <protection hidden="1"/>
    </xf>
    <xf numFmtId="0" fontId="15" fillId="0" borderId="0" xfId="0" applyFont="1" applyAlignment="1" applyProtection="1">
      <alignment/>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protection hidden="1"/>
    </xf>
    <xf numFmtId="0" fontId="5" fillId="0" borderId="0" xfId="0" applyNumberFormat="1"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189"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left" vertical="center"/>
      <protection hidden="1"/>
    </xf>
    <xf numFmtId="0" fontId="5" fillId="0" borderId="5" xfId="0" applyNumberFormat="1" applyFont="1" applyBorder="1" applyAlignment="1" applyProtection="1">
      <alignment vertical="center"/>
      <protection hidden="1"/>
    </xf>
    <xf numFmtId="0" fontId="16" fillId="0" borderId="5" xfId="0" applyNumberFormat="1" applyFont="1" applyBorder="1" applyAlignment="1" applyProtection="1">
      <alignment vertical="center"/>
      <protection hidden="1"/>
    </xf>
    <xf numFmtId="0" fontId="15" fillId="0" borderId="5" xfId="0" applyFont="1" applyBorder="1" applyAlignment="1" applyProtection="1">
      <alignment vertical="center"/>
      <protection hidden="1"/>
    </xf>
    <xf numFmtId="2" fontId="4" fillId="0" borderId="0" xfId="0" applyNumberFormat="1" applyFont="1" applyAlignment="1" applyProtection="1">
      <alignment horizontal="left"/>
      <protection hidden="1"/>
    </xf>
    <xf numFmtId="0" fontId="14" fillId="0" borderId="0" xfId="32" applyFont="1" applyBorder="1" applyAlignment="1" applyProtection="1">
      <alignment horizontal="left"/>
      <protection hidden="1"/>
    </xf>
    <xf numFmtId="37" fontId="5" fillId="0" borderId="0" xfId="0" applyNumberFormat="1" applyFont="1" applyBorder="1" applyAlignment="1" applyProtection="1">
      <alignment horizontal="center"/>
      <protection hidden="1"/>
    </xf>
    <xf numFmtId="0" fontId="5" fillId="0" borderId="0" xfId="32" applyFont="1" applyBorder="1" applyAlignment="1" applyProtection="1">
      <alignment horizontal="left"/>
      <protection hidden="1"/>
    </xf>
    <xf numFmtId="37" fontId="5" fillId="3" borderId="16" xfId="0" applyNumberFormat="1" applyFont="1" applyFill="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0" fontId="5" fillId="0" borderId="0" xfId="0" applyNumberFormat="1" applyFont="1" applyFill="1" applyBorder="1" applyAlignment="1" applyProtection="1">
      <alignment vertical="center"/>
      <protection hidden="1"/>
    </xf>
    <xf numFmtId="0" fontId="4" fillId="0" borderId="0" xfId="0" applyNumberFormat="1" applyFont="1" applyAlignment="1" applyProtection="1">
      <alignment horizontal="right"/>
      <protection hidden="1"/>
    </xf>
    <xf numFmtId="37" fontId="4" fillId="0" borderId="17" xfId="0" applyNumberFormat="1" applyFont="1" applyFill="1" applyBorder="1" applyAlignment="1" applyProtection="1">
      <alignment/>
      <protection hidden="1"/>
    </xf>
    <xf numFmtId="0" fontId="4" fillId="0" borderId="0" xfId="0" applyNumberFormat="1" applyFont="1" applyAlignment="1" applyProtection="1">
      <alignment/>
      <protection hidden="1"/>
    </xf>
    <xf numFmtId="37" fontId="5" fillId="3" borderId="21" xfId="0" applyNumberFormat="1" applyFont="1" applyFill="1" applyBorder="1" applyAlignment="1" applyProtection="1">
      <alignment horizontal="right" vertical="center"/>
      <protection hidden="1"/>
    </xf>
    <xf numFmtId="37" fontId="5" fillId="3" borderId="51" xfId="0" applyNumberFormat="1" applyFont="1" applyFill="1" applyBorder="1" applyAlignment="1" applyProtection="1">
      <alignment horizontal="left" vertical="center"/>
      <protection hidden="1"/>
    </xf>
    <xf numFmtId="37" fontId="5" fillId="3" borderId="6" xfId="0" applyNumberFormat="1" applyFont="1" applyFill="1" applyBorder="1" applyAlignment="1" applyProtection="1">
      <alignment horizontal="left" vertical="center"/>
      <protection hidden="1"/>
    </xf>
    <xf numFmtId="37" fontId="5" fillId="3" borderId="22" xfId="0" applyNumberFormat="1" applyFont="1" applyFill="1" applyBorder="1" applyAlignment="1" applyProtection="1">
      <alignment horizontal="left" vertical="center"/>
      <protection hidden="1"/>
    </xf>
    <xf numFmtId="37" fontId="5" fillId="3" borderId="14" xfId="0" applyNumberFormat="1" applyFont="1" applyFill="1" applyBorder="1" applyAlignment="1" applyProtection="1">
      <alignment horizontal="right" vertical="center"/>
      <protection hidden="1"/>
    </xf>
    <xf numFmtId="37" fontId="4" fillId="0" borderId="13" xfId="0" applyNumberFormat="1" applyFont="1" applyFill="1" applyBorder="1" applyAlignment="1" applyProtection="1">
      <alignment/>
      <protection hidden="1"/>
    </xf>
    <xf numFmtId="0" fontId="14" fillId="0" borderId="17" xfId="0" applyFont="1" applyFill="1" applyBorder="1" applyAlignment="1" applyProtection="1">
      <alignment horizontal="right"/>
      <protection hidden="1"/>
    </xf>
    <xf numFmtId="37" fontId="5" fillId="0" borderId="17" xfId="0" applyNumberFormat="1" applyFont="1" applyFill="1" applyBorder="1" applyAlignment="1" applyProtection="1">
      <alignment horizontal="left"/>
      <protection hidden="1"/>
    </xf>
    <xf numFmtId="37" fontId="4" fillId="0" borderId="17" xfId="0" applyNumberFormat="1" applyFont="1" applyFill="1" applyBorder="1" applyAlignment="1" applyProtection="1">
      <alignment/>
      <protection hidden="1" locked="0"/>
    </xf>
    <xf numFmtId="0" fontId="4" fillId="0" borderId="0" xfId="0" applyFont="1" applyBorder="1" applyAlignment="1" applyProtection="1">
      <alignment/>
      <protection hidden="1"/>
    </xf>
    <xf numFmtId="0" fontId="4" fillId="3" borderId="7" xfId="0" applyFont="1" applyFill="1" applyBorder="1" applyAlignment="1" applyProtection="1">
      <alignment vertical="center"/>
      <protection hidden="1"/>
    </xf>
    <xf numFmtId="197" fontId="4" fillId="0" borderId="0" xfId="0" applyNumberFormat="1" applyFont="1" applyFill="1" applyBorder="1" applyAlignment="1" applyProtection="1">
      <alignment/>
      <protection hidden="1"/>
    </xf>
    <xf numFmtId="0" fontId="4" fillId="0" borderId="17" xfId="0" applyFont="1" applyBorder="1" applyAlignment="1" applyProtection="1">
      <alignment/>
      <protection hidden="1"/>
    </xf>
    <xf numFmtId="178" fontId="4" fillId="0" borderId="13" xfId="36" applyFont="1" applyFill="1" applyBorder="1" applyProtection="1">
      <alignment/>
      <protection hidden="1"/>
    </xf>
    <xf numFmtId="0" fontId="4" fillId="0" borderId="13" xfId="0" applyFont="1" applyBorder="1" applyAlignment="1" applyProtection="1">
      <alignment/>
      <protection hidden="1"/>
    </xf>
    <xf numFmtId="178" fontId="4" fillId="0" borderId="32" xfId="36" applyFont="1" applyFill="1" applyBorder="1" applyProtection="1">
      <alignment/>
      <protection hidden="1"/>
    </xf>
    <xf numFmtId="0" fontId="4" fillId="0" borderId="17" xfId="0" applyFont="1" applyBorder="1" applyAlignment="1" applyProtection="1">
      <alignment horizontal="left"/>
      <protection hidden="1"/>
    </xf>
    <xf numFmtId="0" fontId="5" fillId="0" borderId="0" xfId="0" applyFont="1" applyAlignment="1" applyProtection="1">
      <alignment/>
      <protection hidden="1"/>
    </xf>
    <xf numFmtId="198" fontId="4" fillId="0" borderId="23" xfId="0" applyNumberFormat="1" applyFont="1" applyBorder="1" applyAlignment="1" applyProtection="1">
      <alignment/>
      <protection hidden="1"/>
    </xf>
    <xf numFmtId="0" fontId="5" fillId="0" borderId="0" xfId="0" applyNumberFormat="1" applyFont="1" applyFill="1" applyBorder="1" applyAlignment="1" applyProtection="1">
      <alignment horizontal="left" wrapText="1"/>
      <protection hidden="1"/>
    </xf>
    <xf numFmtId="193" fontId="5" fillId="3" borderId="14" xfId="0" applyNumberFormat="1" applyFont="1" applyFill="1" applyBorder="1" applyAlignment="1" applyProtection="1">
      <alignment horizontal="right" vertical="center"/>
      <protection hidden="1"/>
    </xf>
    <xf numFmtId="0" fontId="5" fillId="3" borderId="22" xfId="0" applyFont="1" applyFill="1" applyBorder="1" applyAlignment="1" applyProtection="1">
      <alignment horizontal="right" vertical="center"/>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0" fontId="5" fillId="0" borderId="0" xfId="0" applyNumberFormat="1" applyFont="1" applyAlignment="1" applyProtection="1">
      <alignment/>
      <protection hidden="1"/>
    </xf>
    <xf numFmtId="170" fontId="4" fillId="0" borderId="0" xfId="0" applyNumberFormat="1" applyFont="1" applyFill="1" applyBorder="1" applyAlignment="1" applyProtection="1">
      <alignment horizontal="left"/>
      <protection hidden="1"/>
    </xf>
    <xf numFmtId="178" fontId="4" fillId="0" borderId="0" xfId="36" applyFont="1" applyFill="1" applyBorder="1" applyProtection="1">
      <alignment/>
      <protection hidden="1"/>
    </xf>
    <xf numFmtId="37"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horizontal="left"/>
      <protection hidden="1"/>
    </xf>
    <xf numFmtId="0" fontId="5" fillId="3" borderId="3" xfId="0" applyFont="1" applyFill="1" applyBorder="1" applyAlignment="1" applyProtection="1">
      <alignment vertical="center"/>
      <protection hidden="1"/>
    </xf>
    <xf numFmtId="37" fontId="5" fillId="3" borderId="2" xfId="0" applyNumberFormat="1" applyFont="1" applyFill="1" applyBorder="1" applyAlignment="1" applyProtection="1">
      <alignment horizontal="right" vertical="center"/>
      <protection hidden="1"/>
    </xf>
    <xf numFmtId="37" fontId="5" fillId="3" borderId="2" xfId="0" applyNumberFormat="1" applyFont="1" applyFill="1" applyBorder="1" applyAlignment="1" applyProtection="1">
      <alignment horizontal="left" vertical="center"/>
      <protection hidden="1"/>
    </xf>
    <xf numFmtId="193" fontId="5" fillId="3" borderId="2" xfId="0" applyNumberFormat="1" applyFont="1" applyFill="1" applyBorder="1" applyAlignment="1" applyProtection="1">
      <alignment horizontal="right" vertical="center"/>
      <protection hidden="1"/>
    </xf>
    <xf numFmtId="0" fontId="5" fillId="3" borderId="21" xfId="0" applyFont="1" applyFill="1" applyBorder="1" applyAlignment="1" applyProtection="1">
      <alignment horizontal="right" vertical="center"/>
      <protection hidden="1"/>
    </xf>
    <xf numFmtId="37" fontId="5" fillId="3" borderId="21" xfId="0" applyNumberFormat="1" applyFont="1" applyFill="1" applyBorder="1" applyAlignment="1" applyProtection="1">
      <alignment horizontal="left" vertical="center"/>
      <protection hidden="1"/>
    </xf>
    <xf numFmtId="0" fontId="5" fillId="0" borderId="0" xfId="0" applyFont="1" applyAlignment="1" applyProtection="1">
      <alignment vertical="center"/>
      <protection hidden="1"/>
    </xf>
    <xf numFmtId="0" fontId="4" fillId="0" borderId="34" xfId="0" applyFont="1" applyBorder="1" applyAlignment="1" applyProtection="1">
      <alignment vertical="center"/>
      <protection hidden="1"/>
    </xf>
    <xf numFmtId="0" fontId="5" fillId="3" borderId="33" xfId="0" applyFont="1" applyFill="1" applyBorder="1" applyAlignment="1" applyProtection="1">
      <alignment horizontal="left" vertical="center"/>
      <protection hidden="1"/>
    </xf>
    <xf numFmtId="0" fontId="5" fillId="3" borderId="14" xfId="0" applyFont="1" applyFill="1" applyBorder="1" applyAlignment="1" applyProtection="1">
      <alignment horizontal="left" vertical="center"/>
      <protection hidden="1"/>
    </xf>
    <xf numFmtId="0" fontId="4" fillId="0" borderId="34" xfId="0" applyFont="1" applyBorder="1" applyAlignment="1" applyProtection="1">
      <alignment/>
      <protection hidden="1"/>
    </xf>
    <xf numFmtId="0" fontId="5" fillId="3" borderId="21" xfId="0" applyFont="1" applyFill="1" applyBorder="1" applyAlignment="1" applyProtection="1">
      <alignment horizontal="left" vertical="center"/>
      <protection hidden="1"/>
    </xf>
    <xf numFmtId="193" fontId="5" fillId="3" borderId="21" xfId="0" applyNumberFormat="1" applyFont="1" applyFill="1" applyBorder="1" applyAlignment="1" applyProtection="1">
      <alignment horizontal="left" vertical="center"/>
      <protection hidden="1"/>
    </xf>
    <xf numFmtId="193" fontId="5" fillId="3" borderId="21" xfId="0" applyNumberFormat="1" applyFont="1" applyFill="1" applyBorder="1" applyAlignment="1" applyProtection="1">
      <alignment horizontal="right" vertical="center"/>
      <protection hidden="1"/>
    </xf>
    <xf numFmtId="193" fontId="5" fillId="3" borderId="14" xfId="0" applyNumberFormat="1" applyFont="1" applyFill="1" applyBorder="1" applyAlignment="1" applyProtection="1">
      <alignment horizontal="left" vertical="center"/>
      <protection hidden="1"/>
    </xf>
    <xf numFmtId="173" fontId="4" fillId="0" borderId="0" xfId="0" applyNumberFormat="1" applyFont="1" applyAlignment="1" applyProtection="1">
      <alignment/>
      <protection hidden="1"/>
    </xf>
    <xf numFmtId="0" fontId="3" fillId="0" borderId="5" xfId="0" applyNumberFormat="1" applyFont="1" applyBorder="1" applyAlignment="1" applyProtection="1">
      <alignment vertical="center"/>
      <protection hidden="1"/>
    </xf>
    <xf numFmtId="0" fontId="5" fillId="0" borderId="0" xfId="0" applyFont="1" applyBorder="1" applyAlignment="1" applyProtection="1">
      <alignment/>
      <protection hidden="1"/>
    </xf>
    <xf numFmtId="0" fontId="5" fillId="0" borderId="0" xfId="32" applyFont="1" applyProtection="1">
      <alignment/>
      <protection hidden="1"/>
    </xf>
    <xf numFmtId="0" fontId="4" fillId="0" borderId="0" xfId="0" applyFont="1" applyBorder="1" applyAlignment="1" applyProtection="1">
      <alignment horizontal="left"/>
      <protection hidden="1"/>
    </xf>
    <xf numFmtId="37" fontId="4" fillId="0" borderId="0" xfId="0" applyNumberFormat="1" applyFont="1" applyAlignment="1" applyProtection="1">
      <alignment/>
      <protection hidden="1"/>
    </xf>
    <xf numFmtId="178" fontId="5" fillId="0" borderId="17" xfId="36" applyFont="1" applyFill="1" applyBorder="1" applyAlignment="1" applyProtection="1">
      <alignment horizontal="right"/>
      <protection hidden="1"/>
    </xf>
    <xf numFmtId="37" fontId="4" fillId="0" borderId="0" xfId="0" applyNumberFormat="1" applyFont="1" applyBorder="1" applyAlignment="1" applyProtection="1">
      <alignment/>
      <protection hidden="1"/>
    </xf>
    <xf numFmtId="0" fontId="0" fillId="0" borderId="0" xfId="0" applyAlignment="1" applyProtection="1">
      <alignment/>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49" fontId="5" fillId="3" borderId="3"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protection hidden="1"/>
    </xf>
    <xf numFmtId="0" fontId="4" fillId="0" borderId="0" xfId="0" applyFont="1" applyFill="1" applyBorder="1" applyAlignment="1" applyProtection="1">
      <alignment/>
      <protection hidden="1"/>
    </xf>
    <xf numFmtId="37" fontId="4" fillId="0" borderId="0" xfId="0" applyNumberFormat="1" applyFont="1" applyBorder="1" applyAlignment="1" applyProtection="1">
      <alignment vertical="center"/>
      <protection hidden="1"/>
    </xf>
    <xf numFmtId="178" fontId="4" fillId="0" borderId="0" xfId="36" applyFont="1" applyBorder="1" applyProtection="1">
      <alignment/>
      <protection hidden="1"/>
    </xf>
    <xf numFmtId="178" fontId="5" fillId="0" borderId="0" xfId="39" applyFont="1" applyFill="1" applyBorder="1" applyProtection="1">
      <alignment/>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NumberFormat="1" applyFont="1" applyBorder="1" applyAlignment="1" applyProtection="1">
      <alignment/>
      <protection hidden="1"/>
    </xf>
    <xf numFmtId="37" fontId="5" fillId="3" borderId="16" xfId="0" applyNumberFormat="1" applyFont="1" applyFill="1" applyBorder="1" applyAlignment="1" applyProtection="1">
      <alignment horizontal="center" vertical="center"/>
      <protection hidden="1"/>
    </xf>
    <xf numFmtId="37" fontId="5" fillId="0" borderId="0" xfId="0" applyNumberFormat="1" applyFont="1" applyBorder="1" applyAlignment="1" applyProtection="1">
      <alignment/>
      <protection hidden="1"/>
    </xf>
    <xf numFmtId="37" fontId="4" fillId="0" borderId="12" xfId="0" applyNumberFormat="1" applyFont="1" applyFill="1" applyBorder="1" applyAlignment="1" applyProtection="1">
      <alignment/>
      <protection hidden="1"/>
    </xf>
    <xf numFmtId="0" fontId="5" fillId="3" borderId="51" xfId="0" applyFont="1" applyFill="1" applyBorder="1" applyAlignment="1" applyProtection="1">
      <alignment horizontal="right" vertical="center"/>
      <protection hidden="1"/>
    </xf>
    <xf numFmtId="37" fontId="5" fillId="3" borderId="5" xfId="0" applyNumberFormat="1" applyFont="1" applyFill="1" applyBorder="1" applyAlignment="1" applyProtection="1">
      <alignment horizontal="center" vertical="center"/>
      <protection hidden="1"/>
    </xf>
    <xf numFmtId="175" fontId="4" fillId="0" borderId="23" xfId="36" applyNumberFormat="1" applyFont="1" applyFill="1" applyBorder="1" applyAlignment="1" applyProtection="1">
      <alignment horizontal="center"/>
      <protection hidden="1"/>
    </xf>
    <xf numFmtId="0" fontId="4" fillId="0" borderId="13" xfId="0" applyFont="1" applyFill="1" applyBorder="1" applyAlignment="1" applyProtection="1">
      <alignment wrapText="1"/>
      <protection hidden="1"/>
    </xf>
    <xf numFmtId="0" fontId="4" fillId="0" borderId="32" xfId="0" applyFont="1" applyFill="1" applyBorder="1" applyAlignment="1" applyProtection="1">
      <alignment wrapText="1"/>
      <protection hidden="1"/>
    </xf>
    <xf numFmtId="0" fontId="4" fillId="0" borderId="32" xfId="0" applyFont="1" applyBorder="1" applyAlignment="1" applyProtection="1">
      <alignment/>
      <protection hidden="1"/>
    </xf>
    <xf numFmtId="0" fontId="4" fillId="0" borderId="12" xfId="0" applyFont="1" applyBorder="1" applyAlignment="1" applyProtection="1">
      <alignment/>
      <protection hidden="1"/>
    </xf>
    <xf numFmtId="0" fontId="5" fillId="0" borderId="0" xfId="0" applyNumberFormat="1" applyFont="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5" fillId="3" borderId="14" xfId="0" applyNumberFormat="1" applyFont="1" applyFill="1" applyBorder="1" applyAlignment="1" applyProtection="1">
      <alignment horizontal="center" vertical="center"/>
      <protection hidden="1"/>
    </xf>
    <xf numFmtId="0" fontId="1" fillId="0" borderId="0" xfId="0" applyNumberFormat="1" applyFont="1" applyAlignment="1" applyProtection="1">
      <alignment/>
      <protection hidden="1"/>
    </xf>
    <xf numFmtId="3" fontId="4" fillId="0" borderId="0" xfId="0" applyNumberFormat="1" applyFont="1" applyAlignment="1" applyProtection="1">
      <alignment/>
      <protection hidden="1"/>
    </xf>
    <xf numFmtId="3" fontId="3" fillId="3" borderId="50" xfId="0" applyNumberFormat="1" applyFont="1" applyFill="1" applyBorder="1" applyAlignment="1" applyProtection="1">
      <alignment horizontal="left" vertical="center"/>
      <protection hidden="1"/>
    </xf>
    <xf numFmtId="3" fontId="3" fillId="3" borderId="50" xfId="0" applyNumberFormat="1" applyFont="1" applyFill="1" applyBorder="1" applyAlignment="1" applyProtection="1">
      <alignment horizontal="right" vertical="center"/>
      <protection hidden="1"/>
    </xf>
    <xf numFmtId="3" fontId="3" fillId="3" borderId="51" xfId="0" applyNumberFormat="1" applyFont="1" applyFill="1" applyBorder="1" applyAlignment="1" applyProtection="1">
      <alignment horizontal="center" vertical="center"/>
      <protection hidden="1"/>
    </xf>
    <xf numFmtId="3" fontId="3" fillId="3" borderId="51" xfId="0" applyNumberFormat="1" applyFont="1" applyFill="1" applyBorder="1" applyAlignment="1" applyProtection="1">
      <alignment horizontal="right" vertical="center"/>
      <protection hidden="1"/>
    </xf>
    <xf numFmtId="3" fontId="5" fillId="0" borderId="0" xfId="0" applyNumberFormat="1" applyFont="1" applyAlignment="1" applyProtection="1">
      <alignment/>
      <protection hidden="1"/>
    </xf>
    <xf numFmtId="0" fontId="4" fillId="3" borderId="5" xfId="0" applyFont="1" applyFill="1" applyBorder="1" applyAlignment="1" applyProtection="1">
      <alignment horizontal="left"/>
      <protection hidden="1"/>
    </xf>
    <xf numFmtId="0" fontId="3" fillId="0" borderId="0" xfId="0" applyFont="1" applyBorder="1" applyAlignment="1" applyProtection="1">
      <alignment/>
      <protection hidden="1"/>
    </xf>
    <xf numFmtId="0" fontId="0" fillId="0" borderId="0" xfId="0" applyBorder="1" applyAlignment="1" applyProtection="1">
      <alignment/>
      <protection locked="0"/>
    </xf>
    <xf numFmtId="0" fontId="1" fillId="0" borderId="0" xfId="0" applyNumberFormat="1" applyFont="1" applyBorder="1" applyAlignment="1" applyProtection="1">
      <alignment/>
      <protection locked="0"/>
    </xf>
    <xf numFmtId="0" fontId="0" fillId="0" borderId="0" xfId="0" applyBorder="1" applyAlignment="1" applyProtection="1">
      <alignment/>
      <protection locked="0"/>
    </xf>
    <xf numFmtId="0" fontId="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186" fontId="4" fillId="0" borderId="23" xfId="38" applyNumberFormat="1" applyFont="1" applyFill="1" applyBorder="1" applyProtection="1">
      <alignment/>
      <protection locked="0"/>
    </xf>
    <xf numFmtId="3" fontId="4" fillId="0" borderId="17" xfId="36" applyNumberFormat="1" applyFont="1" applyFill="1" applyBorder="1" applyProtection="1">
      <alignment/>
      <protection locked="0"/>
    </xf>
    <xf numFmtId="0" fontId="3" fillId="0" borderId="5" xfId="0" applyFont="1" applyBorder="1" applyAlignment="1" applyProtection="1">
      <alignment vertical="center"/>
      <protection hidden="1"/>
    </xf>
    <xf numFmtId="0" fontId="3" fillId="0" borderId="5"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7" fillId="0" borderId="0" xfId="0" applyFont="1" applyAlignment="1" applyProtection="1">
      <alignment/>
      <protection hidden="1"/>
    </xf>
    <xf numFmtId="0" fontId="17" fillId="0" borderId="0" xfId="0" applyFont="1" applyAlignment="1" applyProtection="1">
      <alignment/>
      <protection hidden="1"/>
    </xf>
    <xf numFmtId="0" fontId="18" fillId="0" borderId="5" xfId="0" applyFont="1" applyBorder="1" applyAlignment="1" applyProtection="1">
      <alignment/>
      <protection hidden="1"/>
    </xf>
    <xf numFmtId="0" fontId="18" fillId="0" borderId="5" xfId="0" applyFont="1" applyBorder="1" applyAlignment="1" applyProtection="1">
      <alignment horizontal="left"/>
      <protection hidden="1"/>
    </xf>
    <xf numFmtId="0" fontId="0" fillId="0" borderId="5" xfId="0" applyBorder="1" applyAlignment="1" applyProtection="1">
      <alignment vertical="center"/>
      <protection hidden="1"/>
    </xf>
    <xf numFmtId="37" fontId="0" fillId="0" borderId="5" xfId="0" applyNumberFormat="1" applyBorder="1" applyAlignment="1" applyProtection="1">
      <alignment/>
      <protection hidden="1"/>
    </xf>
    <xf numFmtId="0" fontId="0" fillId="0" borderId="5" xfId="0" applyBorder="1" applyAlignment="1" applyProtection="1">
      <alignment/>
      <protection hidden="1"/>
    </xf>
    <xf numFmtId="0" fontId="0" fillId="0" borderId="5" xfId="0" applyBorder="1" applyAlignment="1" applyProtection="1">
      <alignment/>
      <protection hidden="1"/>
    </xf>
    <xf numFmtId="0" fontId="11" fillId="0" borderId="5" xfId="0" applyFont="1" applyBorder="1" applyAlignment="1" applyProtection="1">
      <alignment/>
      <protection hidden="1"/>
    </xf>
    <xf numFmtId="0" fontId="0" fillId="0" borderId="0" xfId="0" applyBorder="1" applyAlignment="1" applyProtection="1">
      <alignment/>
      <protection hidden="1"/>
    </xf>
    <xf numFmtId="0" fontId="4" fillId="0" borderId="35" xfId="0" applyFont="1" applyBorder="1" applyAlignment="1" applyProtection="1">
      <alignment/>
      <protection hidden="1"/>
    </xf>
    <xf numFmtId="0" fontId="5" fillId="0" borderId="0" xfId="0" applyFont="1" applyBorder="1" applyAlignment="1" applyProtection="1">
      <alignment horizontal="center" wrapText="1"/>
      <protection hidden="1"/>
    </xf>
    <xf numFmtId="0" fontId="4" fillId="0" borderId="13" xfId="0" applyFont="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9" fontId="4" fillId="0" borderId="0" xfId="0" applyNumberFormat="1" applyFont="1" applyAlignment="1" applyProtection="1">
      <alignment horizontal="right"/>
      <protection/>
    </xf>
    <xf numFmtId="49" fontId="5" fillId="0" borderId="0" xfId="0" applyNumberFormat="1" applyFont="1" applyAlignment="1" applyProtection="1">
      <alignment horizontal="right"/>
      <protection/>
    </xf>
    <xf numFmtId="49" fontId="4" fillId="0" borderId="0" xfId="0" applyNumberFormat="1" applyFont="1" applyAlignment="1" applyProtection="1">
      <alignment horizontal="right"/>
      <protection locked="0"/>
    </xf>
    <xf numFmtId="49" fontId="4" fillId="0" borderId="0" xfId="0" applyNumberFormat="1" applyFont="1" applyAlignment="1" applyProtection="1">
      <alignment horizontal="justify"/>
      <protection locked="0"/>
    </xf>
    <xf numFmtId="49" fontId="0" fillId="0" borderId="0" xfId="0" applyNumberFormat="1" applyFont="1" applyAlignment="1" applyProtection="1">
      <alignment horizontal="justify"/>
      <protection locked="0"/>
    </xf>
    <xf numFmtId="49" fontId="4" fillId="0" borderId="0" xfId="0" applyNumberFormat="1" applyFont="1" applyAlignment="1" applyProtection="1">
      <alignment/>
      <protection locked="0"/>
    </xf>
    <xf numFmtId="49" fontId="4" fillId="0" borderId="0" xfId="0" applyNumberFormat="1" applyFont="1" applyAlignment="1" applyProtection="1">
      <alignment wrapText="1"/>
      <protection locked="0"/>
    </xf>
    <xf numFmtId="0" fontId="11" fillId="0" borderId="59" xfId="0" applyFont="1" applyBorder="1" applyAlignment="1" applyProtection="1">
      <alignment vertical="top" wrapText="1"/>
      <protection hidden="1" locked="0"/>
    </xf>
    <xf numFmtId="0" fontId="5" fillId="3" borderId="23" xfId="0" applyNumberFormat="1" applyFont="1" applyFill="1" applyBorder="1" applyAlignment="1" applyProtection="1">
      <alignment horizontal="left"/>
      <protection hidden="1"/>
    </xf>
    <xf numFmtId="37" fontId="5" fillId="3" borderId="25" xfId="0" applyNumberFormat="1" applyFont="1" applyFill="1" applyBorder="1" applyAlignment="1" applyProtection="1">
      <alignment/>
      <protection hidden="1"/>
    </xf>
    <xf numFmtId="37" fontId="5" fillId="3" borderId="17" xfId="0" applyNumberFormat="1" applyFont="1" applyFill="1" applyBorder="1" applyAlignment="1" applyProtection="1">
      <alignment/>
      <protection hidden="1"/>
    </xf>
    <xf numFmtId="178" fontId="4" fillId="0" borderId="24" xfId="36" applyFont="1" applyFill="1" applyBorder="1" applyProtection="1">
      <alignment/>
      <protection locked="0"/>
    </xf>
    <xf numFmtId="178" fontId="4" fillId="0" borderId="24" xfId="36" applyFont="1" applyFill="1" applyBorder="1" applyProtection="1">
      <alignment/>
      <protection/>
    </xf>
    <xf numFmtId="178" fontId="5" fillId="3" borderId="23" xfId="39" applyFont="1" applyFill="1" applyBorder="1" applyProtection="1">
      <alignment/>
      <protection/>
    </xf>
    <xf numFmtId="187" fontId="4" fillId="3" borderId="23" xfId="38" applyNumberFormat="1" applyFont="1" applyFill="1" applyBorder="1" applyAlignment="1" applyProtection="1">
      <alignment/>
      <protection/>
    </xf>
    <xf numFmtId="0" fontId="5" fillId="3" borderId="23" xfId="0" applyNumberFormat="1" applyFont="1" applyFill="1" applyBorder="1" applyAlignment="1" applyProtection="1">
      <alignment horizontal="left"/>
      <protection/>
    </xf>
    <xf numFmtId="37" fontId="5" fillId="3" borderId="13" xfId="0" applyNumberFormat="1" applyFont="1" applyFill="1" applyBorder="1" applyAlignment="1" applyProtection="1">
      <alignment/>
      <protection hidden="1"/>
    </xf>
    <xf numFmtId="178" fontId="5" fillId="3" borderId="13" xfId="39" applyFont="1" applyFill="1" applyBorder="1" applyAlignment="1" applyProtection="1">
      <alignment horizontal="right"/>
      <protection/>
    </xf>
    <xf numFmtId="178" fontId="5" fillId="3" borderId="17" xfId="39" applyFont="1" applyFill="1" applyBorder="1" applyAlignment="1" applyProtection="1">
      <alignment horizontal="right"/>
      <protection/>
    </xf>
    <xf numFmtId="37" fontId="5" fillId="3" borderId="25" xfId="0" applyNumberFormat="1" applyFont="1" applyFill="1" applyBorder="1" applyAlignment="1" applyProtection="1">
      <alignment/>
      <protection/>
    </xf>
    <xf numFmtId="37" fontId="5" fillId="3" borderId="17" xfId="0" applyNumberFormat="1" applyFont="1" applyFill="1" applyBorder="1" applyAlignment="1" applyProtection="1">
      <alignment/>
      <protection/>
    </xf>
    <xf numFmtId="0" fontId="5" fillId="3" borderId="23" xfId="0" applyFont="1" applyFill="1" applyBorder="1" applyAlignment="1" applyProtection="1">
      <alignment horizontal="left"/>
      <protection hidden="1"/>
    </xf>
    <xf numFmtId="0" fontId="4" fillId="3" borderId="25" xfId="0" applyFont="1" applyFill="1" applyBorder="1" applyAlignment="1" applyProtection="1">
      <alignment/>
      <protection hidden="1"/>
    </xf>
    <xf numFmtId="0" fontId="5" fillId="3" borderId="25" xfId="0" applyFont="1" applyFill="1" applyBorder="1" applyAlignment="1" applyProtection="1">
      <alignment/>
      <protection hidden="1"/>
    </xf>
    <xf numFmtId="0" fontId="4" fillId="0" borderId="32" xfId="0" applyFont="1" applyFill="1" applyBorder="1" applyAlignment="1" applyProtection="1">
      <alignment/>
      <protection hidden="1"/>
    </xf>
    <xf numFmtId="0" fontId="4" fillId="0" borderId="26" xfId="0" applyFont="1" applyFill="1" applyBorder="1" applyAlignment="1" applyProtection="1">
      <alignment/>
      <protection hidden="1"/>
    </xf>
    <xf numFmtId="187" fontId="4" fillId="3" borderId="17" xfId="36" applyNumberFormat="1" applyFont="1" applyFill="1" applyBorder="1" applyAlignment="1" applyProtection="1">
      <alignment horizontal="left"/>
      <protection hidden="1"/>
    </xf>
    <xf numFmtId="178" fontId="4" fillId="0" borderId="32" xfId="36" applyFont="1" applyFill="1" applyBorder="1" applyProtection="1">
      <alignment/>
      <protection locked="0"/>
    </xf>
    <xf numFmtId="178" fontId="4" fillId="0" borderId="12" xfId="36" applyFont="1" applyFill="1" applyBorder="1" applyProtection="1">
      <alignment/>
      <protection locked="0"/>
    </xf>
    <xf numFmtId="187" fontId="4" fillId="3" borderId="13" xfId="36" applyNumberFormat="1" applyFont="1" applyFill="1" applyBorder="1" applyAlignment="1" applyProtection="1">
      <alignment horizontal="left"/>
      <protection hidden="1"/>
    </xf>
    <xf numFmtId="187" fontId="4" fillId="3" borderId="17" xfId="38" applyNumberFormat="1" applyFont="1" applyFill="1" applyBorder="1" applyAlignment="1" applyProtection="1">
      <alignment/>
      <protection hidden="1"/>
    </xf>
    <xf numFmtId="178" fontId="4" fillId="0" borderId="12" xfId="36" applyFont="1" applyFill="1" applyBorder="1" applyAlignment="1" applyProtection="1">
      <alignment/>
      <protection hidden="1"/>
    </xf>
    <xf numFmtId="0" fontId="4" fillId="3" borderId="13" xfId="0" applyFont="1" applyFill="1" applyBorder="1" applyAlignment="1" applyProtection="1">
      <alignment/>
      <protection hidden="1"/>
    </xf>
    <xf numFmtId="178" fontId="4" fillId="3" borderId="17" xfId="36" applyFont="1" applyFill="1" applyBorder="1" applyAlignment="1" applyProtection="1">
      <alignment/>
      <protection hidden="1"/>
    </xf>
    <xf numFmtId="178" fontId="5" fillId="3" borderId="23" xfId="39" applyFont="1" applyBorder="1" applyProtection="1">
      <alignment/>
      <protection/>
    </xf>
    <xf numFmtId="0" fontId="5" fillId="3" borderId="13" xfId="0" applyFont="1" applyFill="1" applyBorder="1" applyAlignment="1" applyProtection="1">
      <alignment/>
      <protection hidden="1"/>
    </xf>
    <xf numFmtId="0" fontId="5" fillId="3" borderId="24" xfId="0" applyNumberFormat="1" applyFont="1" applyFill="1" applyBorder="1" applyAlignment="1" applyProtection="1">
      <alignment horizontal="left"/>
      <protection hidden="1"/>
    </xf>
    <xf numFmtId="0" fontId="5" fillId="3" borderId="38" xfId="0" applyNumberFormat="1" applyFont="1" applyFill="1" applyBorder="1" applyAlignment="1" applyProtection="1">
      <alignment horizontal="left"/>
      <protection hidden="1"/>
    </xf>
    <xf numFmtId="0" fontId="4" fillId="3" borderId="17" xfId="0" applyFont="1" applyFill="1" applyBorder="1" applyAlignment="1" applyProtection="1">
      <alignment/>
      <protection hidden="1"/>
    </xf>
    <xf numFmtId="3" fontId="4" fillId="0" borderId="62" xfId="36" applyNumberFormat="1" applyFont="1" applyFill="1" applyBorder="1" applyProtection="1">
      <alignment/>
      <protection locked="0"/>
    </xf>
    <xf numFmtId="37" fontId="4" fillId="0" borderId="0"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37" fontId="4" fillId="3" borderId="13" xfId="0" applyNumberFormat="1" applyFont="1" applyFill="1" applyBorder="1" applyAlignment="1" applyProtection="1">
      <alignment/>
      <protection hidden="1"/>
    </xf>
    <xf numFmtId="187" fontId="4" fillId="3" borderId="17" xfId="38" applyNumberFormat="1" applyFont="1" applyFill="1" applyBorder="1" applyAlignment="1" applyProtection="1">
      <alignment/>
      <protection/>
    </xf>
    <xf numFmtId="37" fontId="20" fillId="0" borderId="12" xfId="0" applyNumberFormat="1" applyFont="1" applyFill="1" applyBorder="1" applyAlignment="1" applyProtection="1">
      <alignment/>
      <protection hidden="1"/>
    </xf>
    <xf numFmtId="0" fontId="4" fillId="3" borderId="23" xfId="0" applyFont="1" applyFill="1" applyBorder="1" applyAlignment="1" applyProtection="1">
      <alignment/>
      <protection/>
    </xf>
    <xf numFmtId="37" fontId="4" fillId="3" borderId="25" xfId="0" applyNumberFormat="1" applyFont="1" applyFill="1" applyBorder="1" applyAlignment="1" applyProtection="1">
      <alignment/>
      <protection hidden="1"/>
    </xf>
    <xf numFmtId="170" fontId="4" fillId="3" borderId="17" xfId="0" applyNumberFormat="1" applyFont="1" applyFill="1" applyBorder="1" applyAlignment="1" applyProtection="1">
      <alignment horizontal="left"/>
      <protection hidden="1"/>
    </xf>
    <xf numFmtId="185" fontId="4" fillId="0" borderId="24" xfId="38" applyFont="1" applyFill="1" applyBorder="1" applyProtection="1">
      <alignment/>
      <protection locked="0"/>
    </xf>
    <xf numFmtId="185" fontId="5" fillId="3" borderId="23" xfId="40" applyFont="1" applyBorder="1" applyProtection="1">
      <alignment/>
      <protection/>
    </xf>
    <xf numFmtId="179" fontId="5" fillId="3" borderId="23" xfId="39" applyNumberFormat="1" applyFont="1" applyBorder="1" applyProtection="1">
      <alignment/>
      <protection/>
    </xf>
    <xf numFmtId="170" fontId="5" fillId="3" borderId="13" xfId="0" applyNumberFormat="1" applyFont="1" applyFill="1" applyBorder="1" applyAlignment="1" applyProtection="1">
      <alignment horizontal="left"/>
      <protection hidden="1"/>
    </xf>
    <xf numFmtId="178" fontId="5" fillId="3" borderId="13" xfId="36" applyFont="1" applyFill="1" applyBorder="1" applyProtection="1">
      <alignment/>
      <protection hidden="1"/>
    </xf>
    <xf numFmtId="178" fontId="5" fillId="3" borderId="17" xfId="36" applyFont="1" applyFill="1" applyBorder="1" applyProtection="1">
      <alignment/>
      <protection hidden="1"/>
    </xf>
    <xf numFmtId="170" fontId="5" fillId="0" borderId="13" xfId="0" applyNumberFormat="1" applyFont="1" applyFill="1" applyBorder="1" applyAlignment="1" applyProtection="1">
      <alignment horizontal="left"/>
      <protection hidden="1"/>
    </xf>
    <xf numFmtId="178" fontId="5" fillId="0" borderId="13" xfId="36" applyFont="1" applyFill="1" applyBorder="1" applyProtection="1">
      <alignment/>
      <protection hidden="1"/>
    </xf>
    <xf numFmtId="178" fontId="5" fillId="0" borderId="17" xfId="36" applyFont="1" applyFill="1" applyBorder="1" applyProtection="1">
      <alignment/>
      <protection hidden="1"/>
    </xf>
    <xf numFmtId="178" fontId="4" fillId="0" borderId="62" xfId="36" applyFont="1" applyFill="1" applyBorder="1" applyProtection="1">
      <alignment/>
      <protection locked="0"/>
    </xf>
    <xf numFmtId="180" fontId="5" fillId="3" borderId="23" xfId="39" applyNumberFormat="1" applyFont="1" applyBorder="1" applyProtection="1">
      <alignment/>
      <protection/>
    </xf>
    <xf numFmtId="178" fontId="5" fillId="0" borderId="23" xfId="36" applyFont="1" applyFill="1" applyBorder="1" applyProtection="1">
      <alignment/>
      <protection/>
    </xf>
    <xf numFmtId="37" fontId="4" fillId="0" borderId="13" xfId="0" applyNumberFormat="1" applyFont="1" applyFill="1" applyBorder="1" applyAlignment="1" applyProtection="1">
      <alignment/>
      <protection hidden="1"/>
    </xf>
    <xf numFmtId="37" fontId="4" fillId="0" borderId="32" xfId="0" applyNumberFormat="1" applyFont="1" applyFill="1" applyBorder="1" applyAlignment="1" applyProtection="1">
      <alignment/>
      <protection hidden="1"/>
    </xf>
    <xf numFmtId="177" fontId="4" fillId="0" borderId="12" xfId="36" applyNumberFormat="1" applyFont="1" applyFill="1" applyBorder="1" applyProtection="1">
      <alignment/>
      <protection locked="0"/>
    </xf>
    <xf numFmtId="37" fontId="5" fillId="3" borderId="23" xfId="0" applyNumberFormat="1" applyFont="1" applyFill="1" applyBorder="1" applyAlignment="1" applyProtection="1">
      <alignment/>
      <protection hidden="1"/>
    </xf>
    <xf numFmtId="177" fontId="5" fillId="3" borderId="23" xfId="36" applyNumberFormat="1" applyFont="1" applyFill="1" applyBorder="1" applyProtection="1">
      <alignment/>
      <protection/>
    </xf>
    <xf numFmtId="177" fontId="5" fillId="3" borderId="23" xfId="39" applyNumberFormat="1" applyFont="1" applyBorder="1" applyProtection="1">
      <alignment/>
      <protection/>
    </xf>
    <xf numFmtId="171" fontId="5" fillId="3" borderId="23" xfId="0" applyNumberFormat="1" applyFont="1" applyFill="1" applyBorder="1" applyAlignment="1" applyProtection="1">
      <alignment/>
      <protection/>
    </xf>
    <xf numFmtId="183" fontId="4" fillId="0" borderId="17" xfId="0" applyNumberFormat="1" applyFont="1" applyFill="1" applyBorder="1" applyAlignment="1" applyProtection="1">
      <alignment horizontal="left"/>
      <protection locked="0"/>
    </xf>
    <xf numFmtId="183" fontId="4" fillId="0" borderId="12"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3" fontId="4" fillId="0" borderId="12" xfId="36" applyNumberFormat="1" applyFont="1" applyFill="1" applyBorder="1" applyProtection="1">
      <alignment/>
      <protection locked="0"/>
    </xf>
    <xf numFmtId="178" fontId="4" fillId="0" borderId="24" xfId="36" applyFont="1" applyBorder="1" applyProtection="1">
      <alignment/>
      <protection/>
    </xf>
    <xf numFmtId="178" fontId="5" fillId="3" borderId="23" xfId="39" applyFont="1" applyFill="1" applyBorder="1" applyProtection="1">
      <alignment/>
      <protection hidden="1"/>
    </xf>
    <xf numFmtId="178" fontId="5" fillId="3" borderId="23" xfId="36" applyFont="1" applyFill="1" applyBorder="1" applyProtection="1">
      <alignment/>
      <protection/>
    </xf>
    <xf numFmtId="171" fontId="5" fillId="3" borderId="23" xfId="39" applyNumberFormat="1" applyFont="1" applyBorder="1" applyProtection="1">
      <alignment/>
      <protection/>
    </xf>
    <xf numFmtId="178" fontId="5" fillId="3" borderId="23" xfId="36" applyFont="1" applyFill="1" applyBorder="1" applyProtection="1">
      <alignment/>
      <protection hidden="1"/>
    </xf>
    <xf numFmtId="193" fontId="5" fillId="3" borderId="23" xfId="0" applyNumberFormat="1" applyFont="1" applyFill="1" applyBorder="1" applyAlignment="1" applyProtection="1">
      <alignment horizontal="right" vertical="center"/>
      <protection hidden="1"/>
    </xf>
    <xf numFmtId="0" fontId="5" fillId="3" borderId="23" xfId="32" applyFont="1" applyFill="1" applyBorder="1" applyAlignment="1" applyProtection="1">
      <alignment horizontal="left"/>
      <protection hidden="1"/>
    </xf>
    <xf numFmtId="0" fontId="4" fillId="0" borderId="12" xfId="0" applyFont="1" applyFill="1" applyBorder="1" applyAlignment="1" applyProtection="1">
      <alignment/>
      <protection hidden="1"/>
    </xf>
    <xf numFmtId="0" fontId="5" fillId="3" borderId="25" xfId="32" applyFont="1" applyFill="1" applyBorder="1" applyProtection="1">
      <alignment/>
      <protection hidden="1"/>
    </xf>
    <xf numFmtId="37" fontId="5" fillId="3" borderId="17" xfId="0" applyNumberFormat="1" applyFont="1" applyFill="1" applyBorder="1" applyAlignment="1" applyProtection="1">
      <alignment/>
      <protection hidden="1"/>
    </xf>
    <xf numFmtId="178" fontId="4" fillId="0" borderId="24" xfId="36" applyFill="1" applyBorder="1" applyProtection="1">
      <alignment/>
      <protection/>
    </xf>
    <xf numFmtId="178" fontId="5" fillId="3" borderId="23" xfId="39" applyBorder="1" applyProtection="1">
      <alignment/>
      <protection/>
    </xf>
    <xf numFmtId="0" fontId="4" fillId="0" borderId="63" xfId="0" applyFont="1" applyFill="1" applyBorder="1" applyAlignment="1" applyProtection="1">
      <alignment horizontal="left" vertical="center"/>
      <protection hidden="1"/>
    </xf>
    <xf numFmtId="0" fontId="5" fillId="0" borderId="64" xfId="0" applyFont="1" applyFill="1" applyBorder="1" applyAlignment="1" applyProtection="1">
      <alignment horizontal="left" vertical="center"/>
      <protection hidden="1"/>
    </xf>
    <xf numFmtId="177" fontId="4" fillId="0" borderId="38" xfId="36" applyNumberFormat="1" applyFont="1" applyFill="1" applyBorder="1" applyProtection="1">
      <alignment/>
      <protection/>
    </xf>
    <xf numFmtId="177" fontId="4" fillId="0" borderId="61" xfId="36" applyNumberFormat="1" applyFont="1" applyFill="1" applyBorder="1" applyProtection="1">
      <alignment/>
      <protection/>
    </xf>
    <xf numFmtId="185" fontId="4" fillId="0" borderId="24" xfId="36" applyNumberFormat="1" applyFill="1" applyBorder="1" applyProtection="1">
      <alignment/>
      <protection/>
    </xf>
    <xf numFmtId="178" fontId="4" fillId="0" borderId="62" xfId="36" applyFill="1" applyBorder="1" applyProtection="1">
      <alignment/>
      <protection/>
    </xf>
    <xf numFmtId="0" fontId="5" fillId="3" borderId="23" xfId="32" applyFont="1" applyFill="1" applyBorder="1" applyProtection="1">
      <alignment/>
      <protection hidden="1"/>
    </xf>
    <xf numFmtId="178" fontId="5" fillId="3" borderId="23" xfId="39" applyFill="1" applyBorder="1" applyProtection="1">
      <alignment/>
      <protection/>
    </xf>
    <xf numFmtId="178" fontId="4" fillId="0" borderId="12" xfId="36" applyFont="1" applyFill="1" applyBorder="1" applyProtection="1">
      <alignment/>
      <protection hidden="1"/>
    </xf>
    <xf numFmtId="37" fontId="5" fillId="0" borderId="0" xfId="0" applyNumberFormat="1" applyFont="1" applyFill="1" applyBorder="1" applyAlignment="1" applyProtection="1">
      <alignment/>
      <protection hidden="1"/>
    </xf>
    <xf numFmtId="37" fontId="5" fillId="3" borderId="13" xfId="0" applyNumberFormat="1" applyFont="1" applyFill="1" applyBorder="1" applyAlignment="1" applyProtection="1">
      <alignment/>
      <protection hidden="1"/>
    </xf>
    <xf numFmtId="0" fontId="4" fillId="0" borderId="47" xfId="0" applyFont="1" applyFill="1" applyBorder="1" applyAlignment="1" applyProtection="1">
      <alignment/>
      <protection hidden="1"/>
    </xf>
    <xf numFmtId="178" fontId="4" fillId="0" borderId="31" xfId="36" applyFont="1" applyFill="1" applyBorder="1" applyProtection="1">
      <alignment/>
      <protection locked="0"/>
    </xf>
    <xf numFmtId="178" fontId="4" fillId="0" borderId="38" xfId="36" applyFont="1" applyBorder="1" applyProtection="1">
      <alignment/>
      <protection/>
    </xf>
    <xf numFmtId="49" fontId="5" fillId="3" borderId="13" xfId="0" applyNumberFormat="1" applyFont="1" applyFill="1" applyBorder="1" applyAlignment="1" applyProtection="1">
      <alignment horizontal="left"/>
      <protection/>
    </xf>
    <xf numFmtId="185" fontId="5" fillId="3" borderId="13" xfId="38" applyFont="1" applyFill="1" applyBorder="1" applyProtection="1">
      <alignment/>
      <protection/>
    </xf>
    <xf numFmtId="185" fontId="5" fillId="3" borderId="17" xfId="38" applyFont="1" applyFill="1" applyBorder="1" applyProtection="1">
      <alignment/>
      <protection/>
    </xf>
    <xf numFmtId="178" fontId="5" fillId="3" borderId="13" xfId="39" applyFont="1" applyFill="1" applyBorder="1" applyProtection="1">
      <alignment/>
      <protection hidden="1"/>
    </xf>
    <xf numFmtId="178" fontId="5" fillId="3" borderId="23" xfId="39" applyFont="1" applyFill="1" applyBorder="1" applyAlignment="1" applyProtection="1">
      <alignment/>
      <protection/>
    </xf>
    <xf numFmtId="166" fontId="5" fillId="3" borderId="23" xfId="0" applyNumberFormat="1" applyFont="1" applyFill="1" applyBorder="1" applyAlignment="1" applyProtection="1">
      <alignment horizontal="center"/>
      <protection/>
    </xf>
    <xf numFmtId="37" fontId="5" fillId="3" borderId="25" xfId="0" applyNumberFormat="1" applyFont="1" applyFill="1" applyBorder="1" applyAlignment="1" applyProtection="1">
      <alignment/>
      <protection hidden="1"/>
    </xf>
    <xf numFmtId="0" fontId="5" fillId="3" borderId="23" xfId="0" applyNumberFormat="1" applyFont="1" applyFill="1" applyBorder="1" applyAlignment="1" applyProtection="1">
      <alignment horizontal="left" wrapText="1"/>
      <protection hidden="1"/>
    </xf>
    <xf numFmtId="0" fontId="5" fillId="0" borderId="25" xfId="0" applyFont="1" applyFill="1" applyBorder="1" applyAlignment="1" applyProtection="1">
      <alignment/>
      <protection hidden="1"/>
    </xf>
    <xf numFmtId="0" fontId="5" fillId="0" borderId="13" xfId="0" applyFont="1" applyFill="1" applyBorder="1" applyAlignment="1" applyProtection="1">
      <alignment wrapText="1"/>
      <protection hidden="1"/>
    </xf>
    <xf numFmtId="178" fontId="5" fillId="3" borderId="23" xfId="39" applyFont="1" applyBorder="1" applyAlignment="1" applyProtection="1">
      <alignment/>
      <protection/>
    </xf>
    <xf numFmtId="167" fontId="4" fillId="0" borderId="24" xfId="0" applyNumberFormat="1" applyFont="1" applyFill="1" applyBorder="1" applyAlignment="1" applyProtection="1">
      <alignment horizontal="center"/>
      <protection/>
    </xf>
    <xf numFmtId="37" fontId="4" fillId="0" borderId="23" xfId="0" applyNumberFormat="1" applyFont="1" applyFill="1" applyBorder="1" applyAlignment="1" applyProtection="1">
      <alignment/>
      <protection hidden="1"/>
    </xf>
    <xf numFmtId="178" fontId="4" fillId="0" borderId="23" xfId="36" applyFont="1" applyBorder="1" applyAlignment="1" applyProtection="1">
      <alignment/>
      <protection/>
    </xf>
    <xf numFmtId="171" fontId="21" fillId="3" borderId="23" xfId="39" applyNumberFormat="1" applyFont="1" applyBorder="1" applyAlignment="1" applyProtection="1">
      <alignment/>
      <protection/>
    </xf>
    <xf numFmtId="171" fontId="5" fillId="3" borderId="23" xfId="39" applyNumberFormat="1" applyFont="1" applyBorder="1" applyAlignment="1" applyProtection="1">
      <alignment/>
      <protection/>
    </xf>
    <xf numFmtId="49" fontId="4" fillId="0" borderId="17" xfId="0" applyNumberFormat="1" applyFont="1" applyFill="1" applyBorder="1" applyAlignment="1" applyProtection="1">
      <alignment horizontal="left"/>
      <protection locked="0"/>
    </xf>
    <xf numFmtId="171" fontId="5" fillId="3" borderId="23" xfId="39" applyNumberFormat="1" applyBorder="1" applyProtection="1">
      <alignment/>
      <protection/>
    </xf>
    <xf numFmtId="171" fontId="4" fillId="3" borderId="23" xfId="0" applyNumberFormat="1" applyFont="1" applyFill="1" applyBorder="1" applyAlignment="1" applyProtection="1">
      <alignment horizontal="left"/>
      <protection/>
    </xf>
    <xf numFmtId="171" fontId="4" fillId="3" borderId="23" xfId="0" applyNumberFormat="1" applyFont="1" applyFill="1" applyBorder="1" applyAlignment="1" applyProtection="1">
      <alignment/>
      <protection/>
    </xf>
    <xf numFmtId="171" fontId="5" fillId="3" borderId="23" xfId="0" applyNumberFormat="1" applyFont="1" applyFill="1" applyBorder="1" applyAlignment="1" applyProtection="1">
      <alignment horizontal="left"/>
      <protection/>
    </xf>
    <xf numFmtId="0" fontId="3" fillId="3" borderId="23" xfId="0" applyNumberFormat="1" applyFont="1" applyFill="1" applyBorder="1" applyAlignment="1" applyProtection="1">
      <alignment horizontal="left"/>
      <protection hidden="1"/>
    </xf>
    <xf numFmtId="178" fontId="2" fillId="0" borderId="32" xfId="36" applyFont="1" applyFill="1" applyBorder="1" applyAlignment="1" applyProtection="1">
      <alignment horizontal="right"/>
      <protection/>
    </xf>
    <xf numFmtId="178" fontId="2" fillId="0" borderId="12" xfId="36" applyFont="1" applyFill="1" applyBorder="1" applyAlignment="1" applyProtection="1">
      <alignment horizontal="right"/>
      <protection/>
    </xf>
    <xf numFmtId="178" fontId="2" fillId="3" borderId="25" xfId="36" applyFont="1" applyFill="1" applyBorder="1" applyAlignment="1" applyProtection="1">
      <alignment horizontal="right"/>
      <protection/>
    </xf>
    <xf numFmtId="178" fontId="2" fillId="3" borderId="13" xfId="36" applyFont="1" applyFill="1" applyBorder="1" applyAlignment="1" applyProtection="1">
      <alignment horizontal="right"/>
      <protection/>
    </xf>
    <xf numFmtId="178" fontId="2" fillId="3" borderId="17" xfId="36" applyFont="1" applyFill="1" applyBorder="1" applyAlignment="1" applyProtection="1">
      <alignment horizontal="right"/>
      <protection/>
    </xf>
    <xf numFmtId="171" fontId="2" fillId="0" borderId="12" xfId="36" applyNumberFormat="1" applyFont="1" applyFill="1" applyBorder="1" applyAlignment="1" applyProtection="1">
      <alignment horizontal="right"/>
      <protection/>
    </xf>
    <xf numFmtId="0" fontId="4" fillId="0" borderId="17" xfId="0" applyFont="1" applyFill="1" applyBorder="1" applyAlignment="1" applyProtection="1">
      <alignment horizontal="left"/>
      <protection hidden="1"/>
    </xf>
    <xf numFmtId="185" fontId="4" fillId="0" borderId="24" xfId="38" applyNumberFormat="1" applyFont="1" applyFill="1" applyBorder="1" applyProtection="1">
      <alignment/>
      <protection locked="0"/>
    </xf>
    <xf numFmtId="185" fontId="4" fillId="0" borderId="24" xfId="38" applyNumberFormat="1" applyFont="1" applyFill="1" applyBorder="1" applyProtection="1">
      <alignment/>
      <protection/>
    </xf>
    <xf numFmtId="3" fontId="4" fillId="0" borderId="13" xfId="0" applyNumberFormat="1"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3" fontId="4" fillId="0" borderId="32" xfId="0" applyNumberFormat="1" applyFont="1" applyFill="1" applyBorder="1" applyAlignment="1" applyProtection="1">
      <alignment horizontal="left"/>
      <protection hidden="1"/>
    </xf>
    <xf numFmtId="0" fontId="4" fillId="0" borderId="32" xfId="0" applyFont="1" applyFill="1" applyBorder="1" applyAlignment="1" applyProtection="1">
      <alignment/>
      <protection/>
    </xf>
    <xf numFmtId="0" fontId="4" fillId="0" borderId="12" xfId="0" applyFont="1" applyFill="1" applyBorder="1" applyAlignment="1" applyProtection="1">
      <alignment/>
      <protection/>
    </xf>
    <xf numFmtId="0" fontId="5" fillId="3" borderId="13" xfId="0" applyFont="1" applyFill="1" applyBorder="1" applyAlignment="1" applyProtection="1">
      <alignment/>
      <protection/>
    </xf>
    <xf numFmtId="0" fontId="5" fillId="3" borderId="17" xfId="0" applyFont="1" applyFill="1" applyBorder="1" applyAlignment="1" applyProtection="1">
      <alignment/>
      <protection/>
    </xf>
    <xf numFmtId="0" fontId="4" fillId="0" borderId="6" xfId="0" applyFont="1" applyBorder="1" applyAlignment="1" applyProtection="1">
      <alignment/>
      <protection/>
    </xf>
    <xf numFmtId="182" fontId="5" fillId="0" borderId="49" xfId="36" applyNumberFormat="1" applyFont="1" applyFill="1" applyBorder="1" applyProtection="1">
      <alignment/>
      <protection/>
    </xf>
    <xf numFmtId="182" fontId="5" fillId="0" borderId="32" xfId="36" applyNumberFormat="1" applyFont="1" applyFill="1" applyBorder="1" applyProtection="1">
      <alignment/>
      <protection/>
    </xf>
    <xf numFmtId="182" fontId="5" fillId="0" borderId="12" xfId="36" applyNumberFormat="1" applyFont="1" applyFill="1" applyBorder="1" applyProtection="1">
      <alignment/>
      <protection/>
    </xf>
    <xf numFmtId="37" fontId="5" fillId="3" borderId="24" xfId="0" applyNumberFormat="1" applyFont="1" applyFill="1" applyBorder="1" applyAlignment="1" applyProtection="1">
      <alignment/>
      <protection hidden="1"/>
    </xf>
    <xf numFmtId="180" fontId="5" fillId="3" borderId="24" xfId="39" applyNumberFormat="1" applyBorder="1" applyProtection="1">
      <alignment/>
      <protection/>
    </xf>
    <xf numFmtId="180" fontId="5" fillId="3" borderId="24" xfId="36" applyNumberFormat="1" applyFont="1" applyFill="1" applyBorder="1" applyProtection="1">
      <alignment/>
      <protection/>
    </xf>
    <xf numFmtId="0" fontId="4" fillId="3" borderId="25"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3" xfId="0" applyFont="1" applyFill="1" applyBorder="1" applyAlignment="1" applyProtection="1">
      <alignment horizontal="left"/>
      <protection/>
    </xf>
    <xf numFmtId="0" fontId="4" fillId="3" borderId="17" xfId="0" applyFont="1" applyFill="1" applyBorder="1" applyAlignment="1" applyProtection="1">
      <alignment horizontal="left"/>
      <protection/>
    </xf>
    <xf numFmtId="0" fontId="4" fillId="3" borderId="25" xfId="0" applyFont="1" applyFill="1" applyBorder="1" applyAlignment="1" applyProtection="1">
      <alignment/>
      <protection hidden="1"/>
    </xf>
    <xf numFmtId="0" fontId="4" fillId="3" borderId="13" xfId="0" applyFont="1" applyFill="1" applyBorder="1" applyAlignment="1" applyProtection="1">
      <alignment/>
      <protection/>
    </xf>
    <xf numFmtId="0" fontId="4" fillId="3" borderId="17" xfId="0" applyFont="1" applyFill="1" applyBorder="1" applyAlignment="1" applyProtection="1">
      <alignment/>
      <protection/>
    </xf>
    <xf numFmtId="0" fontId="5" fillId="3" borderId="13" xfId="0" applyFont="1" applyFill="1" applyBorder="1" applyAlignment="1" applyProtection="1">
      <alignment horizontal="left"/>
      <protection hidden="1"/>
    </xf>
    <xf numFmtId="0" fontId="5" fillId="3" borderId="13" xfId="0" applyFont="1" applyFill="1" applyBorder="1" applyAlignment="1" applyProtection="1">
      <alignment horizontal="left"/>
      <protection/>
    </xf>
    <xf numFmtId="0" fontId="5" fillId="3" borderId="17" xfId="0" applyFont="1" applyFill="1" applyBorder="1" applyAlignment="1" applyProtection="1">
      <alignment horizontal="left"/>
      <protection/>
    </xf>
    <xf numFmtId="178" fontId="5" fillId="3" borderId="13" xfId="39" applyBorder="1" applyProtection="1">
      <alignment/>
      <protection hidden="1"/>
    </xf>
    <xf numFmtId="178" fontId="5" fillId="3" borderId="17" xfId="39" applyBorder="1" applyProtection="1">
      <alignment/>
      <protection hidden="1"/>
    </xf>
    <xf numFmtId="0" fontId="5" fillId="3" borderId="49" xfId="0" applyFont="1" applyFill="1" applyBorder="1" applyAlignment="1" applyProtection="1">
      <alignment/>
      <protection hidden="1"/>
    </xf>
    <xf numFmtId="0" fontId="4"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78" fontId="4" fillId="0" borderId="23" xfId="39" applyFont="1" applyFill="1" applyBorder="1" applyProtection="1">
      <alignment/>
      <protection/>
    </xf>
    <xf numFmtId="185" fontId="5" fillId="3" borderId="23" xfId="39" applyNumberFormat="1" applyFont="1" applyFill="1" applyBorder="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pplyProtection="1">
      <alignment/>
      <protection locked="0"/>
    </xf>
    <xf numFmtId="0" fontId="0" fillId="0" borderId="0" xfId="0" applyAlignment="1" applyProtection="1">
      <alignment horizontal="left" vertical="top" wrapText="1"/>
      <protection hidden="1"/>
    </xf>
    <xf numFmtId="198" fontId="4" fillId="0" borderId="13" xfId="0" applyNumberFormat="1" applyFont="1" applyBorder="1" applyAlignment="1" applyProtection="1">
      <alignment/>
      <protection hidden="1"/>
    </xf>
    <xf numFmtId="198" fontId="4" fillId="0" borderId="23" xfId="0" applyNumberFormat="1" applyFont="1" applyFill="1" applyBorder="1" applyAlignment="1" applyProtection="1">
      <alignment/>
      <protection hidden="1"/>
    </xf>
    <xf numFmtId="199" fontId="4" fillId="0" borderId="23" xfId="0" applyNumberFormat="1" applyFont="1" applyFill="1" applyBorder="1" applyAlignment="1" applyProtection="1">
      <alignment/>
      <protection hidden="1"/>
    </xf>
    <xf numFmtId="198" fontId="4" fillId="0" borderId="17" xfId="0" applyNumberFormat="1" applyFont="1" applyBorder="1" applyAlignment="1" applyProtection="1">
      <alignment/>
      <protection hidden="1"/>
    </xf>
    <xf numFmtId="0" fontId="4" fillId="0" borderId="25" xfId="0" applyFont="1" applyBorder="1" applyAlignment="1">
      <alignment/>
    </xf>
    <xf numFmtId="178" fontId="4" fillId="0" borderId="23" xfId="36" applyNumberFormat="1" applyFont="1" applyFill="1" applyBorder="1" applyProtection="1">
      <alignment/>
      <protection locked="0"/>
    </xf>
    <xf numFmtId="3" fontId="4" fillId="0" borderId="23" xfId="37" applyNumberFormat="1" applyFont="1" applyFill="1" applyBorder="1" applyProtection="1">
      <alignment/>
      <protection/>
    </xf>
    <xf numFmtId="3" fontId="4" fillId="0" borderId="23" xfId="37" applyNumberFormat="1" applyFont="1" applyFill="1" applyBorder="1" applyProtection="1">
      <alignment/>
      <protection locked="0"/>
    </xf>
    <xf numFmtId="3" fontId="4" fillId="0" borderId="24" xfId="37" applyNumberFormat="1" applyFont="1" applyFill="1" applyBorder="1" applyProtection="1">
      <alignment/>
      <protection locked="0"/>
    </xf>
    <xf numFmtId="3" fontId="4" fillId="0" borderId="24" xfId="37" applyNumberFormat="1" applyFont="1" applyFill="1" applyBorder="1" applyProtection="1">
      <alignment/>
      <protection/>
    </xf>
    <xf numFmtId="196" fontId="4" fillId="0" borderId="23" xfId="0" applyNumberFormat="1" applyFont="1" applyBorder="1" applyAlignment="1" applyProtection="1">
      <alignment horizontal="right"/>
      <protection locked="0"/>
    </xf>
    <xf numFmtId="178" fontId="4" fillId="0" borderId="23" xfId="37" applyNumberFormat="1" applyFont="1" applyFill="1" applyBorder="1" applyProtection="1">
      <alignment/>
      <protection/>
    </xf>
    <xf numFmtId="178" fontId="4" fillId="0" borderId="0" xfId="36" applyFill="1" applyBorder="1" applyProtection="1">
      <alignment/>
      <protection/>
    </xf>
    <xf numFmtId="0" fontId="4" fillId="0" borderId="52" xfId="0" applyFont="1" applyFill="1" applyBorder="1" applyAlignment="1" applyProtection="1">
      <alignment/>
      <protection/>
    </xf>
    <xf numFmtId="0" fontId="4" fillId="0" borderId="31" xfId="0" applyFont="1" applyFill="1" applyBorder="1" applyAlignment="1">
      <alignment/>
    </xf>
    <xf numFmtId="0" fontId="5" fillId="0" borderId="26" xfId="0" applyFont="1" applyFill="1" applyBorder="1" applyAlignment="1" applyProtection="1">
      <alignment horizontal="right"/>
      <protection/>
    </xf>
    <xf numFmtId="178" fontId="4" fillId="0" borderId="32" xfId="36" applyFill="1" applyBorder="1" applyProtection="1">
      <alignment/>
      <protection/>
    </xf>
    <xf numFmtId="178" fontId="4" fillId="0" borderId="12" xfId="36" applyFill="1" applyBorder="1" applyProtection="1">
      <alignment/>
      <protection/>
    </xf>
    <xf numFmtId="17" fontId="4" fillId="0" borderId="23" xfId="0" applyNumberFormat="1" applyFont="1" applyBorder="1" applyAlignment="1" applyProtection="1">
      <alignment horizontal="right"/>
      <protection hidden="1"/>
    </xf>
    <xf numFmtId="174" fontId="4" fillId="0" borderId="0" xfId="0" applyNumberFormat="1" applyFont="1" applyAlignment="1" applyProtection="1">
      <alignment/>
      <protection/>
    </xf>
    <xf numFmtId="190" fontId="4" fillId="0" borderId="24" xfId="36" applyNumberFormat="1" applyFill="1" applyBorder="1" applyProtection="1">
      <alignment/>
      <protection locked="0"/>
    </xf>
    <xf numFmtId="190" fontId="5" fillId="3" borderId="23" xfId="39" applyNumberFormat="1" applyBorder="1" applyProtection="1">
      <alignment/>
      <protection/>
    </xf>
    <xf numFmtId="185" fontId="4" fillId="0" borderId="49" xfId="38" applyFont="1" applyFill="1" applyBorder="1" applyAlignment="1" applyProtection="1">
      <alignment horizontal="right"/>
      <protection/>
    </xf>
    <xf numFmtId="49" fontId="5" fillId="0" borderId="32" xfId="0" applyNumberFormat="1" applyFont="1" applyFill="1" applyBorder="1" applyAlignment="1" applyProtection="1">
      <alignment horizontal="left"/>
      <protection/>
    </xf>
    <xf numFmtId="185" fontId="4" fillId="0" borderId="12" xfId="38" applyFont="1" applyFill="1" applyBorder="1" applyProtection="1">
      <alignment/>
      <protection/>
    </xf>
    <xf numFmtId="185" fontId="4" fillId="0" borderId="65" xfId="38" applyFont="1" applyFill="1" applyBorder="1" applyAlignment="1" applyProtection="1">
      <alignment horizontal="right"/>
      <protection/>
    </xf>
    <xf numFmtId="49" fontId="5" fillId="0" borderId="26" xfId="0" applyNumberFormat="1" applyFont="1" applyFill="1" applyBorder="1" applyAlignment="1" applyProtection="1">
      <alignment horizontal="left"/>
      <protection/>
    </xf>
    <xf numFmtId="185" fontId="4" fillId="0" borderId="47" xfId="38" applyFont="1" applyFill="1" applyBorder="1" applyProtection="1">
      <alignment/>
      <protection/>
    </xf>
    <xf numFmtId="1" fontId="4" fillId="0" borderId="25" xfId="38" applyNumberFormat="1" applyFont="1" applyFill="1" applyBorder="1" applyAlignment="1" applyProtection="1">
      <alignment horizontal="right"/>
      <protection/>
    </xf>
    <xf numFmtId="0" fontId="5" fillId="3" borderId="49" xfId="0" applyFont="1" applyFill="1" applyBorder="1" applyAlignment="1" applyProtection="1">
      <alignment/>
      <protection hidden="1"/>
    </xf>
    <xf numFmtId="181" fontId="4" fillId="0" borderId="23" xfId="38" applyNumberFormat="1" applyFont="1" applyBorder="1" applyProtection="1">
      <alignment/>
      <protection/>
    </xf>
    <xf numFmtId="0" fontId="1" fillId="0" borderId="0" xfId="0" applyFont="1" applyAlignment="1" applyProtection="1">
      <alignment/>
      <protection hidden="1"/>
    </xf>
    <xf numFmtId="0" fontId="5" fillId="0" borderId="17" xfId="0" applyFont="1" applyFill="1" applyBorder="1" applyAlignment="1" applyProtection="1">
      <alignment horizontal="right"/>
      <protection/>
    </xf>
    <xf numFmtId="178" fontId="5" fillId="0" borderId="13" xfId="36" applyFont="1" applyFill="1" applyBorder="1" applyAlignment="1" applyProtection="1">
      <alignment horizontal="right"/>
      <protection hidden="1"/>
    </xf>
    <xf numFmtId="170" fontId="4" fillId="0" borderId="25" xfId="36" applyNumberFormat="1" applyFont="1" applyBorder="1" applyAlignment="1" applyProtection="1">
      <alignment horizontal="center"/>
      <protection hidden="1"/>
    </xf>
    <xf numFmtId="4" fontId="4" fillId="0" borderId="25" xfId="36" applyNumberFormat="1" applyFont="1" applyFill="1" applyBorder="1" applyAlignment="1" applyProtection="1">
      <alignment horizontal="center"/>
      <protection hidden="1"/>
    </xf>
    <xf numFmtId="171" fontId="5" fillId="0" borderId="0" xfId="39" applyNumberFormat="1" applyFill="1" applyBorder="1" applyProtection="1">
      <alignment/>
      <protection/>
    </xf>
    <xf numFmtId="198" fontId="4" fillId="0" borderId="24" xfId="0" applyNumberFormat="1" applyFont="1" applyFill="1" applyBorder="1" applyAlignment="1" applyProtection="1">
      <alignment/>
      <protection hidden="1"/>
    </xf>
    <xf numFmtId="175" fontId="4" fillId="0" borderId="25" xfId="36" applyNumberFormat="1" applyFont="1" applyBorder="1" applyAlignment="1" applyProtection="1">
      <alignment horizontal="center"/>
      <protection hidden="1"/>
    </xf>
    <xf numFmtId="185" fontId="4" fillId="0" borderId="49" xfId="38" applyFont="1" applyFill="1" applyBorder="1" applyProtection="1">
      <alignment/>
      <protection locked="0"/>
    </xf>
    <xf numFmtId="178" fontId="4" fillId="0" borderId="49" xfId="36" applyFont="1" applyBorder="1" applyAlignment="1" applyProtection="1">
      <alignment/>
      <protection/>
    </xf>
    <xf numFmtId="175" fontId="4" fillId="0" borderId="49" xfId="36" applyNumberFormat="1" applyFont="1" applyBorder="1" applyAlignment="1" applyProtection="1">
      <alignment horizontal="center"/>
      <protection hidden="1"/>
    </xf>
    <xf numFmtId="175" fontId="4" fillId="0" borderId="25" xfId="36" applyNumberFormat="1" applyFont="1" applyFill="1" applyBorder="1" applyAlignment="1" applyProtection="1">
      <alignment horizontal="center"/>
      <protection hidden="1"/>
    </xf>
    <xf numFmtId="166" fontId="4" fillId="0" borderId="23" xfId="0" applyNumberFormat="1" applyFont="1" applyBorder="1" applyAlignment="1" applyProtection="1">
      <alignment horizontal="center"/>
      <protection/>
    </xf>
    <xf numFmtId="37" fontId="4" fillId="0" borderId="26" xfId="0" applyNumberFormat="1" applyFont="1" applyFill="1" applyBorder="1" applyAlignment="1" applyProtection="1">
      <alignment/>
      <protection locked="0"/>
    </xf>
    <xf numFmtId="0" fontId="5" fillId="3" borderId="25" xfId="0" applyFont="1" applyFill="1" applyBorder="1" applyAlignment="1" applyProtection="1">
      <alignment horizontal="left"/>
      <protection hidden="1"/>
    </xf>
    <xf numFmtId="178" fontId="5" fillId="3" borderId="38" xfId="39" applyFont="1" applyBorder="1" applyProtection="1">
      <alignment/>
      <protection/>
    </xf>
    <xf numFmtId="0" fontId="4" fillId="0" borderId="0" xfId="0" applyFont="1" applyAlignment="1" applyProtection="1">
      <alignment horizontal="justify" vertical="top" wrapText="1"/>
      <protection hidden="1"/>
    </xf>
    <xf numFmtId="0" fontId="4" fillId="0" borderId="16" xfId="0" applyFont="1" applyBorder="1" applyAlignment="1" applyProtection="1">
      <alignment/>
      <protection hidden="1"/>
    </xf>
    <xf numFmtId="0" fontId="5" fillId="3" borderId="25" xfId="32" applyFont="1" applyFill="1" applyBorder="1" applyAlignment="1" applyProtection="1">
      <alignment/>
      <protection hidden="1"/>
    </xf>
    <xf numFmtId="178" fontId="4" fillId="0" borderId="17" xfId="36" applyFont="1" applyBorder="1" applyProtection="1">
      <alignment/>
      <protection/>
    </xf>
    <xf numFmtId="178" fontId="5" fillId="3" borderId="23" xfId="39" applyFont="1" applyBorder="1" applyProtection="1" quotePrefix="1">
      <alignment/>
      <protection/>
    </xf>
    <xf numFmtId="0" fontId="1" fillId="0" borderId="0" xfId="35" applyNumberFormat="1" applyFont="1" applyAlignment="1" applyProtection="1">
      <alignment/>
      <protection hidden="1"/>
    </xf>
    <xf numFmtId="0" fontId="0" fillId="0" borderId="0" xfId="35" applyAlignment="1" applyProtection="1">
      <alignment horizontal="left"/>
      <protection hidden="1"/>
    </xf>
    <xf numFmtId="0" fontId="0" fillId="0" borderId="0" xfId="35" applyAlignment="1" applyProtection="1">
      <alignment/>
      <protection hidden="1"/>
    </xf>
    <xf numFmtId="0" fontId="1" fillId="0" borderId="0" xfId="35" applyFont="1" applyBorder="1" applyAlignment="1" applyProtection="1">
      <alignment/>
      <protection hidden="1"/>
    </xf>
    <xf numFmtId="0" fontId="2" fillId="0" borderId="5" xfId="35" applyNumberFormat="1" applyFont="1" applyBorder="1" applyAlignment="1" applyProtection="1" quotePrefix="1">
      <alignment vertical="center"/>
      <protection hidden="1"/>
    </xf>
    <xf numFmtId="0" fontId="2" fillId="0" borderId="5" xfId="35" applyFont="1" applyBorder="1" applyAlignment="1" applyProtection="1">
      <alignment horizontal="left" vertical="center"/>
      <protection hidden="1"/>
    </xf>
    <xf numFmtId="0" fontId="1" fillId="0" borderId="0" xfId="35" applyFont="1">
      <alignment/>
      <protection/>
    </xf>
    <xf numFmtId="0" fontId="2" fillId="0" borderId="0" xfId="35" applyFont="1" applyAlignment="1" applyProtection="1">
      <alignment vertical="center"/>
      <protection/>
    </xf>
    <xf numFmtId="0" fontId="0" fillId="0" borderId="0" xfId="35">
      <alignment/>
      <protection/>
    </xf>
    <xf numFmtId="0" fontId="0" fillId="0" borderId="0" xfId="35" applyFont="1">
      <alignment/>
      <protection/>
    </xf>
    <xf numFmtId="0" fontId="4" fillId="0" borderId="0" xfId="35" applyFont="1" applyBorder="1" applyProtection="1">
      <alignment/>
      <protection/>
    </xf>
    <xf numFmtId="0" fontId="4" fillId="0" borderId="0" xfId="35" applyFont="1" applyProtection="1">
      <alignment/>
      <protection/>
    </xf>
    <xf numFmtId="0" fontId="0" fillId="3" borderId="3" xfId="35" applyFill="1" applyBorder="1" applyAlignment="1">
      <alignment horizontal="center"/>
      <protection/>
    </xf>
    <xf numFmtId="0" fontId="0" fillId="0" borderId="0" xfId="35" applyAlignment="1">
      <alignment vertical="top" wrapText="1"/>
      <protection/>
    </xf>
    <xf numFmtId="0" fontId="4" fillId="0" borderId="0" xfId="35" applyFont="1" applyAlignment="1" applyProtection="1">
      <alignment/>
      <protection/>
    </xf>
    <xf numFmtId="170" fontId="5" fillId="0" borderId="0" xfId="0" applyNumberFormat="1" applyFont="1" applyAlignment="1" applyProtection="1">
      <alignment/>
      <protection hidden="1"/>
    </xf>
    <xf numFmtId="0" fontId="4" fillId="0" borderId="0" xfId="0" applyNumberFormat="1" applyFont="1" applyAlignment="1" applyProtection="1">
      <alignment horizontal="right" wrapText="1"/>
      <protection hidden="1"/>
    </xf>
    <xf numFmtId="0" fontId="5" fillId="0" borderId="0" xfId="0" applyNumberFormat="1" applyFont="1" applyAlignment="1" applyProtection="1">
      <alignment horizontal="right"/>
      <protection hidden="1"/>
    </xf>
    <xf numFmtId="49" fontId="4" fillId="0" borderId="0" xfId="0" applyNumberFormat="1" applyFont="1" applyAlignment="1" applyProtection="1">
      <alignment horizontal="justify"/>
      <protection hidden="1"/>
    </xf>
    <xf numFmtId="0" fontId="5" fillId="0" borderId="0" xfId="0" applyFont="1" applyAlignment="1" applyProtection="1">
      <alignment vertical="top"/>
      <protection hidden="1"/>
    </xf>
    <xf numFmtId="0" fontId="5" fillId="0" borderId="0" xfId="0" applyFont="1" applyAlignment="1" applyProtection="1">
      <alignment horizontal="left" vertical="top"/>
      <protection hidden="1"/>
    </xf>
    <xf numFmtId="170" fontId="4" fillId="0" borderId="0" xfId="0" applyNumberFormat="1" applyFont="1" applyAlignment="1" applyProtection="1">
      <alignment/>
      <protection hidden="1"/>
    </xf>
    <xf numFmtId="0" fontId="4" fillId="0" borderId="0" xfId="0" applyFont="1" applyAlignment="1" applyProtection="1">
      <alignment horizontal="justify"/>
      <protection locked="0"/>
    </xf>
    <xf numFmtId="178" fontId="4" fillId="0" borderId="24" xfId="36" applyFont="1" applyFill="1" applyBorder="1" applyAlignment="1" applyProtection="1">
      <alignment/>
      <protection locked="0"/>
    </xf>
    <xf numFmtId="178" fontId="4" fillId="0" borderId="38" xfId="36" applyFont="1" applyFill="1" applyBorder="1" applyProtection="1">
      <alignment/>
      <protection locked="0"/>
    </xf>
    <xf numFmtId="183" fontId="4" fillId="0" borderId="13" xfId="0" applyNumberFormat="1" applyFont="1" applyFill="1" applyBorder="1" applyAlignment="1" applyProtection="1">
      <alignment horizontal="left"/>
      <protection locked="0"/>
    </xf>
    <xf numFmtId="0" fontId="4" fillId="3" borderId="23" xfId="0" applyFont="1" applyFill="1" applyBorder="1" applyAlignment="1" applyProtection="1">
      <alignment horizontal="left" vertical="center"/>
      <protection locked="0"/>
    </xf>
    <xf numFmtId="185" fontId="4" fillId="0" borderId="25" xfId="38" applyNumberFormat="1" applyFont="1" applyBorder="1" applyProtection="1">
      <alignment/>
      <protection/>
    </xf>
    <xf numFmtId="49" fontId="4" fillId="0" borderId="23" xfId="36" applyNumberFormat="1" applyFont="1" applyFill="1" applyBorder="1" applyAlignment="1" applyProtection="1">
      <alignment horizontal="center"/>
      <protection locked="0"/>
    </xf>
    <xf numFmtId="0" fontId="1" fillId="0" borderId="0" xfId="0" applyFont="1" applyBorder="1" applyAlignment="1" applyProtection="1">
      <alignment/>
      <protection locked="0"/>
    </xf>
    <xf numFmtId="0" fontId="2" fillId="0" borderId="5" xfId="0" applyNumberFormat="1" applyFont="1" applyBorder="1" applyAlignment="1" applyProtection="1" quotePrefix="1">
      <alignment vertical="center"/>
      <protection hidden="1"/>
    </xf>
    <xf numFmtId="0" fontId="4" fillId="0" borderId="0" xfId="0" applyFont="1" applyAlignment="1" applyProtection="1" quotePrefix="1">
      <alignment/>
      <protection/>
    </xf>
    <xf numFmtId="0" fontId="4" fillId="0" borderId="25" xfId="0" applyFont="1" applyBorder="1" applyAlignment="1" applyProtection="1">
      <alignment/>
      <protection/>
    </xf>
    <xf numFmtId="0" fontId="0" fillId="0" borderId="0" xfId="35" applyBorder="1" applyAlignment="1">
      <alignment vertical="center" wrapText="1"/>
      <protection/>
    </xf>
    <xf numFmtId="0" fontId="0" fillId="0" borderId="0" xfId="0" applyAlignment="1">
      <alignment wrapText="1"/>
    </xf>
    <xf numFmtId="3" fontId="4" fillId="0" borderId="23" xfId="0" applyNumberFormat="1" applyFont="1" applyFill="1" applyBorder="1" applyAlignment="1" applyProtection="1">
      <alignment horizontal="center"/>
      <protection hidden="1"/>
    </xf>
    <xf numFmtId="170" fontId="4" fillId="0" borderId="23" xfId="0" applyNumberFormat="1" applyFont="1" applyFill="1" applyBorder="1" applyAlignment="1" applyProtection="1">
      <alignment horizontal="center"/>
      <protection hidden="1"/>
    </xf>
    <xf numFmtId="170" fontId="4" fillId="0" borderId="24" xfId="0" applyNumberFormat="1" applyFont="1" applyFill="1" applyBorder="1" applyAlignment="1" applyProtection="1">
      <alignment horizontal="center"/>
      <protection hidden="1"/>
    </xf>
    <xf numFmtId="3" fontId="4" fillId="0" borderId="24" xfId="0" applyNumberFormat="1" applyFont="1" applyFill="1" applyBorder="1" applyAlignment="1" applyProtection="1">
      <alignment horizontal="center"/>
      <protection hidden="1"/>
    </xf>
    <xf numFmtId="0" fontId="4" fillId="0" borderId="32" xfId="0" applyFont="1" applyFill="1" applyBorder="1" applyAlignment="1" applyProtection="1" quotePrefix="1">
      <alignment/>
      <protection hidden="1"/>
    </xf>
    <xf numFmtId="0" fontId="5" fillId="3" borderId="50" xfId="0" applyFont="1" applyFill="1" applyBorder="1" applyAlignment="1" applyProtection="1">
      <alignment/>
      <protection/>
    </xf>
    <xf numFmtId="0" fontId="5" fillId="3" borderId="14" xfId="0" applyFont="1" applyFill="1" applyBorder="1" applyAlignment="1" applyProtection="1">
      <alignment/>
      <protection/>
    </xf>
    <xf numFmtId="0" fontId="5" fillId="0" borderId="23" xfId="0" applyFont="1" applyBorder="1" applyAlignment="1" applyProtection="1">
      <alignment horizontal="center"/>
      <protection/>
    </xf>
    <xf numFmtId="0" fontId="4" fillId="0" borderId="23" xfId="0" applyFont="1" applyBorder="1" applyAlignment="1" applyProtection="1">
      <alignment/>
      <protection/>
    </xf>
    <xf numFmtId="2" fontId="4" fillId="0" borderId="23" xfId="0" applyNumberFormat="1" applyFont="1" applyBorder="1" applyAlignment="1" applyProtection="1">
      <alignment/>
      <protection/>
    </xf>
    <xf numFmtId="0" fontId="5" fillId="3" borderId="25" xfId="0" applyFont="1" applyFill="1" applyBorder="1" applyAlignment="1" applyProtection="1">
      <alignment/>
      <protection/>
    </xf>
    <xf numFmtId="0" fontId="5" fillId="3" borderId="21" xfId="0" applyFont="1" applyFill="1" applyBorder="1" applyAlignment="1" applyProtection="1">
      <alignment horizontal="center"/>
      <protection/>
    </xf>
    <xf numFmtId="0" fontId="5" fillId="3" borderId="5" xfId="0" applyFont="1" applyFill="1" applyBorder="1" applyAlignment="1" applyProtection="1">
      <alignment horizontal="center"/>
      <protection/>
    </xf>
    <xf numFmtId="0" fontId="5" fillId="3" borderId="5" xfId="0" applyFont="1" applyFill="1" applyBorder="1" applyAlignment="1" applyProtection="1">
      <alignment horizontal="right"/>
      <protection/>
    </xf>
    <xf numFmtId="0" fontId="4" fillId="3" borderId="5" xfId="0" applyFont="1" applyFill="1" applyBorder="1" applyAlignment="1" applyProtection="1">
      <alignment/>
      <protection/>
    </xf>
    <xf numFmtId="0" fontId="4" fillId="3" borderId="21" xfId="0" applyFont="1" applyFill="1" applyBorder="1" applyAlignment="1" applyProtection="1">
      <alignment horizontal="center"/>
      <protection/>
    </xf>
    <xf numFmtId="0" fontId="4" fillId="3" borderId="37" xfId="0" applyFont="1" applyFill="1" applyBorder="1" applyAlignment="1" applyProtection="1">
      <alignment horizontal="center"/>
      <protection/>
    </xf>
    <xf numFmtId="0" fontId="5" fillId="3" borderId="14" xfId="0" applyFont="1" applyFill="1" applyBorder="1" applyAlignment="1" applyProtection="1">
      <alignment horizontal="center"/>
      <protection/>
    </xf>
    <xf numFmtId="0" fontId="5" fillId="3" borderId="3" xfId="0" applyFont="1" applyFill="1" applyBorder="1" applyAlignment="1" applyProtection="1">
      <alignment horizontal="center"/>
      <protection/>
    </xf>
    <xf numFmtId="0" fontId="4" fillId="3" borderId="14" xfId="0" applyFont="1" applyFill="1" applyBorder="1" applyAlignment="1" applyProtection="1">
      <alignment horizontal="center"/>
      <protection/>
    </xf>
    <xf numFmtId="0" fontId="4" fillId="3" borderId="22" xfId="0" applyFont="1" applyFill="1" applyBorder="1" applyAlignment="1" applyProtection="1">
      <alignment horizontal="center"/>
      <protection/>
    </xf>
    <xf numFmtId="0" fontId="4" fillId="0" borderId="23" xfId="0" applyFont="1" applyBorder="1" applyAlignment="1" applyProtection="1">
      <alignment horizontal="center"/>
      <protection/>
    </xf>
    <xf numFmtId="0" fontId="5" fillId="3" borderId="23" xfId="0" applyFont="1" applyFill="1" applyBorder="1" applyAlignment="1" applyProtection="1">
      <alignment/>
      <protection/>
    </xf>
    <xf numFmtId="0" fontId="4" fillId="0" borderId="23" xfId="0" applyNumberFormat="1" applyFont="1" applyFill="1" applyBorder="1" applyAlignment="1" applyProtection="1">
      <alignment horizontal="center"/>
      <protection hidden="1"/>
    </xf>
    <xf numFmtId="0" fontId="4" fillId="0" borderId="32" xfId="0" applyFont="1" applyBorder="1" applyAlignment="1" applyProtection="1">
      <alignment horizontal="right"/>
      <protection hidden="1"/>
    </xf>
    <xf numFmtId="37" fontId="4" fillId="0" borderId="0" xfId="0" applyNumberFormat="1" applyFont="1" applyFill="1" applyBorder="1" applyAlignment="1" applyProtection="1">
      <alignment vertical="center"/>
      <protection/>
    </xf>
    <xf numFmtId="178" fontId="4" fillId="0" borderId="23" xfId="0" applyNumberFormat="1" applyFont="1" applyBorder="1" applyAlignment="1" applyProtection="1">
      <alignment/>
      <protection/>
    </xf>
    <xf numFmtId="178" fontId="5" fillId="3" borderId="23" xfId="0" applyNumberFormat="1" applyFont="1" applyFill="1" applyBorder="1" applyAlignment="1" applyProtection="1">
      <alignment/>
      <protection/>
    </xf>
    <xf numFmtId="178" fontId="4" fillId="0" borderId="23" xfId="0" applyNumberFormat="1" applyFont="1" applyBorder="1" applyAlignment="1" applyProtection="1">
      <alignment/>
      <protection/>
    </xf>
    <xf numFmtId="178" fontId="5" fillId="0" borderId="23" xfId="36" applyNumberFormat="1" applyFont="1" applyFill="1" applyBorder="1" applyProtection="1">
      <alignment/>
      <protection/>
    </xf>
    <xf numFmtId="178" fontId="5" fillId="3" borderId="38" xfId="0" applyNumberFormat="1" applyFont="1" applyFill="1" applyBorder="1" applyAlignment="1" applyProtection="1">
      <alignment/>
      <protection/>
    </xf>
    <xf numFmtId="0" fontId="0" fillId="0" borderId="0" xfId="35" applyBorder="1" applyAlignment="1">
      <alignment horizontal="center"/>
      <protection/>
    </xf>
    <xf numFmtId="0" fontId="0" fillId="0" borderId="66" xfId="35" applyBorder="1" applyAlignment="1">
      <alignment horizontal="center"/>
      <protection/>
    </xf>
    <xf numFmtId="37" fontId="5" fillId="3" borderId="21" xfId="0" applyNumberFormat="1" applyFont="1" applyFill="1" applyBorder="1" applyAlignment="1" applyProtection="1">
      <alignment vertical="center"/>
      <protection/>
    </xf>
    <xf numFmtId="37" fontId="5" fillId="3" borderId="2" xfId="0" applyNumberFormat="1" applyFont="1" applyFill="1" applyBorder="1" applyAlignment="1" applyProtection="1">
      <alignment vertical="center"/>
      <protection/>
    </xf>
    <xf numFmtId="37" fontId="5" fillId="3" borderId="14" xfId="0" applyNumberFormat="1" applyFont="1" applyFill="1" applyBorder="1" applyAlignment="1" applyProtection="1">
      <alignment vertical="center"/>
      <protection/>
    </xf>
    <xf numFmtId="0" fontId="5" fillId="3" borderId="25" xfId="0" applyNumberFormat="1" applyFont="1" applyFill="1" applyBorder="1" applyAlignment="1" applyProtection="1">
      <alignment horizontal="left"/>
      <protection hidden="1"/>
    </xf>
    <xf numFmtId="0" fontId="4" fillId="0" borderId="24" xfId="0" applyFont="1" applyBorder="1" applyAlignment="1">
      <alignment/>
    </xf>
    <xf numFmtId="178" fontId="4" fillId="0" borderId="23" xfId="0" applyNumberFormat="1" applyFont="1" applyBorder="1" applyAlignment="1">
      <alignment/>
    </xf>
    <xf numFmtId="178" fontId="4" fillId="0" borderId="23" xfId="0" applyNumberFormat="1" applyFont="1" applyBorder="1" applyAlignment="1" applyProtection="1">
      <alignment/>
      <protection locked="0"/>
    </xf>
    <xf numFmtId="0" fontId="4" fillId="0" borderId="23" xfId="0" applyFont="1" applyBorder="1" applyAlignment="1">
      <alignment/>
    </xf>
    <xf numFmtId="0" fontId="4" fillId="0" borderId="23" xfId="0" applyFont="1" applyBorder="1" applyAlignment="1" applyProtection="1">
      <alignment/>
      <protection locked="0"/>
    </xf>
    <xf numFmtId="0" fontId="4" fillId="0" borderId="23" xfId="0" applyFont="1" applyFill="1" applyBorder="1" applyAlignment="1">
      <alignment/>
    </xf>
    <xf numFmtId="0" fontId="0" fillId="0" borderId="0" xfId="0" applyFill="1" applyAlignment="1">
      <alignment/>
    </xf>
    <xf numFmtId="0" fontId="4" fillId="0" borderId="23" xfId="0" applyFont="1" applyBorder="1" applyAlignment="1" applyProtection="1">
      <alignment horizontal="center"/>
      <protection locked="0"/>
    </xf>
    <xf numFmtId="0" fontId="4" fillId="0" borderId="0" xfId="0" applyFont="1" applyBorder="1" applyAlignment="1">
      <alignment/>
    </xf>
    <xf numFmtId="0" fontId="4" fillId="0" borderId="23" xfId="0" applyFont="1" applyBorder="1" applyAlignment="1">
      <alignment horizontal="center"/>
    </xf>
    <xf numFmtId="0" fontId="4" fillId="0" borderId="62" xfId="0" applyFont="1" applyBorder="1" applyAlignment="1">
      <alignment horizontal="center"/>
    </xf>
    <xf numFmtId="0" fontId="5" fillId="0" borderId="0" xfId="0" applyNumberFormat="1" applyFont="1" applyAlignment="1" applyProtection="1">
      <alignment/>
      <protection locked="0"/>
    </xf>
    <xf numFmtId="49" fontId="4" fillId="0" borderId="0" xfId="0" applyNumberFormat="1" applyFont="1" applyBorder="1" applyAlignment="1" applyProtection="1">
      <alignment horizontal="center"/>
      <protection locked="0"/>
    </xf>
    <xf numFmtId="49" fontId="4" fillId="0" borderId="25" xfId="0" applyNumberFormat="1" applyFont="1" applyFill="1" applyBorder="1" applyAlignment="1" applyProtection="1">
      <alignment horizontal="left"/>
      <protection/>
    </xf>
    <xf numFmtId="14" fontId="4" fillId="0" borderId="13" xfId="0" applyNumberFormat="1" applyFont="1" applyFill="1" applyBorder="1" applyAlignment="1" applyProtection="1">
      <alignment horizontal="left"/>
      <protection/>
    </xf>
    <xf numFmtId="168" fontId="4" fillId="0" borderId="13" xfId="0" applyNumberFormat="1" applyFont="1" applyFill="1" applyBorder="1" applyAlignment="1" applyProtection="1">
      <alignment/>
      <protection/>
    </xf>
    <xf numFmtId="168" fontId="4" fillId="0" borderId="13" xfId="36" applyNumberFormat="1" applyFont="1" applyFill="1" applyBorder="1" applyProtection="1">
      <alignment/>
      <protection/>
    </xf>
    <xf numFmtId="49" fontId="4" fillId="0" borderId="17" xfId="36" applyNumberFormat="1" applyFont="1" applyFill="1" applyBorder="1" applyAlignment="1" applyProtection="1">
      <alignment horizontal="center"/>
      <protection/>
    </xf>
    <xf numFmtId="0" fontId="4" fillId="0" borderId="2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protection/>
    </xf>
    <xf numFmtId="178" fontId="4" fillId="0" borderId="24" xfId="36" applyFont="1" applyFill="1" applyBorder="1" applyProtection="1" quotePrefix="1">
      <alignment/>
      <protection/>
    </xf>
    <xf numFmtId="178" fontId="4" fillId="0" borderId="25" xfId="36" applyFont="1" applyFill="1" applyBorder="1" applyProtection="1">
      <alignment/>
      <protection/>
    </xf>
    <xf numFmtId="0" fontId="2" fillId="0" borderId="0" xfId="35" applyNumberFormat="1" applyFont="1" applyBorder="1" applyAlignment="1" applyProtection="1" quotePrefix="1">
      <alignment vertical="center"/>
      <protection hidden="1"/>
    </xf>
    <xf numFmtId="0" fontId="2" fillId="0" borderId="0" xfId="35" applyFont="1" applyBorder="1" applyAlignment="1" applyProtection="1">
      <alignment horizontal="left" vertical="center"/>
      <protection hidden="1"/>
    </xf>
    <xf numFmtId="0" fontId="3" fillId="0" borderId="0" xfId="35" applyNumberFormat="1" applyFont="1" applyBorder="1" applyAlignment="1" applyProtection="1">
      <alignment vertical="center"/>
      <protection hidden="1"/>
    </xf>
    <xf numFmtId="0" fontId="13" fillId="0" borderId="0" xfId="35" applyNumberFormat="1" applyFont="1" applyBorder="1" applyAlignment="1" applyProtection="1">
      <alignment vertical="center"/>
      <protection hidden="1"/>
    </xf>
    <xf numFmtId="189" fontId="2" fillId="0" borderId="0" xfId="35" applyNumberFormat="1" applyFont="1" applyBorder="1" applyAlignment="1" applyProtection="1">
      <alignment horizontal="right" vertical="center"/>
      <protection hidden="1"/>
    </xf>
    <xf numFmtId="0" fontId="4" fillId="0" borderId="13" xfId="0" applyFont="1" applyBorder="1" applyAlignment="1">
      <alignment/>
    </xf>
    <xf numFmtId="0" fontId="4" fillId="0" borderId="17" xfId="0" applyFont="1" applyBorder="1" applyAlignment="1">
      <alignment/>
    </xf>
    <xf numFmtId="178" fontId="4" fillId="0" borderId="61" xfId="0" applyNumberFormat="1" applyFont="1" applyBorder="1" applyAlignment="1">
      <alignment/>
    </xf>
    <xf numFmtId="178" fontId="4" fillId="0" borderId="23" xfId="36" applyFont="1" applyFill="1" applyBorder="1" applyAlignment="1" applyProtection="1">
      <alignment horizontal="center"/>
      <protection locked="0"/>
    </xf>
    <xf numFmtId="9" fontId="4" fillId="0" borderId="17" xfId="0" applyNumberFormat="1" applyFont="1" applyBorder="1" applyAlignment="1">
      <alignment horizontal="center"/>
    </xf>
    <xf numFmtId="178" fontId="4" fillId="0" borderId="24" xfId="36" applyFont="1" applyFill="1" applyBorder="1" applyAlignment="1" applyProtection="1">
      <alignment horizontal="right"/>
      <protection/>
    </xf>
    <xf numFmtId="0" fontId="4" fillId="0" borderId="12" xfId="0" applyFont="1" applyFill="1" applyBorder="1" applyAlignment="1" applyProtection="1" quotePrefix="1">
      <alignment/>
      <protection hidden="1"/>
    </xf>
    <xf numFmtId="0" fontId="4" fillId="0" borderId="67" xfId="0" applyFont="1" applyBorder="1" applyAlignment="1" applyProtection="1">
      <alignment/>
      <protection hidden="1"/>
    </xf>
    <xf numFmtId="178" fontId="1" fillId="0" borderId="16" xfId="39" applyFont="1" applyFill="1" applyBorder="1" applyAlignment="1" applyProtection="1">
      <alignment vertical="center"/>
      <protection/>
    </xf>
    <xf numFmtId="178" fontId="5" fillId="0" borderId="7" xfId="39" applyFill="1" applyBorder="1" applyAlignment="1" applyProtection="1">
      <alignment vertical="center"/>
      <protection/>
    </xf>
    <xf numFmtId="178" fontId="5" fillId="0" borderId="3" xfId="39" applyFill="1" applyBorder="1" applyAlignment="1" applyProtection="1">
      <alignment horizontal="right" vertical="center"/>
      <protection/>
    </xf>
    <xf numFmtId="4" fontId="4" fillId="0" borderId="23" xfId="37" applyNumberFormat="1" applyFont="1" applyFill="1" applyBorder="1" applyProtection="1">
      <alignment/>
      <protection/>
    </xf>
    <xf numFmtId="0" fontId="4" fillId="0" borderId="0" xfId="0" applyFont="1" applyFill="1" applyBorder="1" applyAlignment="1" applyProtection="1">
      <alignment vertical="top"/>
      <protection locked="0"/>
    </xf>
    <xf numFmtId="0" fontId="4" fillId="0" borderId="0" xfId="0" applyFont="1" applyBorder="1" applyAlignment="1" applyProtection="1">
      <alignment/>
      <protection locked="0"/>
    </xf>
    <xf numFmtId="37" fontId="4"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78" fontId="4" fillId="0" borderId="13" xfId="39" applyFont="1" applyFill="1" applyBorder="1" applyProtection="1">
      <alignment/>
      <protection/>
    </xf>
    <xf numFmtId="0" fontId="4" fillId="0" borderId="13" xfId="0" applyNumberFormat="1" applyFont="1" applyFill="1" applyBorder="1" applyAlignment="1" applyProtection="1">
      <alignment horizontal="left"/>
      <protection/>
    </xf>
    <xf numFmtId="178" fontId="4" fillId="0" borderId="17" xfId="39" applyFont="1" applyFill="1" applyBorder="1" applyProtection="1">
      <alignment/>
      <protection/>
    </xf>
    <xf numFmtId="178" fontId="4" fillId="0" borderId="0" xfId="36" applyFont="1" applyFill="1" applyBorder="1" applyProtection="1">
      <alignment/>
      <protection/>
    </xf>
    <xf numFmtId="182" fontId="4" fillId="0" borderId="17" xfId="0" applyNumberFormat="1" applyFont="1" applyFill="1" applyBorder="1" applyAlignment="1" applyProtection="1">
      <alignment/>
      <protection/>
    </xf>
    <xf numFmtId="0" fontId="4" fillId="0" borderId="0" xfId="0" applyFont="1" applyAlignment="1" applyProtection="1">
      <alignment horizontal="justify" vertical="top"/>
      <protection hidden="1"/>
    </xf>
    <xf numFmtId="0" fontId="4" fillId="0" borderId="0" xfId="0" applyFont="1" applyBorder="1" applyAlignment="1" applyProtection="1">
      <alignment horizontal="left" vertical="center"/>
      <protection/>
    </xf>
    <xf numFmtId="0" fontId="15" fillId="0" borderId="0" xfId="0" applyFont="1" applyBorder="1" applyAlignment="1" applyProtection="1">
      <alignment vertical="center"/>
      <protection/>
    </xf>
    <xf numFmtId="37" fontId="4" fillId="0" borderId="25" xfId="0" applyNumberFormat="1" applyFont="1" applyFill="1" applyBorder="1" applyAlignment="1" applyProtection="1">
      <alignment/>
      <protection hidden="1"/>
    </xf>
    <xf numFmtId="178" fontId="4" fillId="0" borderId="17" xfId="36" applyFont="1" applyFill="1" applyBorder="1" applyProtection="1">
      <alignment/>
      <protection hidden="1"/>
    </xf>
    <xf numFmtId="0" fontId="4" fillId="0" borderId="17" xfId="0" applyFont="1" applyBorder="1" applyAlignment="1" applyProtection="1">
      <alignment horizontal="left"/>
      <protection/>
    </xf>
    <xf numFmtId="0" fontId="24" fillId="3" borderId="17" xfId="0" applyFont="1" applyFill="1" applyBorder="1" applyAlignment="1" applyProtection="1" quotePrefix="1">
      <alignment horizontal="right"/>
      <protection hidden="1"/>
    </xf>
    <xf numFmtId="0" fontId="4" fillId="7" borderId="24" xfId="0" applyFont="1" applyFill="1" applyBorder="1" applyAlignment="1" applyProtection="1">
      <alignment/>
      <protection/>
    </xf>
    <xf numFmtId="0" fontId="4" fillId="7" borderId="38" xfId="0" applyFont="1" applyFill="1" applyBorder="1" applyAlignment="1" applyProtection="1">
      <alignment/>
      <protection/>
    </xf>
    <xf numFmtId="0" fontId="4" fillId="7" borderId="62" xfId="0" applyFont="1" applyFill="1" applyBorder="1" applyAlignment="1" applyProtection="1">
      <alignment/>
      <protection/>
    </xf>
    <xf numFmtId="0" fontId="5" fillId="3" borderId="3" xfId="0" applyFont="1" applyFill="1" applyBorder="1" applyAlignment="1" applyProtection="1">
      <alignment horizontal="center" vertical="center"/>
      <protection hidden="1"/>
    </xf>
    <xf numFmtId="193" fontId="5" fillId="3" borderId="14" xfId="0" applyNumberFormat="1" applyFont="1" applyFill="1" applyBorder="1" applyAlignment="1" applyProtection="1">
      <alignment horizontal="center" vertical="center"/>
      <protection hidden="1"/>
    </xf>
    <xf numFmtId="37" fontId="5" fillId="0" borderId="0" xfId="0" applyNumberFormat="1"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0" fontId="5" fillId="3" borderId="33" xfId="0" applyFont="1" applyFill="1" applyBorder="1" applyAlignment="1" applyProtection="1">
      <alignment horizontal="center" vertical="center"/>
      <protection hidden="1"/>
    </xf>
    <xf numFmtId="193" fontId="5" fillId="3" borderId="51" xfId="0" applyNumberFormat="1" applyFont="1" applyFill="1" applyBorder="1" applyAlignment="1" applyProtection="1">
      <alignment horizontal="center" vertical="center"/>
      <protection hidden="1"/>
    </xf>
    <xf numFmtId="183" fontId="4" fillId="0" borderId="23" xfId="0" applyNumberFormat="1" applyFont="1" applyFill="1" applyBorder="1" applyAlignment="1" applyProtection="1">
      <alignment horizontal="left"/>
      <protection locked="0"/>
    </xf>
    <xf numFmtId="0" fontId="5" fillId="3" borderId="21" xfId="0" applyFont="1" applyFill="1" applyBorder="1" applyAlignment="1" applyProtection="1">
      <alignment horizontal="center" vertical="center"/>
      <protection hidden="1"/>
    </xf>
    <xf numFmtId="0" fontId="4" fillId="0" borderId="23" xfId="32" applyFont="1" applyFill="1" applyBorder="1" applyProtection="1">
      <alignment/>
      <protection hidden="1"/>
    </xf>
    <xf numFmtId="0" fontId="4" fillId="0" borderId="23" xfId="32" applyFont="1" applyFill="1" applyBorder="1" applyProtection="1" quotePrefix="1">
      <alignment/>
      <protection hidden="1"/>
    </xf>
    <xf numFmtId="0" fontId="0" fillId="0" borderId="0" xfId="0" applyBorder="1" applyAlignment="1">
      <alignment/>
    </xf>
    <xf numFmtId="0" fontId="5" fillId="0" borderId="0" xfId="0" applyNumberFormat="1" applyFont="1" applyBorder="1" applyAlignment="1" applyProtection="1">
      <alignment horizontal="left" vertical="center" wrapText="1"/>
      <protection hidden="1"/>
    </xf>
    <xf numFmtId="0" fontId="5" fillId="0" borderId="68" xfId="0" applyFont="1" applyFill="1" applyBorder="1" applyAlignment="1" applyProtection="1">
      <alignment horizontal="center" vertical="center"/>
      <protection hidden="1"/>
    </xf>
    <xf numFmtId="0" fontId="4" fillId="0" borderId="52" xfId="0" applyFont="1" applyFill="1" applyBorder="1" applyAlignment="1" applyProtection="1">
      <alignment vertical="center"/>
      <protection hidden="1"/>
    </xf>
    <xf numFmtId="171" fontId="5" fillId="0" borderId="52" xfId="39" applyNumberFormat="1" applyFont="1" applyFill="1" applyBorder="1" applyProtection="1">
      <alignment/>
      <protection/>
    </xf>
    <xf numFmtId="178" fontId="5" fillId="0" borderId="52" xfId="36" applyFont="1" applyFill="1" applyBorder="1" applyProtection="1">
      <alignment/>
      <protection hidden="1"/>
    </xf>
    <xf numFmtId="178" fontId="5" fillId="0" borderId="0" xfId="36" applyFont="1" applyFill="1" applyBorder="1" applyProtection="1">
      <alignment/>
      <protection hidden="1"/>
    </xf>
    <xf numFmtId="190" fontId="4" fillId="0" borderId="23" xfId="36" applyNumberFormat="1" applyFont="1" applyFill="1" applyBorder="1" applyProtection="1">
      <alignment/>
      <protection locked="0"/>
    </xf>
    <xf numFmtId="178" fontId="5" fillId="3" borderId="61" xfId="36" applyFont="1" applyFill="1" applyBorder="1" applyProtection="1">
      <alignment/>
      <protection hidden="1"/>
    </xf>
    <xf numFmtId="190" fontId="5" fillId="3" borderId="23" xfId="36" applyNumberFormat="1" applyFont="1" applyFill="1" applyBorder="1" applyProtection="1">
      <alignment/>
      <protection hidden="1"/>
    </xf>
    <xf numFmtId="3" fontId="4" fillId="0" borderId="23" xfId="36" applyNumberFormat="1" applyFont="1" applyFill="1" applyBorder="1" applyAlignment="1" applyProtection="1">
      <alignment/>
      <protection locked="0"/>
    </xf>
    <xf numFmtId="0" fontId="5" fillId="3" borderId="37" xfId="0" applyFont="1" applyFill="1" applyBorder="1" applyAlignment="1" applyProtection="1">
      <alignment horizontal="center" vertical="center"/>
      <protection hidden="1"/>
    </xf>
    <xf numFmtId="0" fontId="5" fillId="3" borderId="22" xfId="0" applyFont="1" applyFill="1" applyBorder="1" applyAlignment="1" applyProtection="1">
      <alignment horizontal="center" vertical="center"/>
      <protection hidden="1"/>
    </xf>
    <xf numFmtId="0" fontId="4" fillId="3" borderId="50" xfId="0" applyFont="1" applyFill="1" applyBorder="1" applyAlignment="1" applyProtection="1">
      <alignment/>
      <protection/>
    </xf>
    <xf numFmtId="0" fontId="4" fillId="3" borderId="33" xfId="0" applyFont="1" applyFill="1" applyBorder="1" applyAlignment="1" applyProtection="1">
      <alignment/>
      <protection/>
    </xf>
    <xf numFmtId="0" fontId="4" fillId="3" borderId="51" xfId="0" applyFont="1" applyFill="1" applyBorder="1" applyAlignment="1" applyProtection="1">
      <alignment/>
      <protection/>
    </xf>
    <xf numFmtId="0" fontId="4" fillId="3" borderId="6" xfId="0" applyFont="1" applyFill="1" applyBorder="1" applyAlignment="1" applyProtection="1">
      <alignment/>
      <protection/>
    </xf>
    <xf numFmtId="0" fontId="4" fillId="3" borderId="37" xfId="0" applyFont="1" applyFill="1" applyBorder="1" applyAlignment="1" applyProtection="1">
      <alignment/>
      <protection hidden="1"/>
    </xf>
    <xf numFmtId="0" fontId="5" fillId="3" borderId="51" xfId="0" applyFont="1" applyFill="1" applyBorder="1" applyAlignment="1" applyProtection="1">
      <alignment vertical="center"/>
      <protection hidden="1"/>
    </xf>
    <xf numFmtId="37" fontId="5" fillId="3" borderId="6" xfId="0" applyNumberFormat="1" applyFont="1" applyFill="1" applyBorder="1" applyAlignment="1" applyProtection="1">
      <alignment horizontal="center" vertical="center" wrapText="1"/>
      <protection hidden="1"/>
    </xf>
    <xf numFmtId="0" fontId="4" fillId="3" borderId="22" xfId="0" applyFont="1" applyFill="1" applyBorder="1" applyAlignment="1" applyProtection="1">
      <alignment/>
      <protection hidden="1"/>
    </xf>
    <xf numFmtId="190" fontId="5" fillId="0" borderId="0" xfId="36" applyNumberFormat="1" applyFont="1" applyFill="1" applyBorder="1" applyProtection="1">
      <alignment/>
      <protection hidden="1"/>
    </xf>
    <xf numFmtId="178" fontId="5" fillId="3" borderId="25" xfId="39" applyFont="1" applyFill="1" applyBorder="1" applyProtection="1">
      <alignment/>
      <protection/>
    </xf>
    <xf numFmtId="37" fontId="5" fillId="3" borderId="13" xfId="0" applyNumberFormat="1" applyFont="1" applyFill="1" applyBorder="1" applyAlignment="1" applyProtection="1">
      <alignment horizontal="center" vertical="center" wrapText="1"/>
      <protection hidden="1"/>
    </xf>
    <xf numFmtId="37" fontId="4" fillId="3" borderId="13" xfId="0" applyNumberFormat="1" applyFont="1" applyFill="1" applyBorder="1" applyAlignment="1" applyProtection="1">
      <alignment horizontal="center" vertical="center" wrapText="1"/>
      <protection hidden="1"/>
    </xf>
    <xf numFmtId="37" fontId="3" fillId="3" borderId="37" xfId="0" applyNumberFormat="1" applyFont="1" applyFill="1" applyBorder="1" applyAlignment="1" applyProtection="1">
      <alignment horizontal="right" vertical="center"/>
      <protection hidden="1"/>
    </xf>
    <xf numFmtId="37" fontId="3" fillId="3" borderId="22" xfId="0" applyNumberFormat="1" applyFont="1" applyFill="1" applyBorder="1" applyAlignment="1" applyProtection="1">
      <alignment horizontal="right" vertical="center"/>
      <protection hidden="1"/>
    </xf>
    <xf numFmtId="0" fontId="4" fillId="0" borderId="47" xfId="0" applyFont="1" applyBorder="1" applyAlignment="1" applyProtection="1">
      <alignment/>
      <protection hidden="1"/>
    </xf>
    <xf numFmtId="0" fontId="4" fillId="3" borderId="33" xfId="0" applyFont="1" applyFill="1" applyBorder="1" applyAlignment="1" applyProtection="1">
      <alignment/>
      <protection hidden="1"/>
    </xf>
    <xf numFmtId="0" fontId="4" fillId="0" borderId="38" xfId="32" applyFont="1" applyFill="1" applyBorder="1" applyProtection="1">
      <alignment/>
      <protection hidden="1"/>
    </xf>
    <xf numFmtId="0" fontId="4" fillId="0" borderId="26" xfId="0" applyFont="1" applyBorder="1" applyAlignment="1" applyProtection="1">
      <alignment/>
      <protection hidden="1"/>
    </xf>
    <xf numFmtId="0" fontId="4" fillId="3" borderId="50" xfId="0" applyFont="1" applyFill="1" applyBorder="1" applyAlignment="1" applyProtection="1">
      <alignment/>
      <protection hidden="1"/>
    </xf>
    <xf numFmtId="0" fontId="4" fillId="3" borderId="6" xfId="0" applyFont="1" applyFill="1" applyBorder="1" applyAlignment="1" applyProtection="1">
      <alignment/>
      <protection hidden="1"/>
    </xf>
    <xf numFmtId="37" fontId="4" fillId="0" borderId="47" xfId="0" applyNumberFormat="1" applyFont="1" applyFill="1" applyBorder="1" applyAlignment="1" applyProtection="1">
      <alignment/>
      <protection hidden="1"/>
    </xf>
    <xf numFmtId="0" fontId="5" fillId="3" borderId="16" xfId="0" applyFont="1" applyFill="1" applyBorder="1" applyAlignment="1" applyProtection="1">
      <alignment/>
      <protection hidden="1"/>
    </xf>
    <xf numFmtId="0" fontId="4" fillId="3" borderId="7" xfId="0" applyFont="1" applyFill="1" applyBorder="1" applyAlignment="1" applyProtection="1">
      <alignment/>
      <protection hidden="1"/>
    </xf>
    <xf numFmtId="0" fontId="4" fillId="3" borderId="7" xfId="0" applyFont="1" applyFill="1" applyBorder="1" applyAlignment="1" applyProtection="1">
      <alignment/>
      <protection/>
    </xf>
    <xf numFmtId="0" fontId="4" fillId="0" borderId="17" xfId="0" applyFont="1" applyBorder="1" applyAlignment="1" applyProtection="1">
      <alignment horizontal="left" wrapText="1"/>
      <protection/>
    </xf>
    <xf numFmtId="0" fontId="5" fillId="3" borderId="21" xfId="32" applyFont="1" applyFill="1" applyBorder="1" applyAlignment="1" applyProtection="1">
      <alignment horizontal="left"/>
      <protection/>
    </xf>
    <xf numFmtId="37" fontId="5" fillId="0" borderId="0" xfId="0" applyNumberFormat="1" applyFont="1" applyFill="1" applyBorder="1" applyAlignment="1" applyProtection="1">
      <alignment horizontal="center" vertical="center"/>
      <protection hidden="1"/>
    </xf>
    <xf numFmtId="0" fontId="5" fillId="3" borderId="21" xfId="0" applyFont="1" applyFill="1" applyBorder="1" applyAlignment="1" applyProtection="1">
      <alignment horizontal="center"/>
      <protection hidden="1"/>
    </xf>
    <xf numFmtId="0" fontId="4" fillId="0" borderId="47" xfId="0" applyFont="1" applyFill="1" applyBorder="1" applyAlignment="1" applyProtection="1">
      <alignment/>
      <protection hidden="1"/>
    </xf>
    <xf numFmtId="0" fontId="5" fillId="3" borderId="50" xfId="0" applyFont="1" applyFill="1" applyBorder="1" applyAlignment="1" applyProtection="1">
      <alignment vertical="center"/>
      <protection hidden="1"/>
    </xf>
    <xf numFmtId="37" fontId="5" fillId="3" borderId="7" xfId="0" applyNumberFormat="1" applyFont="1" applyFill="1" applyBorder="1" applyAlignment="1" applyProtection="1">
      <alignment horizontal="left" vertical="center"/>
      <protection hidden="1"/>
    </xf>
    <xf numFmtId="0" fontId="4" fillId="0" borderId="47" xfId="0" applyFont="1" applyBorder="1" applyAlignment="1" applyProtection="1">
      <alignment horizontal="left"/>
      <protection hidden="1"/>
    </xf>
    <xf numFmtId="0" fontId="5" fillId="3" borderId="16" xfId="0" applyFont="1" applyFill="1" applyBorder="1" applyAlignment="1" applyProtection="1">
      <alignment horizontal="left"/>
      <protection hidden="1"/>
    </xf>
    <xf numFmtId="0" fontId="4" fillId="0" borderId="65" xfId="0" applyFont="1" applyFill="1" applyBorder="1" applyAlignment="1" applyProtection="1">
      <alignment/>
      <protection hidden="1"/>
    </xf>
    <xf numFmtId="198" fontId="4" fillId="0" borderId="38" xfId="0" applyNumberFormat="1" applyFont="1" applyBorder="1" applyAlignment="1" applyProtection="1">
      <alignment/>
      <protection hidden="1"/>
    </xf>
    <xf numFmtId="178" fontId="4" fillId="0" borderId="38" xfId="36" applyFont="1" applyFill="1" applyBorder="1" applyProtection="1">
      <alignment/>
      <protection/>
    </xf>
    <xf numFmtId="0" fontId="4" fillId="3" borderId="5" xfId="0" applyFont="1" applyFill="1" applyBorder="1" applyAlignment="1" applyProtection="1">
      <alignment horizontal="left"/>
      <protection/>
    </xf>
    <xf numFmtId="178" fontId="4" fillId="0" borderId="26" xfId="36" applyFont="1" applyFill="1" applyBorder="1" applyProtection="1">
      <alignment/>
      <protection hidden="1"/>
    </xf>
    <xf numFmtId="0" fontId="5" fillId="3" borderId="16" xfId="0" applyFont="1" applyFill="1" applyBorder="1" applyAlignment="1" applyProtection="1" quotePrefix="1">
      <alignment horizontal="left"/>
      <protection hidden="1"/>
    </xf>
    <xf numFmtId="37" fontId="4" fillId="0" borderId="23" xfId="0" applyNumberFormat="1" applyFont="1" applyFill="1" applyBorder="1" applyAlignment="1" applyProtection="1">
      <alignment/>
      <protection hidden="1"/>
    </xf>
    <xf numFmtId="37" fontId="4" fillId="0" borderId="23" xfId="0" applyNumberFormat="1" applyFont="1" applyFill="1" applyBorder="1" applyAlignment="1" applyProtection="1">
      <alignment horizontal="left" wrapText="1"/>
      <protection hidden="1"/>
    </xf>
    <xf numFmtId="0" fontId="14" fillId="0" borderId="47" xfId="0" applyNumberFormat="1" applyFont="1" applyFill="1" applyBorder="1" applyAlignment="1" applyProtection="1">
      <alignment horizontal="right"/>
      <protection hidden="1"/>
    </xf>
    <xf numFmtId="0" fontId="5" fillId="3" borderId="16" xfId="0" applyFont="1" applyFill="1" applyBorder="1" applyAlignment="1" applyProtection="1">
      <alignment horizontal="left" vertical="top" wrapText="1"/>
      <protection hidden="1"/>
    </xf>
    <xf numFmtId="0" fontId="5" fillId="3" borderId="5" xfId="0" applyFont="1" applyFill="1" applyBorder="1" applyAlignment="1" applyProtection="1">
      <alignment horizontal="left" vertical="top" wrapText="1"/>
      <protection hidden="1"/>
    </xf>
    <xf numFmtId="0" fontId="5" fillId="3" borderId="3" xfId="0" applyFont="1" applyFill="1" applyBorder="1" applyAlignment="1" applyProtection="1">
      <alignment horizontal="right" vertical="top" wrapText="1"/>
      <protection hidden="1"/>
    </xf>
    <xf numFmtId="0" fontId="5" fillId="0" borderId="6" xfId="0" applyFont="1" applyFill="1" applyBorder="1" applyAlignment="1" applyProtection="1">
      <alignment horizontal="left" vertical="top"/>
      <protection hidden="1"/>
    </xf>
    <xf numFmtId="0" fontId="5" fillId="0" borderId="6" xfId="0" applyFont="1" applyFill="1" applyBorder="1" applyAlignment="1" applyProtection="1">
      <alignment horizontal="left" vertical="top" wrapText="1"/>
      <protection hidden="1"/>
    </xf>
    <xf numFmtId="37" fontId="5" fillId="3" borderId="3" xfId="0" applyNumberFormat="1" applyFont="1" applyFill="1" applyBorder="1" applyAlignment="1" applyProtection="1">
      <alignment horizontal="center" vertical="center"/>
      <protection hidden="1"/>
    </xf>
    <xf numFmtId="0" fontId="4" fillId="0" borderId="0" xfId="0" applyNumberFormat="1" applyFont="1" applyAlignment="1" applyProtection="1">
      <alignment horizontal="left"/>
      <protection hidden="1"/>
    </xf>
    <xf numFmtId="0" fontId="5" fillId="3" borderId="16" xfId="0" applyFont="1" applyFill="1" applyBorder="1" applyAlignment="1" applyProtection="1">
      <alignment horizontal="center"/>
      <protection/>
    </xf>
    <xf numFmtId="0" fontId="4" fillId="3" borderId="3" xfId="0" applyFont="1" applyFill="1" applyBorder="1" applyAlignment="1" applyProtection="1">
      <alignment/>
      <protection/>
    </xf>
    <xf numFmtId="37" fontId="4" fillId="0" borderId="47" xfId="0" applyNumberFormat="1" applyFont="1" applyFill="1" applyBorder="1" applyAlignment="1" applyProtection="1">
      <alignment/>
      <protection hidden="1"/>
    </xf>
    <xf numFmtId="37" fontId="5" fillId="3" borderId="21" xfId="0" applyNumberFormat="1" applyFont="1" applyFill="1" applyBorder="1" applyAlignment="1" applyProtection="1">
      <alignment vertical="center"/>
      <protection hidden="1"/>
    </xf>
    <xf numFmtId="37" fontId="5" fillId="3" borderId="14" xfId="0" applyNumberFormat="1" applyFont="1" applyFill="1" applyBorder="1" applyAlignment="1" applyProtection="1">
      <alignment/>
      <protection hidden="1"/>
    </xf>
    <xf numFmtId="37" fontId="5" fillId="3" borderId="2" xfId="0" applyNumberFormat="1"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37" fontId="5" fillId="0" borderId="0" xfId="0" applyNumberFormat="1" applyFont="1" applyBorder="1" applyAlignment="1" applyProtection="1">
      <alignment vertical="center"/>
      <protection hidden="1"/>
    </xf>
    <xf numFmtId="37" fontId="5" fillId="3" borderId="2" xfId="0" applyNumberFormat="1" applyFont="1" applyFill="1" applyBorder="1" applyAlignment="1" applyProtection="1">
      <alignment/>
      <protection hidden="1"/>
    </xf>
    <xf numFmtId="0" fontId="4" fillId="0" borderId="26" xfId="0" applyNumberFormat="1" applyFont="1" applyFill="1" applyBorder="1" applyAlignment="1" applyProtection="1">
      <alignment horizontal="left"/>
      <protection hidden="1"/>
    </xf>
    <xf numFmtId="0" fontId="5" fillId="3" borderId="21" xfId="0" applyFont="1" applyFill="1" applyBorder="1" applyAlignment="1" applyProtection="1">
      <alignment horizontal="left" vertical="top" wrapText="1"/>
      <protection hidden="1"/>
    </xf>
    <xf numFmtId="0" fontId="4" fillId="3" borderId="14" xfId="0" applyFont="1" applyFill="1" applyBorder="1" applyAlignment="1" applyProtection="1">
      <alignment/>
      <protection/>
    </xf>
    <xf numFmtId="0" fontId="4" fillId="3" borderId="21" xfId="0" applyFont="1" applyFill="1" applyBorder="1" applyAlignment="1" applyProtection="1">
      <alignment/>
      <protection hidden="1"/>
    </xf>
    <xf numFmtId="193" fontId="5" fillId="3" borderId="6" xfId="0" applyNumberFormat="1" applyFont="1" applyFill="1" applyBorder="1" applyAlignment="1" applyProtection="1">
      <alignment horizontal="center" vertical="center"/>
      <protection hidden="1"/>
    </xf>
    <xf numFmtId="170" fontId="5" fillId="3" borderId="37" xfId="0" applyNumberFormat="1" applyFont="1" applyFill="1" applyBorder="1" applyAlignment="1" applyProtection="1">
      <alignment horizontal="center" vertical="center"/>
      <protection hidden="1"/>
    </xf>
    <xf numFmtId="170" fontId="5" fillId="3" borderId="22" xfId="0" applyNumberFormat="1" applyFont="1" applyFill="1" applyBorder="1" applyAlignment="1" applyProtection="1">
      <alignment horizontal="center" vertical="center"/>
      <protection hidden="1"/>
    </xf>
    <xf numFmtId="170" fontId="5" fillId="3" borderId="21" xfId="0" applyNumberFormat="1" applyFont="1" applyFill="1" applyBorder="1" applyAlignment="1" applyProtection="1">
      <alignment horizontal="center" vertical="center"/>
      <protection hidden="1"/>
    </xf>
    <xf numFmtId="170" fontId="5" fillId="3" borderId="14" xfId="0" applyNumberFormat="1" applyFont="1" applyFill="1" applyBorder="1" applyAlignment="1" applyProtection="1">
      <alignment horizontal="center" vertical="center"/>
      <protection hidden="1"/>
    </xf>
    <xf numFmtId="0" fontId="4" fillId="3" borderId="21" xfId="0" applyFont="1" applyFill="1" applyBorder="1" applyAlignment="1" applyProtection="1">
      <alignment/>
      <protection hidden="1"/>
    </xf>
    <xf numFmtId="0" fontId="4" fillId="3" borderId="14" xfId="0" applyFont="1" applyFill="1" applyBorder="1" applyAlignment="1" applyProtection="1">
      <alignment/>
      <protection hidden="1"/>
    </xf>
    <xf numFmtId="37" fontId="24" fillId="0" borderId="0" xfId="0" applyNumberFormat="1" applyFont="1" applyFill="1" applyBorder="1" applyAlignment="1" applyProtection="1">
      <alignment/>
      <protection hidden="1"/>
    </xf>
    <xf numFmtId="37" fontId="5" fillId="3" borderId="21" xfId="0" applyNumberFormat="1" applyFont="1" applyFill="1" applyBorder="1" applyAlignment="1" applyProtection="1">
      <alignment/>
      <protection hidden="1"/>
    </xf>
    <xf numFmtId="178" fontId="5" fillId="0" borderId="26" xfId="36" applyFont="1" applyFill="1" applyBorder="1" applyAlignment="1" applyProtection="1">
      <alignment horizontal="right"/>
      <protection hidden="1"/>
    </xf>
    <xf numFmtId="178" fontId="5" fillId="0" borderId="47" xfId="36" applyFont="1" applyFill="1" applyBorder="1" applyAlignment="1" applyProtection="1">
      <alignment horizontal="right"/>
      <protection hidden="1"/>
    </xf>
    <xf numFmtId="37" fontId="5" fillId="3" borderId="16" xfId="0" applyNumberFormat="1" applyFont="1" applyFill="1" applyBorder="1" applyAlignment="1" applyProtection="1">
      <alignment/>
      <protection hidden="1"/>
    </xf>
    <xf numFmtId="37" fontId="4" fillId="3" borderId="5" xfId="0" applyNumberFormat="1" applyFont="1" applyFill="1" applyBorder="1" applyAlignment="1" applyProtection="1">
      <alignment/>
      <protection hidden="1"/>
    </xf>
    <xf numFmtId="3" fontId="3" fillId="3" borderId="21" xfId="0" applyNumberFormat="1" applyFont="1" applyFill="1" applyBorder="1" applyAlignment="1" applyProtection="1">
      <alignment horizontal="center" vertical="center"/>
      <protection hidden="1"/>
    </xf>
    <xf numFmtId="0" fontId="3" fillId="3" borderId="21"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178" fontId="2" fillId="0" borderId="26" xfId="36" applyFont="1" applyFill="1" applyBorder="1" applyAlignment="1" applyProtection="1">
      <alignment horizontal="right"/>
      <protection/>
    </xf>
    <xf numFmtId="178" fontId="2" fillId="0" borderId="47" xfId="36" applyFont="1" applyFill="1" applyBorder="1" applyAlignment="1" applyProtection="1">
      <alignment horizontal="right"/>
      <protection/>
    </xf>
    <xf numFmtId="0" fontId="5" fillId="3" borderId="50" xfId="0" applyFont="1" applyFill="1" applyBorder="1" applyAlignment="1" applyProtection="1">
      <alignment horizontal="left" vertical="center"/>
      <protection hidden="1"/>
    </xf>
    <xf numFmtId="0" fontId="4" fillId="3" borderId="33" xfId="0" applyFont="1" applyFill="1" applyBorder="1" applyAlignment="1" applyProtection="1">
      <alignment horizontal="left"/>
      <protection hidden="1"/>
    </xf>
    <xf numFmtId="0" fontId="4" fillId="3" borderId="33" xfId="0" applyFont="1" applyFill="1" applyBorder="1" applyAlignment="1" applyProtection="1">
      <alignment/>
      <protection hidden="1"/>
    </xf>
    <xf numFmtId="178" fontId="4" fillId="3" borderId="33" xfId="0" applyNumberFormat="1" applyFont="1" applyFill="1" applyBorder="1" applyAlignment="1" applyProtection="1">
      <alignment/>
      <protection hidden="1"/>
    </xf>
    <xf numFmtId="3" fontId="4" fillId="3" borderId="33"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2" fillId="3" borderId="51" xfId="0" applyFont="1" applyFill="1" applyBorder="1" applyAlignment="1" applyProtection="1">
      <alignment/>
      <protection/>
    </xf>
    <xf numFmtId="0" fontId="3" fillId="3" borderId="6" xfId="0" applyFont="1" applyFill="1" applyBorder="1" applyAlignment="1" applyProtection="1">
      <alignment/>
      <protection hidden="1"/>
    </xf>
    <xf numFmtId="3" fontId="3" fillId="3" borderId="6" xfId="0" applyNumberFormat="1" applyFont="1" applyFill="1" applyBorder="1" applyAlignment="1" applyProtection="1">
      <alignment/>
      <protection hidden="1"/>
    </xf>
    <xf numFmtId="0" fontId="2" fillId="3" borderId="6" xfId="0" applyFont="1" applyFill="1" applyBorder="1" applyAlignment="1" applyProtection="1">
      <alignment/>
      <protection hidden="1"/>
    </xf>
    <xf numFmtId="0" fontId="2" fillId="3" borderId="6" xfId="0" applyFont="1" applyFill="1" applyBorder="1" applyAlignment="1" applyProtection="1">
      <alignment horizontal="center"/>
      <protection hidden="1"/>
    </xf>
    <xf numFmtId="0" fontId="2" fillId="3" borderId="22" xfId="0" applyFont="1" applyFill="1" applyBorder="1" applyAlignment="1" applyProtection="1">
      <alignment horizontal="center"/>
      <protection hidden="1"/>
    </xf>
    <xf numFmtId="171" fontId="2" fillId="0" borderId="47" xfId="36" applyNumberFormat="1" applyFont="1" applyFill="1" applyBorder="1" applyAlignment="1" applyProtection="1">
      <alignment horizontal="right"/>
      <protection/>
    </xf>
    <xf numFmtId="0" fontId="2" fillId="3" borderId="14" xfId="0" applyFont="1" applyFill="1" applyBorder="1" applyAlignment="1" applyProtection="1">
      <alignment horizontal="center"/>
      <protection hidden="1"/>
    </xf>
    <xf numFmtId="3" fontId="3" fillId="3" borderId="14" xfId="0" applyNumberFormat="1" applyFont="1" applyFill="1" applyBorder="1" applyAlignment="1" applyProtection="1">
      <alignment vertical="center"/>
      <protection hidden="1"/>
    </xf>
    <xf numFmtId="0" fontId="4" fillId="0" borderId="47" xfId="0" applyFont="1" applyFill="1" applyBorder="1" applyAlignment="1" applyProtection="1">
      <alignment horizontal="left"/>
      <protection hidden="1"/>
    </xf>
    <xf numFmtId="3" fontId="4" fillId="0" borderId="26" xfId="0" applyNumberFormat="1" applyFont="1" applyFill="1" applyBorder="1" applyAlignment="1" applyProtection="1" quotePrefix="1">
      <alignment horizontal="left"/>
      <protection hidden="1"/>
    </xf>
    <xf numFmtId="0" fontId="4" fillId="0" borderId="26" xfId="0" applyFont="1" applyFill="1" applyBorder="1" applyAlignment="1" applyProtection="1">
      <alignment/>
      <protection/>
    </xf>
    <xf numFmtId="0" fontId="4" fillId="0" borderId="47" xfId="0" applyFont="1" applyFill="1" applyBorder="1" applyAlignment="1" applyProtection="1">
      <alignment/>
      <protection/>
    </xf>
    <xf numFmtId="0" fontId="4" fillId="3" borderId="16" xfId="0" applyFont="1" applyFill="1" applyBorder="1" applyAlignment="1" applyProtection="1">
      <alignment/>
      <protection/>
    </xf>
    <xf numFmtId="37" fontId="4" fillId="3" borderId="5" xfId="0" applyNumberFormat="1" applyFont="1" applyFill="1" applyBorder="1" applyAlignment="1" applyProtection="1">
      <alignment/>
      <protection/>
    </xf>
    <xf numFmtId="0" fontId="4" fillId="3" borderId="7" xfId="0" applyFont="1" applyFill="1" applyBorder="1" applyAlignment="1" applyProtection="1">
      <alignment/>
      <protection/>
    </xf>
    <xf numFmtId="0" fontId="4" fillId="3" borderId="21" xfId="0" applyFont="1" applyFill="1" applyBorder="1" applyAlignment="1" applyProtection="1">
      <alignment/>
      <protection/>
    </xf>
    <xf numFmtId="0" fontId="5" fillId="3" borderId="21" xfId="0" applyNumberFormat="1" applyFont="1" applyFill="1" applyBorder="1" applyAlignment="1" applyProtection="1">
      <alignment horizontal="center" vertical="center"/>
      <protection hidden="1"/>
    </xf>
    <xf numFmtId="0" fontId="5" fillId="3" borderId="14" xfId="0" applyNumberFormat="1" applyFont="1" applyFill="1" applyBorder="1" applyAlignment="1" applyProtection="1">
      <alignment horizontal="center" vertical="center"/>
      <protection hidden="1"/>
    </xf>
    <xf numFmtId="0" fontId="4" fillId="0" borderId="49" xfId="0" applyFont="1" applyFill="1" applyBorder="1" applyAlignment="1" applyProtection="1">
      <alignment/>
      <protection hidden="1"/>
    </xf>
    <xf numFmtId="185" fontId="4" fillId="0" borderId="13" xfId="38" applyFont="1" applyFill="1" applyBorder="1" applyAlignment="1" applyProtection="1">
      <alignment horizontal="right"/>
      <protection/>
    </xf>
    <xf numFmtId="192" fontId="4" fillId="0" borderId="13" xfId="0" applyNumberFormat="1" applyFont="1" applyFill="1" applyBorder="1" applyAlignment="1" applyProtection="1">
      <alignment horizontal="left"/>
      <protection hidden="1"/>
    </xf>
    <xf numFmtId="185" fontId="4" fillId="0" borderId="17" xfId="38" applyFont="1" applyFill="1" applyBorder="1" applyAlignment="1" applyProtection="1">
      <alignment horizontal="right"/>
      <protection/>
    </xf>
    <xf numFmtId="185" fontId="4" fillId="3" borderId="13" xfId="38" applyFont="1" applyFill="1" applyBorder="1" applyAlignment="1" applyProtection="1">
      <alignment horizontal="right"/>
      <protection/>
    </xf>
    <xf numFmtId="0" fontId="4" fillId="3" borderId="13" xfId="0" applyNumberFormat="1" applyFont="1" applyFill="1" applyBorder="1" applyAlignment="1" applyProtection="1">
      <alignment horizontal="left"/>
      <protection hidden="1"/>
    </xf>
    <xf numFmtId="185" fontId="4" fillId="3" borderId="17" xfId="38" applyFont="1" applyFill="1" applyBorder="1" applyAlignment="1" applyProtection="1">
      <alignment horizontal="right"/>
      <protection/>
    </xf>
    <xf numFmtId="178" fontId="5" fillId="0" borderId="47" xfId="36" applyFont="1" applyFill="1" applyBorder="1" applyAlignment="1" applyProtection="1">
      <alignment horizontal="left"/>
      <protection locked="0"/>
    </xf>
    <xf numFmtId="178" fontId="4" fillId="0" borderId="32" xfId="39" applyFont="1" applyFill="1" applyBorder="1" applyProtection="1">
      <alignment/>
      <protection/>
    </xf>
    <xf numFmtId="0" fontId="4" fillId="0" borderId="32" xfId="0" applyNumberFormat="1" applyFont="1" applyFill="1" applyBorder="1" applyAlignment="1" applyProtection="1">
      <alignment horizontal="left"/>
      <protection/>
    </xf>
    <xf numFmtId="178" fontId="4" fillId="0" borderId="12" xfId="39" applyFont="1" applyFill="1" applyBorder="1" applyProtection="1">
      <alignment/>
      <protection/>
    </xf>
    <xf numFmtId="0" fontId="4" fillId="0" borderId="32" xfId="0" applyFont="1" applyBorder="1" applyAlignment="1" applyProtection="1">
      <alignment/>
      <protection/>
    </xf>
    <xf numFmtId="178" fontId="5" fillId="3" borderId="13" xfId="39" applyFont="1" applyFill="1" applyBorder="1" applyProtection="1">
      <alignment/>
      <protection/>
    </xf>
    <xf numFmtId="37" fontId="5" fillId="3" borderId="49" xfId="0" applyNumberFormat="1" applyFont="1" applyFill="1" applyBorder="1" applyAlignment="1" applyProtection="1">
      <alignment/>
      <protection hidden="1"/>
    </xf>
    <xf numFmtId="37" fontId="5" fillId="3" borderId="32" xfId="0" applyNumberFormat="1" applyFont="1" applyFill="1" applyBorder="1" applyAlignment="1" applyProtection="1">
      <alignment/>
      <protection hidden="1"/>
    </xf>
    <xf numFmtId="0" fontId="5" fillId="3" borderId="32" xfId="0" applyFont="1" applyFill="1" applyBorder="1" applyAlignment="1" applyProtection="1">
      <alignment/>
      <protection hidden="1"/>
    </xf>
    <xf numFmtId="0" fontId="5" fillId="3" borderId="12" xfId="0" applyFont="1" applyFill="1" applyBorder="1" applyAlignment="1" applyProtection="1">
      <alignment/>
      <protection hidden="1"/>
    </xf>
    <xf numFmtId="0" fontId="0" fillId="3" borderId="26" xfId="0" applyFill="1" applyBorder="1" applyAlignment="1">
      <alignment/>
    </xf>
    <xf numFmtId="0" fontId="0" fillId="3" borderId="47" xfId="0" applyFill="1" applyBorder="1" applyAlignment="1">
      <alignment/>
    </xf>
    <xf numFmtId="178" fontId="5" fillId="0" borderId="0" xfId="39" applyFont="1" applyFill="1" applyBorder="1" applyProtection="1">
      <alignment/>
      <protection/>
    </xf>
    <xf numFmtId="178" fontId="4" fillId="0" borderId="69" xfId="36" applyFont="1" applyFill="1" applyBorder="1" applyProtection="1">
      <alignment/>
      <protection locked="0"/>
    </xf>
    <xf numFmtId="178" fontId="4" fillId="0" borderId="48" xfId="36" applyFont="1" applyFill="1" applyBorder="1" applyProtection="1">
      <alignment/>
      <protection locked="0"/>
    </xf>
    <xf numFmtId="178" fontId="4" fillId="0" borderId="39" xfId="36" applyFont="1" applyFill="1" applyBorder="1" applyProtection="1">
      <alignment/>
      <protection locked="0"/>
    </xf>
    <xf numFmtId="178" fontId="4" fillId="0" borderId="25" xfId="36" applyFont="1" applyFill="1" applyBorder="1" applyProtection="1">
      <alignment/>
      <protection locked="0"/>
    </xf>
    <xf numFmtId="0" fontId="0" fillId="3" borderId="38" xfId="0" applyFill="1" applyBorder="1" applyAlignment="1">
      <alignment vertical="top"/>
    </xf>
    <xf numFmtId="0" fontId="4" fillId="0" borderId="33" xfId="0" applyFont="1" applyBorder="1" applyAlignment="1" applyProtection="1">
      <alignment/>
      <protection/>
    </xf>
    <xf numFmtId="4" fontId="4" fillId="0" borderId="23" xfId="36" applyNumberFormat="1" applyFont="1" applyFill="1" applyBorder="1" applyProtection="1">
      <alignment/>
      <protection locked="0"/>
    </xf>
    <xf numFmtId="0" fontId="4" fillId="0" borderId="23" xfId="0" applyFont="1" applyBorder="1" applyAlignment="1" applyProtection="1">
      <alignment/>
      <protection/>
    </xf>
    <xf numFmtId="0" fontId="5" fillId="0" borderId="32" xfId="0" applyNumberFormat="1" applyFont="1" applyBorder="1" applyAlignment="1" applyProtection="1">
      <alignment/>
      <protection hidden="1"/>
    </xf>
    <xf numFmtId="0" fontId="5" fillId="0" borderId="64" xfId="0" applyNumberFormat="1" applyFont="1" applyBorder="1" applyAlignment="1" applyProtection="1">
      <alignment/>
      <protection/>
    </xf>
    <xf numFmtId="37" fontId="4" fillId="0" borderId="17" xfId="0" applyNumberFormat="1" applyFont="1" applyFill="1" applyBorder="1" applyAlignment="1" applyProtection="1" quotePrefix="1">
      <alignment horizontal="center"/>
      <protection hidden="1"/>
    </xf>
    <xf numFmtId="0" fontId="4" fillId="0" borderId="18" xfId="0" applyFont="1" applyBorder="1" applyAlignment="1" applyProtection="1">
      <alignment/>
      <protection/>
    </xf>
    <xf numFmtId="4" fontId="4" fillId="0" borderId="24" xfId="37" applyNumberFormat="1" applyFont="1" applyFill="1" applyBorder="1" applyProtection="1">
      <alignment/>
      <protection/>
    </xf>
    <xf numFmtId="37" fontId="5" fillId="3" borderId="65" xfId="0" applyNumberFormat="1" applyFont="1" applyFill="1" applyBorder="1" applyAlignment="1" applyProtection="1">
      <alignment/>
      <protection hidden="1"/>
    </xf>
    <xf numFmtId="0" fontId="24" fillId="0" borderId="0" xfId="0" applyFont="1" applyAlignment="1" applyProtection="1">
      <alignment horizontal="left" vertical="center"/>
      <protection hidden="1"/>
    </xf>
    <xf numFmtId="0" fontId="0" fillId="0" borderId="0" xfId="0" applyFill="1" applyBorder="1" applyAlignment="1">
      <alignment/>
    </xf>
    <xf numFmtId="37" fontId="5" fillId="0" borderId="26" xfId="0" applyNumberFormat="1" applyFont="1" applyFill="1" applyBorder="1" applyAlignment="1" applyProtection="1">
      <alignment vertical="center"/>
      <protection hidden="1"/>
    </xf>
    <xf numFmtId="37" fontId="4" fillId="0" borderId="0" xfId="0" applyNumberFormat="1" applyFont="1" applyAlignment="1" applyProtection="1">
      <alignment horizontal="left" vertical="center" wrapText="1"/>
      <protection hidden="1"/>
    </xf>
    <xf numFmtId="37" fontId="4" fillId="0" borderId="0" xfId="0" applyNumberFormat="1" applyFont="1" applyAlignment="1" applyProtection="1">
      <alignment horizontal="justify"/>
      <protection hidden="1"/>
    </xf>
    <xf numFmtId="0" fontId="4" fillId="0" borderId="0" xfId="0" applyNumberFormat="1" applyFont="1" applyAlignment="1" applyProtection="1">
      <alignment wrapText="1"/>
      <protection hidden="1"/>
    </xf>
    <xf numFmtId="178" fontId="1" fillId="0" borderId="23" xfId="39" applyFont="1" applyFill="1" applyBorder="1" applyAlignment="1" applyProtection="1">
      <alignment horizontal="right"/>
      <protection locked="0"/>
    </xf>
    <xf numFmtId="37" fontId="5" fillId="3" borderId="34" xfId="0" applyNumberFormat="1" applyFont="1" applyFill="1" applyBorder="1" applyAlignment="1" applyProtection="1">
      <alignment horizontal="center" vertical="center"/>
      <protection hidden="1"/>
    </xf>
    <xf numFmtId="211" fontId="4" fillId="0" borderId="0" xfId="0" applyNumberFormat="1" applyFont="1" applyAlignment="1">
      <alignment horizontal="center"/>
    </xf>
    <xf numFmtId="211" fontId="4" fillId="0" borderId="23" xfId="0" applyNumberFormat="1" applyFont="1" applyBorder="1" applyAlignment="1">
      <alignment horizontal="center"/>
    </xf>
    <xf numFmtId="0" fontId="4" fillId="0" borderId="0" xfId="0" applyNumberFormat="1" applyFont="1" applyAlignment="1" applyProtection="1">
      <alignment horizontal="justify" vertical="top" wrapText="1"/>
      <protection hidden="1"/>
    </xf>
    <xf numFmtId="0" fontId="5" fillId="0" borderId="34" xfId="0" applyNumberFormat="1" applyFont="1" applyBorder="1" applyAlignment="1" applyProtection="1">
      <alignment/>
      <protection/>
    </xf>
    <xf numFmtId="0" fontId="5" fillId="3" borderId="2" xfId="0" applyFont="1" applyFill="1" applyBorder="1" applyAlignment="1" applyProtection="1">
      <alignment horizontal="center" vertical="center"/>
      <protection hidden="1"/>
    </xf>
    <xf numFmtId="193" fontId="5" fillId="3" borderId="2" xfId="0" applyNumberFormat="1" applyFont="1" applyFill="1" applyBorder="1" applyAlignment="1" applyProtection="1">
      <alignment horizontal="center" vertical="center"/>
      <protection hidden="1"/>
    </xf>
    <xf numFmtId="193" fontId="5" fillId="3" borderId="34" xfId="0" applyNumberFormat="1" applyFont="1" applyFill="1" applyBorder="1" applyAlignment="1" applyProtection="1">
      <alignment horizontal="center" vertical="center"/>
      <protection hidden="1"/>
    </xf>
    <xf numFmtId="173" fontId="4" fillId="0" borderId="38" xfId="0" applyNumberFormat="1" applyFont="1" applyFill="1" applyBorder="1" applyAlignment="1" applyProtection="1">
      <alignment horizontal="right"/>
      <protection locked="0"/>
    </xf>
    <xf numFmtId="193" fontId="5" fillId="3" borderId="21" xfId="0" applyNumberFormat="1" applyFont="1" applyFill="1" applyBorder="1" applyAlignment="1" applyProtection="1">
      <alignment horizontal="center" vertical="center"/>
      <protection hidden="1"/>
    </xf>
    <xf numFmtId="0" fontId="4" fillId="3" borderId="14" xfId="0" applyFont="1" applyFill="1" applyBorder="1" applyAlignment="1" applyProtection="1">
      <alignment/>
      <protection/>
    </xf>
    <xf numFmtId="0" fontId="0" fillId="0" borderId="6" xfId="0" applyFill="1" applyBorder="1" applyAlignment="1">
      <alignment horizontal="center" vertical="center"/>
    </xf>
    <xf numFmtId="193" fontId="5" fillId="0" borderId="6" xfId="0" applyNumberFormat="1" applyFont="1" applyFill="1" applyBorder="1" applyAlignment="1" applyProtection="1">
      <alignment vertical="center"/>
      <protection hidden="1"/>
    </xf>
    <xf numFmtId="178" fontId="4" fillId="0" borderId="61" xfId="36" applyFont="1" applyBorder="1" applyProtection="1">
      <alignment/>
      <protection/>
    </xf>
    <xf numFmtId="173" fontId="4" fillId="0" borderId="23" xfId="0" applyNumberFormat="1" applyFont="1" applyBorder="1" applyAlignment="1" applyProtection="1">
      <alignment horizontal="center"/>
      <protection hidden="1"/>
    </xf>
    <xf numFmtId="2" fontId="4" fillId="0" borderId="23" xfId="0" applyNumberFormat="1" applyFont="1" applyBorder="1" applyAlignment="1" applyProtection="1">
      <alignment horizontal="center"/>
      <protection hidden="1"/>
    </xf>
    <xf numFmtId="189" fontId="4" fillId="0" borderId="5" xfId="0" applyNumberFormat="1" applyFont="1" applyBorder="1" applyAlignment="1" applyProtection="1">
      <alignment horizontal="right" vertical="center"/>
      <protection hidden="1"/>
    </xf>
    <xf numFmtId="0" fontId="5" fillId="3" borderId="50"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4" fillId="0" borderId="5" xfId="0" applyFont="1" applyBorder="1" applyAlignment="1" applyProtection="1">
      <alignment/>
      <protection/>
    </xf>
    <xf numFmtId="189" fontId="2" fillId="0" borderId="5" xfId="0" applyNumberFormat="1" applyFont="1" applyBorder="1" applyAlignment="1" applyProtection="1">
      <alignment horizontal="right" vertical="center"/>
      <protection hidden="1"/>
    </xf>
    <xf numFmtId="189" fontId="5" fillId="3" borderId="23" xfId="0" applyNumberFormat="1" applyFont="1" applyFill="1" applyBorder="1" applyAlignment="1" applyProtection="1">
      <alignment horizontal="left"/>
      <protection hidden="1"/>
    </xf>
    <xf numFmtId="2" fontId="4" fillId="0" borderId="0" xfId="0" applyNumberFormat="1" applyFont="1" applyBorder="1" applyAlignment="1" applyProtection="1">
      <alignment horizontal="center"/>
      <protection hidden="1"/>
    </xf>
    <xf numFmtId="0" fontId="4" fillId="0" borderId="25" xfId="0" applyFont="1" applyBorder="1" applyAlignment="1" applyProtection="1">
      <alignment/>
      <protection/>
    </xf>
    <xf numFmtId="49" fontId="4" fillId="0" borderId="13" xfId="0" applyNumberFormat="1" applyFont="1" applyBorder="1" applyAlignment="1" applyProtection="1">
      <alignment horizontal="center"/>
      <protection/>
    </xf>
    <xf numFmtId="0" fontId="4" fillId="0" borderId="17" xfId="0" applyFont="1" applyBorder="1" applyAlignment="1" applyProtection="1">
      <alignment/>
      <protection/>
    </xf>
    <xf numFmtId="0" fontId="4" fillId="0" borderId="65" xfId="0" applyFont="1" applyBorder="1" applyAlignment="1" applyProtection="1">
      <alignment/>
      <protection/>
    </xf>
    <xf numFmtId="49" fontId="4" fillId="0" borderId="26" xfId="0" applyNumberFormat="1" applyFont="1" applyBorder="1" applyAlignment="1" applyProtection="1">
      <alignment horizontal="center"/>
      <protection/>
    </xf>
    <xf numFmtId="0" fontId="4" fillId="0" borderId="47" xfId="0" applyFont="1" applyBorder="1" applyAlignment="1" applyProtection="1">
      <alignment/>
      <protection/>
    </xf>
    <xf numFmtId="0" fontId="24" fillId="0" borderId="0" xfId="0" applyFont="1" applyBorder="1" applyAlignment="1" applyProtection="1">
      <alignment/>
      <protection/>
    </xf>
    <xf numFmtId="49" fontId="4" fillId="0" borderId="32" xfId="0" applyNumberFormat="1" applyFont="1" applyBorder="1" applyAlignment="1" applyProtection="1">
      <alignment horizontal="center"/>
      <protection/>
    </xf>
    <xf numFmtId="0" fontId="4" fillId="0" borderId="32" xfId="0" applyFont="1" applyBorder="1" applyAlignment="1" applyProtection="1">
      <alignment/>
      <protection/>
    </xf>
    <xf numFmtId="0" fontId="24" fillId="0" borderId="0" xfId="0" applyFont="1" applyAlignment="1" applyProtection="1">
      <alignment/>
      <protection/>
    </xf>
    <xf numFmtId="0" fontId="5" fillId="3" borderId="16" xfId="0" applyFont="1" applyFill="1" applyBorder="1" applyAlignment="1" applyProtection="1">
      <alignment/>
      <protection/>
    </xf>
    <xf numFmtId="49" fontId="4" fillId="3" borderId="5" xfId="0" applyNumberFormat="1" applyFont="1" applyFill="1" applyBorder="1" applyAlignment="1" applyProtection="1">
      <alignment horizontal="center"/>
      <protection/>
    </xf>
    <xf numFmtId="0" fontId="5" fillId="3" borderId="3" xfId="0" applyFont="1" applyFill="1" applyBorder="1" applyAlignment="1" applyProtection="1" quotePrefix="1">
      <alignment horizontal="center"/>
      <protection/>
    </xf>
    <xf numFmtId="10" fontId="4" fillId="0" borderId="23" xfId="0" applyNumberFormat="1" applyFont="1" applyBorder="1" applyAlignment="1" applyProtection="1">
      <alignment horizontal="center"/>
      <protection/>
    </xf>
    <xf numFmtId="193" fontId="5" fillId="3" borderId="3" xfId="0" applyNumberFormat="1" applyFont="1" applyFill="1" applyBorder="1" applyAlignment="1" applyProtection="1">
      <alignment horizontal="center" vertical="center" wrapText="1"/>
      <protection hidden="1"/>
    </xf>
    <xf numFmtId="0" fontId="24" fillId="0" borderId="0" xfId="0" applyFont="1" applyAlignment="1" applyProtection="1">
      <alignment/>
      <protection hidden="1"/>
    </xf>
    <xf numFmtId="0" fontId="4" fillId="0" borderId="0" xfId="0" applyFont="1" applyAlignment="1">
      <alignment/>
    </xf>
    <xf numFmtId="0" fontId="4" fillId="0" borderId="0" xfId="0" applyFont="1" applyAlignment="1" applyProtection="1">
      <alignment/>
      <protection/>
    </xf>
    <xf numFmtId="0" fontId="24" fillId="0" borderId="0" xfId="0" applyFont="1" applyAlignment="1" applyProtection="1">
      <alignment/>
      <protection/>
    </xf>
    <xf numFmtId="0" fontId="15" fillId="0" borderId="0" xfId="0" applyFont="1" applyAlignment="1" applyProtection="1">
      <alignment horizontal="center"/>
      <protection/>
    </xf>
    <xf numFmtId="37" fontId="5" fillId="3" borderId="37" xfId="0" applyNumberFormat="1" applyFont="1" applyFill="1" applyBorder="1" applyAlignment="1" applyProtection="1">
      <alignment horizontal="center" vertical="center" wrapText="1"/>
      <protection hidden="1"/>
    </xf>
    <xf numFmtId="180" fontId="4" fillId="0" borderId="23" xfId="36" applyNumberFormat="1" applyFont="1" applyFill="1" applyBorder="1" applyProtection="1">
      <alignment/>
      <protection/>
    </xf>
    <xf numFmtId="0" fontId="22" fillId="0" borderId="0" xfId="18" applyAlignment="1" applyProtection="1">
      <alignment/>
      <protection/>
    </xf>
    <xf numFmtId="0" fontId="5" fillId="0" borderId="26" xfId="0" applyFont="1" applyFill="1" applyBorder="1" applyAlignment="1" applyProtection="1">
      <alignment/>
      <protection/>
    </xf>
    <xf numFmtId="0" fontId="4" fillId="0" borderId="5" xfId="0" applyNumberFormat="1" applyFont="1" applyBorder="1" applyAlignment="1" applyProtection="1">
      <alignment vertical="center" readingOrder="2"/>
      <protection hidden="1"/>
    </xf>
    <xf numFmtId="0" fontId="4" fillId="0" borderId="61"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37" fontId="4" fillId="0" borderId="0" xfId="0" applyNumberFormat="1" applyFont="1" applyFill="1" applyBorder="1" applyAlignment="1" applyProtection="1">
      <alignment readingOrder="1"/>
      <protection hidden="1"/>
    </xf>
    <xf numFmtId="37" fontId="4" fillId="0" borderId="25" xfId="0" applyNumberFormat="1" applyFont="1" applyFill="1" applyBorder="1" applyAlignment="1" applyProtection="1">
      <alignment vertical="center"/>
      <protection locked="0"/>
    </xf>
    <xf numFmtId="37" fontId="4" fillId="0" borderId="17" xfId="0" applyNumberFormat="1" applyFont="1" applyFill="1" applyBorder="1" applyAlignment="1" applyProtection="1">
      <alignment vertical="center"/>
      <protection locked="0"/>
    </xf>
    <xf numFmtId="0" fontId="5" fillId="0" borderId="25" xfId="33" applyFont="1" applyFill="1" applyBorder="1" applyAlignment="1" applyProtection="1">
      <alignment vertical="center"/>
      <protection/>
    </xf>
    <xf numFmtId="0" fontId="5" fillId="0" borderId="13" xfId="33" applyFont="1" applyFill="1" applyBorder="1" applyAlignment="1" applyProtection="1">
      <alignment vertical="center"/>
      <protection/>
    </xf>
    <xf numFmtId="0" fontId="5" fillId="0" borderId="23" xfId="33" applyFont="1" applyFill="1" applyBorder="1" applyAlignment="1" applyProtection="1">
      <alignment horizontal="center" vertical="center"/>
      <protection/>
    </xf>
    <xf numFmtId="0" fontId="4" fillId="0" borderId="25" xfId="33" applyFont="1" applyFill="1" applyBorder="1" applyAlignment="1" applyProtection="1">
      <alignment vertical="center"/>
      <protection/>
    </xf>
    <xf numFmtId="0" fontId="4" fillId="0" borderId="17" xfId="33" applyFont="1" applyFill="1" applyBorder="1" applyAlignment="1" applyProtection="1">
      <alignment vertical="center"/>
      <protection/>
    </xf>
    <xf numFmtId="0" fontId="28" fillId="0" borderId="0" xfId="33" applyFont="1" applyFill="1" applyBorder="1" applyAlignment="1" applyProtection="1">
      <alignment vertical="center"/>
      <protection/>
    </xf>
    <xf numFmtId="0" fontId="22" fillId="0" borderId="0" xfId="18" applyFont="1" applyBorder="1" applyAlignment="1" applyProtection="1">
      <alignment/>
      <protection/>
    </xf>
    <xf numFmtId="0" fontId="4" fillId="0" borderId="25" xfId="33" applyFont="1" applyFill="1" applyBorder="1" applyAlignment="1" applyProtection="1">
      <alignment horizontal="center" vertical="center"/>
      <protection/>
    </xf>
    <xf numFmtId="0" fontId="5" fillId="0" borderId="24" xfId="33" applyFont="1" applyFill="1" applyBorder="1" applyAlignment="1" applyProtection="1">
      <alignment horizontal="center" vertical="center"/>
      <protection/>
    </xf>
    <xf numFmtId="0" fontId="4" fillId="0" borderId="17" xfId="0" applyFont="1" applyBorder="1" applyAlignment="1" applyProtection="1">
      <alignment vertical="center"/>
      <protection hidden="1"/>
    </xf>
    <xf numFmtId="0" fontId="4" fillId="0" borderId="17" xfId="0" applyFont="1" applyBorder="1" applyAlignment="1" applyProtection="1">
      <alignment vertical="center"/>
      <protection/>
    </xf>
    <xf numFmtId="37" fontId="4" fillId="0" borderId="49" xfId="0" applyNumberFormat="1" applyFont="1" applyFill="1" applyBorder="1" applyAlignment="1" applyProtection="1">
      <alignment vertical="center"/>
      <protection locked="0"/>
    </xf>
    <xf numFmtId="37" fontId="4" fillId="0" borderId="32" xfId="0" applyNumberFormat="1" applyFont="1" applyFill="1" applyBorder="1" applyAlignment="1" applyProtection="1">
      <alignment vertical="center"/>
      <protection locked="0"/>
    </xf>
    <xf numFmtId="37" fontId="4" fillId="0" borderId="12" xfId="0" applyNumberFormat="1" applyFont="1" applyFill="1" applyBorder="1" applyAlignment="1" applyProtection="1">
      <alignment vertical="center"/>
      <protection locked="0"/>
    </xf>
    <xf numFmtId="37" fontId="4" fillId="0" borderId="52" xfId="0" applyNumberFormat="1" applyFont="1" applyFill="1" applyBorder="1" applyAlignment="1" applyProtection="1">
      <alignment vertical="center"/>
      <protection locked="0"/>
    </xf>
    <xf numFmtId="37" fontId="4" fillId="0" borderId="0" xfId="0" applyNumberFormat="1" applyFont="1" applyFill="1" applyBorder="1" applyAlignment="1" applyProtection="1">
      <alignment vertical="center"/>
      <protection locked="0"/>
    </xf>
    <xf numFmtId="37" fontId="4" fillId="0" borderId="31" xfId="0" applyNumberFormat="1" applyFont="1" applyFill="1" applyBorder="1" applyAlignment="1" applyProtection="1">
      <alignment vertical="center"/>
      <protection locked="0"/>
    </xf>
    <xf numFmtId="37" fontId="4" fillId="0" borderId="65" xfId="0" applyNumberFormat="1" applyFont="1" applyFill="1" applyBorder="1" applyAlignment="1" applyProtection="1">
      <alignment vertical="center"/>
      <protection locked="0"/>
    </xf>
    <xf numFmtId="37" fontId="4" fillId="0" borderId="26" xfId="0" applyNumberFormat="1" applyFont="1" applyFill="1" applyBorder="1" applyAlignment="1" applyProtection="1">
      <alignment vertical="center"/>
      <protection locked="0"/>
    </xf>
    <xf numFmtId="37" fontId="4" fillId="0" borderId="47" xfId="0" applyNumberFormat="1" applyFont="1" applyFill="1" applyBorder="1" applyAlignment="1" applyProtection="1">
      <alignment horizontal="right" vertical="center"/>
      <protection locked="0"/>
    </xf>
    <xf numFmtId="0" fontId="5" fillId="0" borderId="13"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30" fillId="0" borderId="0" xfId="0" applyFont="1" applyAlignment="1" applyProtection="1">
      <alignment/>
      <protection hidden="1"/>
    </xf>
    <xf numFmtId="14" fontId="4" fillId="0" borderId="0" xfId="0" applyNumberFormat="1" applyFont="1" applyAlignment="1" applyProtection="1">
      <alignment vertical="center"/>
      <protection/>
    </xf>
    <xf numFmtId="37" fontId="4" fillId="0" borderId="23" xfId="0" applyNumberFormat="1" applyFont="1" applyFill="1" applyBorder="1" applyAlignment="1" applyProtection="1">
      <alignment horizontal="center" vertical="center"/>
      <protection locked="0"/>
    </xf>
    <xf numFmtId="37" fontId="4" fillId="0" borderId="17" xfId="0" applyNumberFormat="1" applyFont="1" applyFill="1" applyBorder="1" applyAlignment="1" applyProtection="1">
      <alignment horizontal="center" vertical="center"/>
      <protection locked="0"/>
    </xf>
    <xf numFmtId="189" fontId="2" fillId="0" borderId="5" xfId="0" applyNumberFormat="1" applyFont="1" applyBorder="1" applyAlignment="1" applyProtection="1">
      <alignment horizontal="right" vertical="center"/>
      <protection/>
    </xf>
    <xf numFmtId="0" fontId="3" fillId="0" borderId="5" xfId="35" applyNumberFormat="1" applyFont="1" applyBorder="1" applyAlignment="1" applyProtection="1">
      <alignment vertical="center"/>
      <protection hidden="1"/>
    </xf>
    <xf numFmtId="0" fontId="13" fillId="0" borderId="5" xfId="35" applyNumberFormat="1" applyFont="1" applyBorder="1" applyAlignment="1" applyProtection="1">
      <alignment vertical="center"/>
      <protection hidden="1"/>
    </xf>
    <xf numFmtId="189" fontId="2" fillId="0" borderId="5" xfId="35" applyNumberFormat="1" applyFont="1" applyBorder="1" applyAlignment="1" applyProtection="1">
      <alignment horizontal="right" vertical="center"/>
      <protection hidden="1"/>
    </xf>
    <xf numFmtId="0" fontId="6" fillId="0" borderId="5" xfId="35" applyFont="1" applyBorder="1" applyAlignment="1" applyProtection="1">
      <alignment horizontal="left" vertical="center"/>
      <protection hidden="1"/>
    </xf>
    <xf numFmtId="0" fontId="0" fillId="0" borderId="26" xfId="0" applyBorder="1" applyAlignment="1">
      <alignment vertical="top"/>
    </xf>
    <xf numFmtId="0" fontId="0" fillId="0" borderId="0" xfId="0" applyAlignment="1">
      <alignment vertical="center" wrapText="1"/>
    </xf>
    <xf numFmtId="178" fontId="5" fillId="3" borderId="14" xfId="39" applyFont="1" applyFill="1" applyBorder="1" applyAlignment="1" applyProtection="1">
      <alignment horizontal="center" vertical="center"/>
      <protection/>
    </xf>
    <xf numFmtId="3" fontId="4" fillId="0" borderId="38" xfId="36" applyNumberFormat="1" applyFont="1" applyFill="1" applyBorder="1" applyAlignment="1" applyProtection="1">
      <alignment/>
      <protection locked="0"/>
    </xf>
    <xf numFmtId="0" fontId="5" fillId="3" borderId="3" xfId="0" applyFont="1" applyFill="1" applyBorder="1" applyAlignment="1" applyProtection="1">
      <alignment horizontal="center"/>
      <protection hidden="1"/>
    </xf>
    <xf numFmtId="0" fontId="2" fillId="0" borderId="23"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23" xfId="0" applyFont="1" applyFill="1" applyBorder="1" applyAlignment="1" applyProtection="1">
      <alignment vertical="center"/>
      <protection/>
    </xf>
    <xf numFmtId="0" fontId="5" fillId="3" borderId="14" xfId="0" applyFont="1" applyFill="1" applyBorder="1" applyAlignment="1" applyProtection="1">
      <alignment horizontal="center"/>
      <protection hidden="1"/>
    </xf>
    <xf numFmtId="0" fontId="4" fillId="3" borderId="51" xfId="0" applyFont="1" applyFill="1" applyBorder="1" applyAlignment="1" applyProtection="1">
      <alignment/>
      <protection hidden="1"/>
    </xf>
    <xf numFmtId="0" fontId="5" fillId="3" borderId="51"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177" fontId="5" fillId="3" borderId="13" xfId="36" applyNumberFormat="1" applyFont="1" applyFill="1" applyBorder="1" applyAlignment="1" applyProtection="1">
      <alignment/>
      <protection/>
    </xf>
    <xf numFmtId="177" fontId="5" fillId="0" borderId="49" xfId="39" applyNumberFormat="1" applyFont="1" applyFill="1" applyBorder="1" applyAlignment="1" applyProtection="1">
      <alignment/>
      <protection/>
    </xf>
    <xf numFmtId="0" fontId="0" fillId="0" borderId="12" xfId="0" applyFill="1" applyBorder="1" applyAlignment="1">
      <alignment/>
    </xf>
    <xf numFmtId="0" fontId="25" fillId="0" borderId="0" xfId="0" applyFont="1" applyAlignment="1" applyProtection="1">
      <alignment horizontal="left"/>
      <protection hidden="1"/>
    </xf>
    <xf numFmtId="177" fontId="5" fillId="3" borderId="23" xfId="36" applyNumberFormat="1" applyFont="1" applyFill="1" applyBorder="1" applyAlignment="1" applyProtection="1">
      <alignment/>
      <protection/>
    </xf>
    <xf numFmtId="0" fontId="4" fillId="3" borderId="7" xfId="0" applyFont="1" applyFill="1" applyBorder="1" applyAlignment="1" applyProtection="1">
      <alignment horizontal="right"/>
      <protection/>
    </xf>
    <xf numFmtId="217" fontId="4" fillId="0" borderId="23" xfId="0" applyNumberFormat="1" applyFont="1" applyFill="1" applyBorder="1" applyAlignment="1" applyProtection="1">
      <alignment vertical="center"/>
      <protection locked="0"/>
    </xf>
    <xf numFmtId="0" fontId="0" fillId="0" borderId="0" xfId="35" applyFill="1" applyBorder="1" applyAlignment="1">
      <alignment horizontal="center"/>
      <protection/>
    </xf>
    <xf numFmtId="0" fontId="4" fillId="0" borderId="65" xfId="33" applyFont="1" applyFill="1" applyBorder="1" applyAlignment="1" applyProtection="1">
      <alignment vertical="center"/>
      <protection/>
    </xf>
    <xf numFmtId="0" fontId="5" fillId="0" borderId="32" xfId="33" applyFont="1" applyFill="1" applyBorder="1" applyAlignment="1" applyProtection="1">
      <alignment vertical="center"/>
      <protection/>
    </xf>
    <xf numFmtId="0" fontId="4" fillId="0" borderId="12" xfId="0" applyFont="1" applyBorder="1" applyAlignment="1" applyProtection="1">
      <alignment vertical="center"/>
      <protection/>
    </xf>
    <xf numFmtId="37" fontId="4" fillId="0" borderId="34" xfId="0" applyNumberFormat="1" applyFont="1" applyFill="1" applyBorder="1" applyAlignment="1" applyProtection="1">
      <alignment horizontal="center" vertical="center"/>
      <protection locked="0"/>
    </xf>
    <xf numFmtId="37" fontId="4" fillId="0" borderId="68" xfId="0" applyNumberFormat="1" applyFont="1" applyFill="1" applyBorder="1" applyAlignment="1" applyProtection="1">
      <alignment horizontal="center" vertical="center"/>
      <protection locked="0"/>
    </xf>
    <xf numFmtId="0" fontId="1" fillId="0" borderId="0" xfId="0" applyFont="1" applyAlignment="1" applyProtection="1">
      <alignment horizontal="center"/>
      <protection locked="0"/>
    </xf>
    <xf numFmtId="3" fontId="0" fillId="0" borderId="0" xfId="0" applyNumberFormat="1" applyFont="1" applyBorder="1" applyAlignment="1" applyProtection="1">
      <alignment horizontal="center"/>
      <protection locked="0"/>
    </xf>
    <xf numFmtId="0" fontId="3" fillId="0" borderId="0" xfId="0" applyNumberFormat="1" applyFont="1" applyAlignment="1" applyProtection="1">
      <alignment/>
      <protection locked="0"/>
    </xf>
    <xf numFmtId="0" fontId="3" fillId="0" borderId="26" xfId="0" applyFont="1" applyFill="1" applyBorder="1" applyAlignment="1" applyProtection="1">
      <alignment/>
      <protection locked="0"/>
    </xf>
    <xf numFmtId="0" fontId="2"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2" fillId="0" borderId="25" xfId="0" applyFont="1" applyFill="1" applyBorder="1" applyAlignment="1" applyProtection="1">
      <alignment/>
      <protection/>
    </xf>
    <xf numFmtId="0" fontId="2" fillId="0" borderId="13" xfId="0" applyFont="1" applyFill="1" applyBorder="1" applyAlignment="1" applyProtection="1">
      <alignment/>
      <protection/>
    </xf>
    <xf numFmtId="0" fontId="2" fillId="0" borderId="13" xfId="0" applyFont="1" applyFill="1" applyBorder="1" applyAlignment="1" applyProtection="1">
      <alignment horizontal="left"/>
      <protection/>
    </xf>
    <xf numFmtId="0" fontId="2" fillId="0" borderId="13" xfId="0" applyFont="1" applyFill="1" applyBorder="1" applyAlignment="1" applyProtection="1">
      <alignment/>
      <protection locked="0"/>
    </xf>
    <xf numFmtId="0" fontId="2" fillId="0" borderId="23" xfId="0" applyFont="1" applyFill="1" applyBorder="1" applyAlignment="1" applyProtection="1">
      <alignment/>
      <protection locked="0"/>
    </xf>
    <xf numFmtId="3" fontId="2" fillId="0" borderId="23" xfId="0" applyNumberFormat="1" applyFont="1" applyFill="1" applyBorder="1" applyAlignment="1" applyProtection="1">
      <alignment/>
      <protection/>
    </xf>
    <xf numFmtId="0" fontId="2" fillId="0" borderId="13" xfId="0" applyFont="1" applyFill="1" applyBorder="1" applyAlignment="1" applyProtection="1">
      <alignment horizontal="left"/>
      <protection locked="0"/>
    </xf>
    <xf numFmtId="3" fontId="2" fillId="0" borderId="23" xfId="0" applyNumberFormat="1" applyFont="1" applyFill="1" applyBorder="1" applyAlignment="1" applyProtection="1">
      <alignment/>
      <protection locked="0"/>
    </xf>
    <xf numFmtId="0" fontId="3" fillId="3" borderId="25" xfId="0" applyFont="1" applyFill="1" applyBorder="1" applyAlignment="1" applyProtection="1">
      <alignment/>
      <protection locked="0"/>
    </xf>
    <xf numFmtId="0" fontId="3" fillId="3" borderId="13" xfId="0" applyFont="1" applyFill="1" applyBorder="1" applyAlignment="1" applyProtection="1">
      <alignment/>
      <protection locked="0"/>
    </xf>
    <xf numFmtId="0" fontId="3" fillId="3" borderId="13" xfId="0" applyFont="1" applyFill="1" applyBorder="1" applyAlignment="1" applyProtection="1">
      <alignment horizontal="left"/>
      <protection locked="0"/>
    </xf>
    <xf numFmtId="3" fontId="3" fillId="3" borderId="23" xfId="0" applyNumberFormat="1" applyFont="1" applyFill="1" applyBorder="1" applyAlignment="1" applyProtection="1">
      <alignment/>
      <protection locked="0"/>
    </xf>
    <xf numFmtId="171" fontId="2" fillId="0" borderId="38" xfId="36" applyNumberFormat="1" applyFont="1" applyFill="1" applyBorder="1" applyProtection="1">
      <alignment/>
      <protection/>
    </xf>
    <xf numFmtId="171" fontId="2" fillId="0" borderId="23" xfId="36" applyNumberFormat="1" applyFont="1" applyFill="1" applyBorder="1" applyProtection="1">
      <alignment/>
      <protection/>
    </xf>
    <xf numFmtId="171" fontId="3" fillId="3" borderId="23" xfId="39" applyNumberFormat="1" applyFont="1" applyBorder="1" applyProtection="1">
      <alignment/>
      <protection/>
    </xf>
    <xf numFmtId="0" fontId="31" fillId="0" borderId="0" xfId="0" applyFont="1" applyBorder="1" applyAlignment="1" applyProtection="1">
      <alignment/>
      <protection hidden="1"/>
    </xf>
    <xf numFmtId="0" fontId="4" fillId="0" borderId="0" xfId="0" applyFont="1" applyAlignment="1" applyProtection="1">
      <alignment vertical="top" wrapText="1"/>
      <protection/>
    </xf>
    <xf numFmtId="0" fontId="4" fillId="0" borderId="0" xfId="34" applyFont="1">
      <alignment/>
      <protection/>
    </xf>
    <xf numFmtId="0" fontId="4" fillId="0" borderId="0" xfId="34" applyFont="1" applyAlignment="1">
      <alignment vertical="top"/>
      <protection/>
    </xf>
    <xf numFmtId="0" fontId="4" fillId="0" borderId="0" xfId="34" applyFont="1" applyAlignment="1" applyProtection="1">
      <alignment vertical="top"/>
      <protection/>
    </xf>
    <xf numFmtId="49" fontId="4" fillId="0" borderId="0" xfId="34" applyNumberFormat="1" applyFont="1" applyAlignment="1" applyProtection="1">
      <alignment horizontal="left" vertical="top"/>
      <protection/>
    </xf>
    <xf numFmtId="0" fontId="5" fillId="0" borderId="0" xfId="0" applyFont="1" applyAlignment="1" applyProtection="1">
      <alignment horizontal="left" vertical="top"/>
      <protection/>
    </xf>
    <xf numFmtId="0" fontId="5" fillId="0" borderId="0" xfId="0" applyFont="1" applyAlignment="1" applyProtection="1">
      <alignment vertical="top"/>
      <protection/>
    </xf>
    <xf numFmtId="0" fontId="5" fillId="0" borderId="0" xfId="0" applyFont="1" applyFill="1" applyAlignment="1" applyProtection="1">
      <alignment horizontal="left" vertical="top"/>
      <protection/>
    </xf>
    <xf numFmtId="0" fontId="5" fillId="0" borderId="0" xfId="0" applyFont="1" applyFill="1" applyAlignment="1" applyProtection="1">
      <alignment vertical="top"/>
      <protection/>
    </xf>
    <xf numFmtId="0" fontId="5" fillId="0" borderId="0" xfId="34" applyFont="1" applyAlignment="1">
      <alignment vertical="top"/>
      <protection/>
    </xf>
    <xf numFmtId="0" fontId="4" fillId="0" borderId="0" xfId="0" applyFont="1" applyAlignment="1" applyProtection="1">
      <alignment horizontal="left" vertical="top"/>
      <protection/>
    </xf>
    <xf numFmtId="0" fontId="4" fillId="0" borderId="0" xfId="35" applyFont="1" applyAlignment="1" applyProtection="1">
      <alignment vertical="top" wrapText="1"/>
      <protection/>
    </xf>
    <xf numFmtId="0" fontId="1" fillId="0" borderId="0" xfId="0" applyFont="1" applyAlignment="1" applyProtection="1">
      <alignment vertical="top"/>
      <protection/>
    </xf>
    <xf numFmtId="0" fontId="4" fillId="0" borderId="0" xfId="0" applyFont="1" applyAlignment="1" applyProtection="1">
      <alignment vertical="center" wrapText="1"/>
      <protection/>
    </xf>
    <xf numFmtId="0" fontId="5" fillId="0" borderId="0" xfId="35" applyFont="1" applyAlignment="1" applyProtection="1">
      <alignment horizontal="left" vertical="top"/>
      <protection/>
    </xf>
    <xf numFmtId="0" fontId="5" fillId="0" borderId="0" xfId="35" applyFont="1" applyAlignment="1" applyProtection="1">
      <alignment vertical="top"/>
      <protection/>
    </xf>
    <xf numFmtId="0" fontId="4" fillId="0" borderId="0" xfId="35" applyFont="1" applyAlignment="1" applyProtection="1">
      <alignment vertical="top"/>
      <protection/>
    </xf>
    <xf numFmtId="0" fontId="0" fillId="0" borderId="0" xfId="0" applyFont="1" applyAlignment="1" applyProtection="1">
      <alignment vertical="top" wrapText="1"/>
      <protection/>
    </xf>
    <xf numFmtId="0" fontId="5" fillId="0" borderId="0" xfId="35" applyFont="1" applyBorder="1" applyAlignment="1" applyProtection="1">
      <alignment horizontal="left" vertical="center"/>
      <protection/>
    </xf>
    <xf numFmtId="0" fontId="5" fillId="0" borderId="0" xfId="35" applyFont="1" applyBorder="1" applyAlignment="1" applyProtection="1">
      <alignment vertical="center"/>
      <protection/>
    </xf>
    <xf numFmtId="0" fontId="4" fillId="0" borderId="0" xfId="35" applyFont="1" applyAlignment="1" applyProtection="1">
      <alignment horizontal="left" vertical="top"/>
      <protection/>
    </xf>
    <xf numFmtId="0" fontId="5" fillId="0" borderId="0" xfId="35" applyFont="1" applyFill="1" applyAlignment="1" applyProtection="1">
      <alignment horizontal="left" vertical="top"/>
      <protection/>
    </xf>
    <xf numFmtId="0" fontId="4" fillId="0" borderId="0" xfId="35" applyFont="1" applyAlignment="1" applyProtection="1" quotePrefix="1">
      <alignment horizontal="left" vertical="top"/>
      <protection/>
    </xf>
    <xf numFmtId="0" fontId="4" fillId="0" borderId="0" xfId="35" applyFont="1" applyBorder="1" applyAlignment="1" applyProtection="1">
      <alignment horizontal="left" vertical="top"/>
      <protection/>
    </xf>
    <xf numFmtId="0" fontId="4" fillId="0" borderId="0" xfId="35" applyFont="1" applyBorder="1" applyAlignment="1" applyProtection="1">
      <alignment vertical="top" wrapText="1"/>
      <protection/>
    </xf>
    <xf numFmtId="0" fontId="4" fillId="0" borderId="0" xfId="35" applyFont="1" applyBorder="1" applyAlignment="1" applyProtection="1">
      <alignment vertical="top"/>
      <protection/>
    </xf>
    <xf numFmtId="0" fontId="4" fillId="0" borderId="0" xfId="35" applyFont="1" applyFill="1" applyBorder="1" applyAlignment="1" applyProtection="1">
      <alignment vertical="top"/>
      <protection locked="0"/>
    </xf>
    <xf numFmtId="0" fontId="5" fillId="0" borderId="0" xfId="34" applyFont="1" applyAlignment="1">
      <alignment horizontal="left" vertical="top"/>
      <protection/>
    </xf>
    <xf numFmtId="0" fontId="4" fillId="0" borderId="0" xfId="34" applyFont="1" applyAlignment="1">
      <alignment wrapText="1"/>
      <protection/>
    </xf>
    <xf numFmtId="0" fontId="5" fillId="0" borderId="5" xfId="34" applyFont="1" applyBorder="1" applyAlignment="1">
      <alignment horizontal="left" vertical="top"/>
      <protection/>
    </xf>
    <xf numFmtId="0" fontId="4" fillId="0" borderId="5" xfId="34" applyFont="1" applyBorder="1" applyAlignment="1">
      <alignment wrapText="1"/>
      <protection/>
    </xf>
    <xf numFmtId="0" fontId="4" fillId="0" borderId="5" xfId="34" applyFont="1" applyBorder="1">
      <alignment/>
      <protection/>
    </xf>
    <xf numFmtId="0" fontId="0" fillId="0" borderId="24" xfId="0" applyBorder="1" applyAlignment="1">
      <alignment/>
    </xf>
    <xf numFmtId="0" fontId="0" fillId="0" borderId="38" xfId="0" applyBorder="1" applyAlignment="1">
      <alignment/>
    </xf>
    <xf numFmtId="0" fontId="0" fillId="0" borderId="62" xfId="0" applyBorder="1" applyAlignment="1">
      <alignment/>
    </xf>
    <xf numFmtId="0" fontId="0" fillId="0" borderId="70" xfId="0" applyBorder="1" applyAlignment="1">
      <alignment/>
    </xf>
    <xf numFmtId="0" fontId="0" fillId="0" borderId="31" xfId="0" applyBorder="1" applyAlignment="1">
      <alignment/>
    </xf>
    <xf numFmtId="0" fontId="0" fillId="0" borderId="47" xfId="0" applyBorder="1" applyAlignment="1">
      <alignment/>
    </xf>
    <xf numFmtId="0" fontId="4" fillId="0" borderId="0" xfId="0" applyNumberFormat="1" applyFont="1" applyBorder="1" applyAlignment="1" applyProtection="1">
      <alignment/>
      <protection/>
    </xf>
    <xf numFmtId="0" fontId="0" fillId="0" borderId="0" xfId="0" applyAlignment="1">
      <alignment/>
    </xf>
    <xf numFmtId="0" fontId="0" fillId="0" borderId="0" xfId="0" applyAlignment="1">
      <alignment horizontal="left" vertical="center" wrapText="1"/>
    </xf>
    <xf numFmtId="178" fontId="4" fillId="0" borderId="23" xfId="36" applyFont="1" applyBorder="1" applyProtection="1">
      <alignment/>
      <protection locked="0"/>
    </xf>
    <xf numFmtId="0" fontId="4" fillId="0" borderId="65" xfId="0" applyFont="1" applyBorder="1" applyAlignment="1" applyProtection="1">
      <alignment/>
      <protection locked="0"/>
    </xf>
    <xf numFmtId="0" fontId="4" fillId="0" borderId="26" xfId="0" applyFont="1" applyBorder="1" applyAlignment="1" applyProtection="1">
      <alignment/>
      <protection locked="0"/>
    </xf>
    <xf numFmtId="0" fontId="4" fillId="0" borderId="48" xfId="0" applyFont="1" applyBorder="1" applyAlignment="1" applyProtection="1">
      <alignment/>
      <protection locked="0"/>
    </xf>
    <xf numFmtId="0" fontId="4" fillId="0" borderId="39" xfId="0" applyFont="1" applyBorder="1" applyAlignment="1" applyProtection="1">
      <alignment/>
      <protection locked="0"/>
    </xf>
    <xf numFmtId="0" fontId="4" fillId="0" borderId="25" xfId="0" applyFont="1" applyBorder="1" applyAlignment="1" applyProtection="1">
      <alignment/>
      <protection locked="0"/>
    </xf>
    <xf numFmtId="0" fontId="4" fillId="0" borderId="13" xfId="0" applyFont="1" applyBorder="1" applyAlignment="1" applyProtection="1">
      <alignment/>
      <protection locked="0"/>
    </xf>
    <xf numFmtId="0" fontId="4" fillId="0" borderId="47" xfId="0" applyFont="1" applyBorder="1" applyAlignment="1" applyProtection="1">
      <alignment/>
      <protection locked="0"/>
    </xf>
    <xf numFmtId="0" fontId="4" fillId="0" borderId="0" xfId="0" applyFont="1" applyAlignment="1" applyProtection="1" quotePrefix="1">
      <alignment horizontal="justify" vertical="top"/>
      <protection hidden="1"/>
    </xf>
    <xf numFmtId="3" fontId="4" fillId="0" borderId="25" xfId="36" applyNumberFormat="1" applyFont="1" applyFill="1" applyBorder="1" applyAlignment="1" applyProtection="1">
      <alignment horizontal="right"/>
      <protection locked="0"/>
    </xf>
    <xf numFmtId="0" fontId="0" fillId="0" borderId="17" xfId="0" applyBorder="1" applyAlignment="1" applyProtection="1">
      <alignment horizontal="right"/>
      <protection locked="0"/>
    </xf>
    <xf numFmtId="10" fontId="5" fillId="0" borderId="25" xfId="36" applyNumberFormat="1" applyFont="1" applyFill="1" applyBorder="1" applyAlignment="1" applyProtection="1">
      <alignment horizontal="right"/>
      <protection/>
    </xf>
    <xf numFmtId="0" fontId="4" fillId="0" borderId="0" xfId="0" applyNumberFormat="1" applyFont="1" applyBorder="1" applyAlignment="1" applyProtection="1" quotePrefix="1">
      <alignment horizontal="justify" vertical="top" wrapText="1"/>
      <protection hidden="1"/>
    </xf>
    <xf numFmtId="0" fontId="4" fillId="0" borderId="0" xfId="0" applyFont="1" applyAlignment="1" applyProtection="1" quotePrefix="1">
      <alignment horizontal="left" vertical="top" wrapText="1"/>
      <protection hidden="1"/>
    </xf>
    <xf numFmtId="0" fontId="4" fillId="0" borderId="0" xfId="0" applyFont="1" applyAlignment="1" applyProtection="1">
      <alignment horizontal="left" vertical="top" wrapText="1"/>
      <protection hidden="1"/>
    </xf>
    <xf numFmtId="0" fontId="4" fillId="0" borderId="0" xfId="0" applyFont="1" applyAlignment="1">
      <alignment horizontal="justify" vertical="top" wrapText="1"/>
    </xf>
    <xf numFmtId="0" fontId="4" fillId="0" borderId="0" xfId="0" applyNumberFormat="1" applyFont="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pplyProtection="1">
      <alignment horizontal="justify" vertical="top" wrapText="1"/>
      <protection hidden="1"/>
    </xf>
    <xf numFmtId="0" fontId="0" fillId="0" borderId="0" xfId="0" applyFont="1" applyAlignment="1">
      <alignment horizontal="justify" vertical="top" wrapText="1"/>
    </xf>
    <xf numFmtId="0" fontId="4" fillId="0" borderId="0" xfId="0" applyFont="1" applyAlignment="1" applyProtection="1">
      <alignment horizontal="justify" vertical="top" wrapText="1"/>
      <protection hidden="1"/>
    </xf>
    <xf numFmtId="0" fontId="4" fillId="0" borderId="0" xfId="0" applyFont="1" applyAlignment="1" applyProtection="1" quotePrefix="1">
      <alignment horizontal="justify" vertical="top" wrapText="1"/>
      <protection hidden="1"/>
    </xf>
    <xf numFmtId="0" fontId="4" fillId="0" borderId="0" xfId="0" applyNumberFormat="1" applyFont="1" applyAlignment="1" applyProtection="1">
      <alignment horizontal="justify" vertical="top" wrapText="1"/>
      <protection hidden="1"/>
    </xf>
    <xf numFmtId="37" fontId="4" fillId="0" borderId="0" xfId="0" applyNumberFormat="1" applyFont="1" applyAlignment="1" applyProtection="1">
      <alignment vertical="center" wrapText="1"/>
      <protection hidden="1"/>
    </xf>
    <xf numFmtId="0" fontId="4" fillId="0" borderId="0" xfId="0" applyNumberFormat="1" applyFont="1" applyAlignment="1" applyProtection="1">
      <alignment vertical="center" wrapText="1"/>
      <protection hidden="1"/>
    </xf>
    <xf numFmtId="0" fontId="4" fillId="0" borderId="0" xfId="0" applyFont="1" applyAlignment="1" applyProtection="1">
      <alignment horizontal="justify" vertical="top"/>
      <protection hidden="1"/>
    </xf>
    <xf numFmtId="0" fontId="0" fillId="0" borderId="0" xfId="0" applyAlignment="1">
      <alignment vertical="top" wrapText="1"/>
    </xf>
    <xf numFmtId="211" fontId="4" fillId="0" borderId="26" xfId="0" applyNumberFormat="1" applyFont="1" applyFill="1" applyBorder="1" applyAlignment="1" applyProtection="1">
      <alignment horizontal="center" vertical="center"/>
      <protection locked="0"/>
    </xf>
    <xf numFmtId="0" fontId="0" fillId="0" borderId="47" xfId="0" applyBorder="1" applyAlignment="1" applyProtection="1">
      <alignment/>
      <protection locked="0"/>
    </xf>
    <xf numFmtId="0" fontId="5" fillId="0" borderId="0" xfId="0" applyNumberFormat="1" applyFont="1" applyAlignment="1" applyProtection="1">
      <alignment vertical="center" wrapText="1"/>
      <protection/>
    </xf>
    <xf numFmtId="0" fontId="0" fillId="0" borderId="0" xfId="0" applyAlignment="1">
      <alignment vertical="center" wrapText="1"/>
    </xf>
    <xf numFmtId="0" fontId="4" fillId="0" borderId="52" xfId="33" applyFont="1" applyFill="1" applyBorder="1" applyAlignment="1" applyProtection="1">
      <alignment vertical="top" wrapText="1"/>
      <protection/>
    </xf>
    <xf numFmtId="0" fontId="4" fillId="0" borderId="0" xfId="33" applyFont="1" applyFill="1" applyBorder="1" applyAlignment="1" applyProtection="1">
      <alignment vertical="top" wrapText="1"/>
      <protection/>
    </xf>
    <xf numFmtId="0" fontId="4" fillId="0" borderId="0" xfId="33" applyFont="1" applyFill="1" applyBorder="1" applyAlignment="1" applyProtection="1">
      <alignment vertical="center" wrapText="1"/>
      <protection/>
    </xf>
    <xf numFmtId="0" fontId="0" fillId="0" borderId="0" xfId="0" applyFont="1" applyAlignment="1">
      <alignment vertical="center"/>
    </xf>
    <xf numFmtId="0" fontId="4" fillId="0" borderId="49" xfId="33" applyFont="1" applyFill="1" applyBorder="1" applyAlignment="1" applyProtection="1">
      <alignment vertical="top" wrapText="1"/>
      <protection/>
    </xf>
    <xf numFmtId="0" fontId="0" fillId="0" borderId="32" xfId="0" applyBorder="1" applyAlignment="1">
      <alignment vertical="top" wrapText="1"/>
    </xf>
    <xf numFmtId="0" fontId="0" fillId="0" borderId="52" xfId="0" applyBorder="1" applyAlignment="1">
      <alignment vertical="top" wrapText="1"/>
    </xf>
    <xf numFmtId="37" fontId="4" fillId="0" borderId="25"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37" fontId="4" fillId="0" borderId="13" xfId="0" applyNumberFormat="1" applyFont="1" applyFill="1" applyBorder="1" applyAlignment="1" applyProtection="1">
      <alignment vertical="center"/>
      <protection locked="0"/>
    </xf>
    <xf numFmtId="37" fontId="4" fillId="0" borderId="17" xfId="0" applyNumberFormat="1" applyFont="1" applyFill="1" applyBorder="1" applyAlignment="1" applyProtection="1">
      <alignment vertical="center"/>
      <protection locked="0"/>
    </xf>
    <xf numFmtId="0" fontId="0" fillId="0" borderId="0" xfId="0" applyBorder="1" applyAlignment="1" applyProtection="1">
      <alignment horizontal="justify" wrapText="1"/>
      <protection hidden="1"/>
    </xf>
    <xf numFmtId="0" fontId="5" fillId="0" borderId="16" xfId="0" applyFont="1" applyBorder="1" applyAlignment="1" applyProtection="1">
      <alignment horizontal="center" wrapText="1"/>
      <protection hidden="1"/>
    </xf>
    <xf numFmtId="0" fontId="5" fillId="0" borderId="5"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4" fillId="0" borderId="0"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4" fillId="0" borderId="16"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5" fillId="0" borderId="26" xfId="33" applyFont="1" applyFill="1" applyBorder="1" applyAlignment="1" applyProtection="1">
      <alignment vertical="center"/>
      <protection/>
    </xf>
    <xf numFmtId="0" fontId="0" fillId="0" borderId="26" xfId="0" applyBorder="1" applyAlignment="1">
      <alignment/>
    </xf>
    <xf numFmtId="0" fontId="0" fillId="0" borderId="47" xfId="0" applyBorder="1" applyAlignment="1">
      <alignment/>
    </xf>
    <xf numFmtId="0" fontId="4" fillId="0" borderId="67" xfId="0" applyFont="1" applyBorder="1" applyAlignment="1" applyProtection="1">
      <alignment horizontal="center" wrapText="1"/>
      <protection hidden="1"/>
    </xf>
    <xf numFmtId="0" fontId="4" fillId="0" borderId="48" xfId="0" applyFont="1" applyBorder="1" applyAlignment="1" applyProtection="1">
      <alignment horizontal="center" wrapText="1"/>
      <protection hidden="1"/>
    </xf>
    <xf numFmtId="0" fontId="4" fillId="0" borderId="71" xfId="0" applyFont="1" applyBorder="1" applyAlignment="1" applyProtection="1">
      <alignment horizontal="center" wrapText="1"/>
      <protection hidden="1"/>
    </xf>
    <xf numFmtId="0" fontId="5" fillId="0" borderId="35" xfId="0" applyFont="1" applyBorder="1" applyAlignment="1" applyProtection="1">
      <alignment horizontal="center" wrapText="1"/>
      <protection hidden="1"/>
    </xf>
    <xf numFmtId="0" fontId="5" fillId="0" borderId="32" xfId="0" applyFont="1" applyBorder="1" applyAlignment="1" applyProtection="1">
      <alignment horizontal="center" wrapText="1"/>
      <protection hidden="1"/>
    </xf>
    <xf numFmtId="0" fontId="5" fillId="0" borderId="63" xfId="0" applyFont="1" applyBorder="1" applyAlignment="1" applyProtection="1">
      <alignment horizontal="center" wrapText="1"/>
      <protection hidden="1"/>
    </xf>
    <xf numFmtId="0" fontId="0" fillId="0" borderId="0" xfId="0" applyAlignment="1" applyProtection="1">
      <alignment horizontal="justify" wrapText="1"/>
      <protection hidden="1"/>
    </xf>
    <xf numFmtId="211" fontId="4" fillId="0" borderId="16" xfId="33" applyNumberFormat="1" applyFont="1" applyFill="1" applyBorder="1" applyAlignment="1" applyProtection="1">
      <alignment horizontal="center" vertical="center"/>
      <protection/>
    </xf>
    <xf numFmtId="211" fontId="4" fillId="0" borderId="5" xfId="33" applyNumberFormat="1" applyFont="1" applyFill="1" applyBorder="1" applyAlignment="1" applyProtection="1">
      <alignment horizontal="center" vertical="center"/>
      <protection/>
    </xf>
    <xf numFmtId="0" fontId="0" fillId="0" borderId="7" xfId="0" applyFont="1" applyFill="1" applyBorder="1" applyAlignment="1">
      <alignment horizontal="center"/>
    </xf>
    <xf numFmtId="0" fontId="0" fillId="0" borderId="0" xfId="0" applyBorder="1" applyAlignment="1" applyProtection="1">
      <alignment horizontal="justify" vertical="top" wrapText="1"/>
      <protection hidden="1"/>
    </xf>
    <xf numFmtId="211" fontId="4" fillId="0" borderId="25" xfId="0" applyNumberFormat="1" applyFont="1" applyFill="1" applyBorder="1" applyAlignment="1" applyProtection="1">
      <alignment horizontal="center" vertical="center"/>
      <protection locked="0"/>
    </xf>
    <xf numFmtId="211" fontId="4" fillId="0" borderId="17" xfId="0" applyNumberFormat="1" applyFont="1" applyFill="1" applyBorder="1" applyAlignment="1" applyProtection="1">
      <alignment horizontal="center" vertical="center"/>
      <protection locked="0"/>
    </xf>
    <xf numFmtId="0" fontId="0" fillId="0" borderId="17" xfId="0" applyBorder="1" applyAlignment="1">
      <alignment horizontal="right"/>
    </xf>
    <xf numFmtId="178" fontId="4" fillId="0" borderId="25" xfId="0" applyNumberFormat="1" applyFont="1" applyBorder="1" applyAlignment="1" applyProtection="1">
      <alignment/>
      <protection/>
    </xf>
    <xf numFmtId="0" fontId="0" fillId="0" borderId="17" xfId="0" applyBorder="1" applyAlignment="1">
      <alignment/>
    </xf>
    <xf numFmtId="178" fontId="5" fillId="3" borderId="25" xfId="39" applyNumberFormat="1" applyFont="1" applyFill="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vertical="center" wrapText="1"/>
      <protection/>
    </xf>
    <xf numFmtId="3" fontId="4" fillId="0" borderId="69" xfId="36" applyNumberFormat="1" applyFont="1" applyFill="1" applyBorder="1" applyAlignment="1" applyProtection="1">
      <alignment horizontal="right"/>
      <protection locked="0"/>
    </xf>
    <xf numFmtId="0" fontId="0" fillId="0" borderId="39" xfId="0" applyBorder="1" applyAlignment="1" applyProtection="1">
      <alignment horizontal="right"/>
      <protection locked="0"/>
    </xf>
    <xf numFmtId="171" fontId="4" fillId="0" borderId="25" xfId="0" applyNumberFormat="1" applyFont="1" applyFill="1" applyBorder="1" applyAlignment="1" applyProtection="1">
      <alignment horizontal="right"/>
      <protection/>
    </xf>
    <xf numFmtId="0" fontId="5" fillId="3" borderId="16" xfId="0" applyFont="1" applyFill="1" applyBorder="1" applyAlignment="1" applyProtection="1">
      <alignment horizontal="right"/>
      <protection hidden="1"/>
    </xf>
    <xf numFmtId="0" fontId="5" fillId="3" borderId="7" xfId="0" applyFont="1" applyFill="1" applyBorder="1" applyAlignment="1" applyProtection="1">
      <alignment horizontal="right"/>
      <protection hidden="1"/>
    </xf>
    <xf numFmtId="3" fontId="5" fillId="3" borderId="25" xfId="0" applyNumberFormat="1" applyFont="1" applyFill="1" applyBorder="1" applyAlignment="1" applyProtection="1">
      <alignment horizontal="right"/>
      <protection/>
    </xf>
    <xf numFmtId="3" fontId="1" fillId="3" borderId="17" xfId="0" applyNumberFormat="1" applyFont="1" applyFill="1" applyBorder="1" applyAlignment="1">
      <alignment horizontal="right"/>
    </xf>
    <xf numFmtId="0" fontId="5" fillId="3" borderId="16" xfId="0" applyFont="1" applyFill="1" applyBorder="1" applyAlignment="1" applyProtection="1">
      <alignment horizontal="right" wrapText="1"/>
      <protection hidden="1"/>
    </xf>
    <xf numFmtId="0" fontId="0" fillId="0" borderId="7" xfId="0" applyBorder="1" applyAlignment="1">
      <alignment horizontal="right"/>
    </xf>
    <xf numFmtId="178" fontId="4" fillId="0" borderId="17" xfId="0" applyNumberFormat="1" applyFont="1" applyBorder="1" applyAlignment="1">
      <alignment/>
    </xf>
    <xf numFmtId="3" fontId="4" fillId="0" borderId="17" xfId="36" applyNumberFormat="1" applyFont="1" applyFill="1" applyBorder="1" applyAlignment="1" applyProtection="1">
      <alignment horizontal="right"/>
      <protection locked="0"/>
    </xf>
    <xf numFmtId="178" fontId="4" fillId="0" borderId="65" xfId="0" applyNumberFormat="1" applyFont="1" applyBorder="1" applyAlignment="1" applyProtection="1">
      <alignment/>
      <protection/>
    </xf>
    <xf numFmtId="178" fontId="4" fillId="0" borderId="47" xfId="0" applyNumberFormat="1" applyFont="1" applyBorder="1" applyAlignment="1">
      <alignment/>
    </xf>
    <xf numFmtId="37" fontId="5" fillId="0" borderId="6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3" fontId="4" fillId="0" borderId="13" xfId="36" applyNumberFormat="1" applyFont="1" applyFill="1" applyBorder="1" applyAlignment="1" applyProtection="1">
      <alignment horizontal="right"/>
      <protection locked="0"/>
    </xf>
    <xf numFmtId="37" fontId="5" fillId="3" borderId="50" xfId="0" applyNumberFormat="1" applyFont="1" applyFill="1" applyBorder="1" applyAlignment="1" applyProtection="1">
      <alignment horizontal="left" vertical="center"/>
      <protection hidden="1"/>
    </xf>
    <xf numFmtId="37" fontId="5" fillId="3" borderId="33" xfId="0" applyNumberFormat="1" applyFont="1" applyFill="1" applyBorder="1" applyAlignment="1" applyProtection="1">
      <alignment horizontal="left" vertical="center"/>
      <protection hidden="1"/>
    </xf>
    <xf numFmtId="37" fontId="5" fillId="3" borderId="37" xfId="0" applyNumberFormat="1" applyFont="1" applyFill="1" applyBorder="1" applyAlignment="1" applyProtection="1">
      <alignment horizontal="left" vertical="center"/>
      <protection hidden="1"/>
    </xf>
    <xf numFmtId="37" fontId="5" fillId="3" borderId="21" xfId="0" applyNumberFormat="1" applyFont="1" applyFill="1" applyBorder="1" applyAlignment="1" applyProtection="1">
      <alignment horizontal="center" vertical="center"/>
      <protection hidden="1"/>
    </xf>
    <xf numFmtId="37" fontId="4" fillId="0" borderId="25" xfId="0" applyNumberFormat="1" applyFont="1" applyFill="1" applyBorder="1" applyAlignment="1" applyProtection="1">
      <alignment vertical="center"/>
      <protection hidden="1"/>
    </xf>
    <xf numFmtId="37" fontId="4" fillId="0" borderId="13" xfId="0" applyNumberFormat="1" applyFont="1" applyFill="1" applyBorder="1" applyAlignment="1" applyProtection="1">
      <alignment vertical="center"/>
      <protection hidden="1"/>
    </xf>
    <xf numFmtId="37" fontId="4" fillId="0" borderId="17" xfId="0" applyNumberFormat="1" applyFont="1" applyFill="1" applyBorder="1" applyAlignment="1" applyProtection="1">
      <alignment vertical="center"/>
      <protection hidden="1"/>
    </xf>
    <xf numFmtId="37" fontId="5" fillId="3" borderId="51" xfId="0" applyNumberFormat="1" applyFont="1" applyFill="1" applyBorder="1" applyAlignment="1" applyProtection="1">
      <alignment horizontal="right" vertical="center"/>
      <protection hidden="1"/>
    </xf>
    <xf numFmtId="37" fontId="5" fillId="3" borderId="6" xfId="0" applyNumberFormat="1" applyFont="1" applyFill="1" applyBorder="1" applyAlignment="1" applyProtection="1">
      <alignment horizontal="right" vertical="center"/>
      <protection hidden="1"/>
    </xf>
    <xf numFmtId="37" fontId="5" fillId="3" borderId="22" xfId="0" applyNumberFormat="1" applyFont="1" applyFill="1" applyBorder="1" applyAlignment="1" applyProtection="1">
      <alignment horizontal="right" vertical="center"/>
      <protection hidden="1"/>
    </xf>
    <xf numFmtId="3" fontId="4" fillId="0" borderId="25" xfId="36" applyNumberFormat="1" applyFont="1" applyFill="1" applyBorder="1" applyAlignment="1" applyProtection="1">
      <alignment horizontal="right"/>
      <protection/>
    </xf>
    <xf numFmtId="0" fontId="0" fillId="0" borderId="13" xfId="0" applyBorder="1" applyAlignment="1" applyProtection="1">
      <alignment/>
      <protection/>
    </xf>
    <xf numFmtId="0" fontId="0" fillId="0" borderId="17" xfId="0" applyBorder="1" applyAlignment="1" applyProtection="1">
      <alignment/>
      <protection/>
    </xf>
    <xf numFmtId="37" fontId="5" fillId="0" borderId="26" xfId="0" applyNumberFormat="1" applyFont="1" applyFill="1" applyBorder="1" applyAlignment="1" applyProtection="1">
      <alignment/>
      <protection hidden="1"/>
    </xf>
    <xf numFmtId="178" fontId="5" fillId="3" borderId="24" xfId="39" applyFont="1" applyFill="1" applyBorder="1" applyAlignment="1" applyProtection="1">
      <alignment vertical="center"/>
      <protection/>
    </xf>
    <xf numFmtId="0" fontId="0" fillId="0" borderId="38" xfId="0" applyBorder="1" applyAlignment="1">
      <alignment vertical="center"/>
    </xf>
    <xf numFmtId="37" fontId="4" fillId="0" borderId="49" xfId="0" applyNumberFormat="1" applyFont="1" applyFill="1" applyBorder="1" applyAlignment="1" applyProtection="1">
      <alignment wrapText="1"/>
      <protection hidden="1"/>
    </xf>
    <xf numFmtId="0" fontId="0" fillId="0" borderId="32" xfId="0" applyBorder="1" applyAlignment="1">
      <alignment wrapText="1"/>
    </xf>
    <xf numFmtId="0" fontId="0" fillId="0" borderId="12" xfId="0" applyBorder="1" applyAlignment="1">
      <alignment wrapText="1"/>
    </xf>
    <xf numFmtId="0" fontId="0" fillId="0" borderId="65" xfId="0" applyBorder="1" applyAlignment="1">
      <alignment wrapText="1"/>
    </xf>
    <xf numFmtId="0" fontId="0" fillId="0" borderId="26" xfId="0" applyBorder="1" applyAlignment="1">
      <alignment wrapText="1"/>
    </xf>
    <xf numFmtId="0" fontId="0" fillId="0" borderId="47" xfId="0" applyBorder="1" applyAlignment="1">
      <alignment wrapText="1"/>
    </xf>
    <xf numFmtId="178" fontId="4" fillId="0" borderId="24" xfId="36" applyFont="1" applyFill="1" applyBorder="1" applyAlignment="1" applyProtection="1">
      <alignment vertical="center"/>
      <protection locked="0"/>
    </xf>
    <xf numFmtId="178" fontId="4" fillId="0" borderId="38" xfId="36" applyFont="1" applyFill="1" applyBorder="1" applyAlignment="1" applyProtection="1">
      <alignment vertical="center"/>
      <protection locked="0"/>
    </xf>
    <xf numFmtId="178" fontId="5" fillId="3" borderId="23" xfId="39" applyFont="1" applyFill="1" applyBorder="1" applyAlignment="1" applyProtection="1">
      <alignment horizontal="right"/>
      <protection/>
    </xf>
    <xf numFmtId="3" fontId="4" fillId="0" borderId="49" xfId="36" applyNumberFormat="1" applyFont="1" applyFill="1" applyBorder="1" applyAlignment="1" applyProtection="1">
      <alignment horizontal="right"/>
      <protection locked="0"/>
    </xf>
    <xf numFmtId="3" fontId="4" fillId="0" borderId="32" xfId="36" applyNumberFormat="1" applyFont="1" applyFill="1" applyBorder="1" applyAlignment="1" applyProtection="1">
      <alignment horizontal="right"/>
      <protection locked="0"/>
    </xf>
    <xf numFmtId="3" fontId="4" fillId="0" borderId="12" xfId="36" applyNumberFormat="1" applyFont="1" applyFill="1" applyBorder="1" applyAlignment="1" applyProtection="1">
      <alignment horizontal="right"/>
      <protection locked="0"/>
    </xf>
    <xf numFmtId="3" fontId="4" fillId="0" borderId="52" xfId="36" applyNumberFormat="1" applyFont="1" applyFill="1" applyBorder="1" applyAlignment="1" applyProtection="1">
      <alignment horizontal="right"/>
      <protection locked="0"/>
    </xf>
    <xf numFmtId="3" fontId="4" fillId="0" borderId="0" xfId="36" applyNumberFormat="1" applyFont="1" applyFill="1" applyBorder="1" applyAlignment="1" applyProtection="1">
      <alignment horizontal="right"/>
      <protection locked="0"/>
    </xf>
    <xf numFmtId="3" fontId="4" fillId="0" borderId="31" xfId="36" applyNumberFormat="1" applyFont="1" applyFill="1" applyBorder="1" applyAlignment="1" applyProtection="1">
      <alignment horizontal="right"/>
      <protection locked="0"/>
    </xf>
    <xf numFmtId="37" fontId="5" fillId="3" borderId="16" xfId="0" applyNumberFormat="1" applyFont="1" applyFill="1" applyBorder="1" applyAlignment="1" applyProtection="1">
      <alignment horizontal="center" vertical="center" wrapText="1"/>
      <protection hidden="1"/>
    </xf>
    <xf numFmtId="37" fontId="5" fillId="3" borderId="7" xfId="0" applyNumberFormat="1"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wrapText="1"/>
      <protection hidden="1"/>
    </xf>
    <xf numFmtId="171" fontId="4" fillId="0" borderId="25" xfId="0" applyNumberFormat="1" applyFont="1" applyFill="1" applyBorder="1" applyAlignment="1" applyProtection="1">
      <alignment/>
      <protection locked="0"/>
    </xf>
    <xf numFmtId="0" fontId="5" fillId="3" borderId="50" xfId="0" applyFont="1" applyFill="1" applyBorder="1" applyAlignment="1" applyProtection="1">
      <alignment horizontal="center"/>
      <protection hidden="1"/>
    </xf>
    <xf numFmtId="0" fontId="0" fillId="0" borderId="33" xfId="0" applyBorder="1" applyAlignment="1">
      <alignment/>
    </xf>
    <xf numFmtId="14" fontId="5" fillId="3" borderId="51" xfId="0" applyNumberFormat="1" applyFont="1" applyFill="1" applyBorder="1" applyAlignment="1" applyProtection="1">
      <alignment horizontal="center"/>
      <protection hidden="1"/>
    </xf>
    <xf numFmtId="0" fontId="0" fillId="0" borderId="6" xfId="0" applyBorder="1" applyAlignment="1">
      <alignment/>
    </xf>
    <xf numFmtId="211" fontId="4" fillId="0" borderId="69" xfId="0" applyNumberFormat="1" applyFont="1" applyBorder="1" applyAlignment="1" applyProtection="1">
      <alignment/>
      <protection locked="0"/>
    </xf>
    <xf numFmtId="0" fontId="0" fillId="0" borderId="48" xfId="0" applyBorder="1" applyAlignment="1">
      <alignment/>
    </xf>
    <xf numFmtId="211" fontId="4" fillId="0" borderId="25" xfId="0" applyNumberFormat="1" applyFont="1" applyBorder="1" applyAlignment="1" applyProtection="1">
      <alignment/>
      <protection locked="0"/>
    </xf>
    <xf numFmtId="0" fontId="0" fillId="0" borderId="13" xfId="0" applyBorder="1" applyAlignment="1">
      <alignment/>
    </xf>
    <xf numFmtId="0" fontId="5" fillId="3" borderId="50" xfId="0" applyFont="1" applyFill="1" applyBorder="1" applyAlignment="1" applyProtection="1">
      <alignment horizontal="center" vertical="center"/>
      <protection hidden="1"/>
    </xf>
    <xf numFmtId="0" fontId="0" fillId="3" borderId="37" xfId="0" applyFill="1" applyBorder="1" applyAlignment="1">
      <alignment/>
    </xf>
    <xf numFmtId="0" fontId="0" fillId="3" borderId="68" xfId="0" applyFill="1" applyBorder="1" applyAlignment="1">
      <alignment/>
    </xf>
    <xf numFmtId="0" fontId="0" fillId="3" borderId="34" xfId="0" applyFill="1" applyBorder="1" applyAlignment="1">
      <alignment/>
    </xf>
    <xf numFmtId="177" fontId="4" fillId="0" borderId="69" xfId="36" applyNumberFormat="1" applyFont="1" applyFill="1" applyBorder="1" applyAlignment="1" applyProtection="1">
      <alignment/>
      <protection locked="0"/>
    </xf>
    <xf numFmtId="177" fontId="4" fillId="0" borderId="39" xfId="36" applyNumberFormat="1" applyFont="1" applyFill="1" applyBorder="1" applyAlignment="1" applyProtection="1">
      <alignment/>
      <protection locked="0"/>
    </xf>
    <xf numFmtId="177" fontId="4" fillId="0" borderId="25" xfId="36" applyNumberFormat="1" applyFont="1" applyFill="1" applyBorder="1" applyAlignment="1" applyProtection="1">
      <alignment/>
      <protection locked="0"/>
    </xf>
    <xf numFmtId="177" fontId="4" fillId="0" borderId="17" xfId="36" applyNumberFormat="1" applyFont="1" applyFill="1" applyBorder="1" applyAlignment="1" applyProtection="1">
      <alignment/>
      <protection locked="0"/>
    </xf>
    <xf numFmtId="0" fontId="0" fillId="0" borderId="37" xfId="0" applyBorder="1" applyAlignment="1">
      <alignment horizontal="center" vertical="center"/>
    </xf>
    <xf numFmtId="171" fontId="4" fillId="0" borderId="69" xfId="0" applyNumberFormat="1" applyFont="1" applyFill="1" applyBorder="1" applyAlignment="1" applyProtection="1">
      <alignment/>
      <protection locked="0"/>
    </xf>
    <xf numFmtId="0" fontId="0" fillId="0" borderId="39" xfId="0" applyBorder="1" applyAlignment="1">
      <alignment/>
    </xf>
    <xf numFmtId="0" fontId="5" fillId="3" borderId="16" xfId="0"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49" fontId="5" fillId="0" borderId="13" xfId="0" applyNumberFormat="1"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0" fontId="5" fillId="3" borderId="16"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49" fontId="5" fillId="0" borderId="25" xfId="0" applyNumberFormat="1" applyFont="1" applyFill="1" applyBorder="1" applyAlignment="1" applyProtection="1">
      <alignment horizontal="left" wrapText="1"/>
      <protection locked="0"/>
    </xf>
    <xf numFmtId="0" fontId="5" fillId="3" borderId="16" xfId="0" applyFont="1" applyFill="1" applyBorder="1" applyAlignment="1" applyProtection="1">
      <alignment vertical="center" wrapText="1"/>
      <protection hidden="1"/>
    </xf>
    <xf numFmtId="0" fontId="4" fillId="0" borderId="7" xfId="0" applyFont="1" applyBorder="1" applyAlignment="1" applyProtection="1">
      <alignment/>
      <protection hidden="1"/>
    </xf>
    <xf numFmtId="171" fontId="4" fillId="0" borderId="40" xfId="0" applyNumberFormat="1" applyFont="1" applyFill="1" applyBorder="1" applyAlignment="1" applyProtection="1">
      <alignment horizontal="right"/>
      <protection locked="0"/>
    </xf>
    <xf numFmtId="171" fontId="4" fillId="0" borderId="19" xfId="0" applyNumberFormat="1" applyFont="1" applyFill="1" applyBorder="1" applyAlignment="1" applyProtection="1">
      <alignment horizontal="right"/>
      <protection locked="0"/>
    </xf>
    <xf numFmtId="49" fontId="5" fillId="0" borderId="48" xfId="0" applyNumberFormat="1" applyFont="1" applyFill="1" applyBorder="1" applyAlignment="1" applyProtection="1">
      <alignment wrapText="1"/>
      <protection locked="0"/>
    </xf>
    <xf numFmtId="0" fontId="5" fillId="0" borderId="48" xfId="0" applyFont="1" applyBorder="1" applyAlignment="1" applyProtection="1">
      <alignment wrapText="1"/>
      <protection locked="0"/>
    </xf>
    <xf numFmtId="171" fontId="4" fillId="0" borderId="69" xfId="0" applyNumberFormat="1" applyFont="1" applyFill="1" applyBorder="1" applyAlignment="1" applyProtection="1">
      <alignment horizontal="right"/>
      <protection locked="0"/>
    </xf>
    <xf numFmtId="171" fontId="4" fillId="0" borderId="39" xfId="0" applyNumberFormat="1" applyFont="1" applyFill="1" applyBorder="1" applyAlignment="1" applyProtection="1">
      <alignment horizontal="right"/>
      <protection locked="0"/>
    </xf>
    <xf numFmtId="49" fontId="5" fillId="0" borderId="32" xfId="0" applyNumberFormat="1" applyFont="1" applyFill="1" applyBorder="1" applyAlignment="1" applyProtection="1">
      <alignment wrapText="1"/>
      <protection locked="0"/>
    </xf>
    <xf numFmtId="0" fontId="5" fillId="0" borderId="18" xfId="0" applyFont="1" applyBorder="1" applyAlignment="1" applyProtection="1">
      <alignment wrapText="1"/>
      <protection locked="0"/>
    </xf>
    <xf numFmtId="0" fontId="5" fillId="3" borderId="16" xfId="0" applyFont="1" applyFill="1" applyBorder="1" applyAlignment="1" applyProtection="1">
      <alignment vertical="center" wrapText="1"/>
      <protection/>
    </xf>
    <xf numFmtId="0" fontId="4" fillId="0" borderId="7" xfId="0" applyFont="1" applyBorder="1" applyAlignment="1" applyProtection="1">
      <alignment/>
      <protection/>
    </xf>
    <xf numFmtId="0" fontId="5" fillId="3" borderId="16"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49" fontId="4" fillId="0" borderId="25" xfId="0" applyNumberFormat="1" applyFont="1" applyFill="1" applyBorder="1" applyAlignment="1" applyProtection="1">
      <alignment/>
      <protection locked="0"/>
    </xf>
    <xf numFmtId="177" fontId="5" fillId="3" borderId="25" xfId="39" applyNumberFormat="1" applyFont="1" applyFill="1" applyBorder="1" applyAlignment="1" applyProtection="1">
      <alignment/>
      <protection/>
    </xf>
    <xf numFmtId="0" fontId="0" fillId="3" borderId="17" xfId="0" applyFill="1" applyBorder="1" applyAlignment="1">
      <alignment/>
    </xf>
    <xf numFmtId="0" fontId="0" fillId="0" borderId="37" xfId="0" applyBorder="1" applyAlignment="1">
      <alignment/>
    </xf>
    <xf numFmtId="49" fontId="4" fillId="0" borderId="72" xfId="0" applyNumberFormat="1" applyFont="1" applyFill="1" applyBorder="1" applyAlignment="1" applyProtection="1">
      <alignment/>
      <protection locked="0"/>
    </xf>
    <xf numFmtId="0" fontId="0" fillId="0" borderId="70" xfId="0" applyBorder="1" applyAlignment="1">
      <alignment/>
    </xf>
    <xf numFmtId="0" fontId="4" fillId="0" borderId="0" xfId="0" applyFont="1" applyAlignment="1" applyProtection="1">
      <alignment vertical="top" wrapText="1"/>
      <protection/>
    </xf>
    <xf numFmtId="37" fontId="5" fillId="3" borderId="50" xfId="0" applyNumberFormat="1"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wrapText="1"/>
      <protection hidden="1"/>
    </xf>
    <xf numFmtId="37" fontId="5" fillId="3" borderId="37" xfId="0" applyNumberFormat="1" applyFont="1" applyFill="1" applyBorder="1" applyAlignment="1" applyProtection="1">
      <alignment horizontal="center" vertical="center" wrapText="1"/>
      <protection hidden="1"/>
    </xf>
    <xf numFmtId="193" fontId="5" fillId="3" borderId="16" xfId="0" applyNumberFormat="1" applyFont="1" applyFill="1" applyBorder="1" applyAlignment="1" applyProtection="1">
      <alignment horizontal="center" vertical="center" wrapText="1"/>
      <protection hidden="1"/>
    </xf>
    <xf numFmtId="193" fontId="5" fillId="3" borderId="5" xfId="0" applyNumberFormat="1" applyFont="1" applyFill="1" applyBorder="1" applyAlignment="1" applyProtection="1">
      <alignment horizontal="center" vertical="center" wrapText="1"/>
      <protection hidden="1"/>
    </xf>
    <xf numFmtId="193" fontId="5" fillId="3" borderId="7" xfId="0" applyNumberFormat="1" applyFont="1" applyFill="1" applyBorder="1" applyAlignment="1" applyProtection="1">
      <alignment horizontal="center" vertical="center" wrapText="1"/>
      <protection hidden="1"/>
    </xf>
    <xf numFmtId="0" fontId="5" fillId="3" borderId="21" xfId="0" applyFont="1" applyFill="1" applyBorder="1" applyAlignment="1" applyProtection="1">
      <alignment wrapText="1"/>
      <protection/>
    </xf>
    <xf numFmtId="0" fontId="0" fillId="0" borderId="14" xfId="0" applyBorder="1" applyAlignment="1">
      <alignment wrapText="1"/>
    </xf>
    <xf numFmtId="3" fontId="4" fillId="0" borderId="25" xfId="36" applyNumberFormat="1" applyFont="1" applyFill="1" applyBorder="1" applyAlignment="1" applyProtection="1">
      <alignment/>
      <protection locked="0"/>
    </xf>
    <xf numFmtId="3" fontId="4" fillId="0" borderId="13" xfId="36" applyNumberFormat="1" applyFont="1" applyFill="1" applyBorder="1" applyAlignment="1" applyProtection="1">
      <alignment/>
      <protection locked="0"/>
    </xf>
    <xf numFmtId="37" fontId="5" fillId="3" borderId="25" xfId="0" applyNumberFormat="1" applyFont="1" applyFill="1" applyBorder="1" applyAlignment="1" applyProtection="1">
      <alignment/>
      <protection hidden="1"/>
    </xf>
    <xf numFmtId="0" fontId="0" fillId="3" borderId="5" xfId="0" applyFill="1" applyBorder="1" applyAlignment="1">
      <alignment vertical="center"/>
    </xf>
    <xf numFmtId="0" fontId="0" fillId="3" borderId="7" xfId="0" applyFill="1" applyBorder="1" applyAlignment="1">
      <alignment/>
    </xf>
    <xf numFmtId="0" fontId="5" fillId="3" borderId="16" xfId="0"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7" xfId="0" applyBorder="1" applyAlignment="1">
      <alignment horizontal="center" vertical="center"/>
    </xf>
    <xf numFmtId="183" fontId="4" fillId="0" borderId="25" xfId="0" applyNumberFormat="1" applyFont="1" applyFill="1" applyBorder="1" applyAlignment="1" applyProtection="1">
      <alignment horizontal="left"/>
      <protection locked="0"/>
    </xf>
    <xf numFmtId="0" fontId="0" fillId="0" borderId="17" xfId="0" applyBorder="1" applyAlignment="1">
      <alignment horizontal="left"/>
    </xf>
    <xf numFmtId="0" fontId="0" fillId="0" borderId="5" xfId="0" applyBorder="1" applyAlignment="1">
      <alignment vertical="center"/>
    </xf>
    <xf numFmtId="0" fontId="0" fillId="0" borderId="5" xfId="0" applyBorder="1" applyAlignment="1">
      <alignment/>
    </xf>
    <xf numFmtId="0" fontId="0" fillId="0" borderId="7" xfId="0" applyBorder="1" applyAlignment="1">
      <alignment/>
    </xf>
    <xf numFmtId="0" fontId="0" fillId="0" borderId="13" xfId="0" applyBorder="1" applyAlignment="1" applyProtection="1">
      <alignment/>
      <protection locked="0"/>
    </xf>
    <xf numFmtId="0" fontId="4" fillId="0" borderId="33" xfId="0" applyFont="1" applyBorder="1" applyAlignment="1" applyProtection="1">
      <alignment horizontal="center" vertical="center" wrapText="1"/>
      <protection hidden="1"/>
    </xf>
    <xf numFmtId="0" fontId="0" fillId="0" borderId="33" xfId="0" applyBorder="1" applyAlignment="1">
      <alignment vertical="center"/>
    </xf>
    <xf numFmtId="37" fontId="5" fillId="3" borderId="50" xfId="0" applyNumberFormat="1" applyFont="1" applyFill="1" applyBorder="1" applyAlignment="1" applyProtection="1">
      <alignment horizontal="center" vertical="center"/>
      <protection hidden="1"/>
    </xf>
    <xf numFmtId="193" fontId="5" fillId="3" borderId="51" xfId="0" applyNumberFormat="1" applyFont="1" applyFill="1" applyBorder="1" applyAlignment="1" applyProtection="1">
      <alignment horizontal="center" vertical="center"/>
      <protection hidden="1"/>
    </xf>
    <xf numFmtId="0" fontId="0" fillId="3" borderId="22" xfId="0" applyFill="1" applyBorder="1" applyAlignment="1">
      <alignment/>
    </xf>
    <xf numFmtId="171" fontId="5" fillId="3" borderId="25" xfId="39" applyNumberFormat="1" applyFont="1" applyBorder="1" applyAlignment="1" applyProtection="1">
      <alignment/>
      <protection/>
    </xf>
    <xf numFmtId="190" fontId="4" fillId="0" borderId="25" xfId="36" applyNumberFormat="1" applyFill="1" applyBorder="1" applyAlignment="1" applyProtection="1">
      <alignment/>
      <protection locked="0"/>
    </xf>
    <xf numFmtId="0" fontId="5" fillId="3" borderId="25" xfId="32" applyFont="1" applyFill="1" applyBorder="1" applyAlignment="1" applyProtection="1">
      <alignment/>
      <protection hidden="1"/>
    </xf>
    <xf numFmtId="0" fontId="5" fillId="3" borderId="50" xfId="0" applyFont="1" applyFill="1" applyBorder="1" applyAlignment="1" applyProtection="1">
      <alignment horizontal="center"/>
      <protection/>
    </xf>
    <xf numFmtId="178" fontId="5" fillId="3" borderId="51" xfId="39" applyFont="1" applyFill="1" applyBorder="1" applyAlignment="1" applyProtection="1">
      <alignment horizontal="center" vertical="center"/>
      <protection/>
    </xf>
    <xf numFmtId="0" fontId="0" fillId="0" borderId="22" xfId="0" applyBorder="1" applyAlignment="1">
      <alignment/>
    </xf>
    <xf numFmtId="190" fontId="4" fillId="0" borderId="65" xfId="36" applyNumberFormat="1" applyFill="1" applyBorder="1" applyAlignment="1" applyProtection="1">
      <alignment/>
      <protection locked="0"/>
    </xf>
    <xf numFmtId="190" fontId="5" fillId="3" borderId="25" xfId="39" applyNumberFormat="1" applyBorder="1" applyAlignment="1" applyProtection="1">
      <alignment/>
      <protection/>
    </xf>
    <xf numFmtId="49" fontId="5" fillId="3" borderId="16"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center" vertical="center" wrapText="1"/>
      <protection hidden="1"/>
    </xf>
    <xf numFmtId="37" fontId="5" fillId="3" borderId="33" xfId="0" applyNumberFormat="1" applyFont="1" applyFill="1" applyBorder="1" applyAlignment="1" applyProtection="1">
      <alignment horizontal="center" vertical="center"/>
      <protection hidden="1"/>
    </xf>
    <xf numFmtId="37" fontId="5" fillId="3" borderId="37" xfId="0" applyNumberFormat="1" applyFont="1" applyFill="1" applyBorder="1" applyAlignment="1" applyProtection="1">
      <alignment horizontal="center" vertical="center"/>
      <protection hidden="1"/>
    </xf>
    <xf numFmtId="37" fontId="5" fillId="3" borderId="68" xfId="0" applyNumberFormat="1" applyFont="1" applyFill="1" applyBorder="1" applyAlignment="1" applyProtection="1">
      <alignment horizontal="center" vertical="center"/>
      <protection hidden="1"/>
    </xf>
    <xf numFmtId="37" fontId="5" fillId="3" borderId="0" xfId="0" applyNumberFormat="1" applyFont="1" applyFill="1" applyBorder="1" applyAlignment="1" applyProtection="1">
      <alignment horizontal="center" vertical="center"/>
      <protection hidden="1"/>
    </xf>
    <xf numFmtId="37" fontId="5" fillId="3" borderId="34" xfId="0" applyNumberFormat="1" applyFont="1" applyFill="1" applyBorder="1" applyAlignment="1" applyProtection="1">
      <alignment horizontal="center" vertical="center"/>
      <protection hidden="1"/>
    </xf>
    <xf numFmtId="178" fontId="2" fillId="0" borderId="13" xfId="36" applyFont="1" applyFill="1" applyBorder="1" applyAlignment="1" applyProtection="1">
      <alignment horizontal="right"/>
      <protection/>
    </xf>
    <xf numFmtId="3" fontId="3" fillId="3" borderId="16" xfId="0" applyNumberFormat="1"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7" xfId="0" applyNumberFormat="1" applyFont="1" applyFill="1" applyBorder="1" applyAlignment="1" applyProtection="1">
      <alignment horizontal="center" vertical="center" wrapText="1"/>
      <protection hidden="1"/>
    </xf>
    <xf numFmtId="178" fontId="2" fillId="0" borderId="26" xfId="36" applyFont="1" applyFill="1" applyBorder="1" applyAlignment="1" applyProtection="1">
      <alignment horizontal="right"/>
      <protection/>
    </xf>
    <xf numFmtId="0" fontId="2" fillId="3" borderId="5"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protection hidden="1"/>
    </xf>
    <xf numFmtId="0" fontId="2" fillId="3" borderId="6" xfId="0" applyFont="1" applyFill="1" applyBorder="1" applyAlignment="1" applyProtection="1">
      <alignment/>
      <protection hidden="1"/>
    </xf>
    <xf numFmtId="178" fontId="2" fillId="0" borderId="32" xfId="36" applyFont="1" applyFill="1" applyBorder="1" applyAlignment="1" applyProtection="1">
      <alignment horizontal="right"/>
      <protection/>
    </xf>
    <xf numFmtId="178" fontId="2" fillId="0" borderId="26" xfId="36" applyFont="1" applyFill="1" applyBorder="1" applyAlignment="1" applyProtection="1">
      <alignment/>
      <protection/>
    </xf>
    <xf numFmtId="178" fontId="2" fillId="0" borderId="13" xfId="36" applyFont="1" applyFill="1" applyBorder="1" applyAlignment="1" applyProtection="1">
      <alignment/>
      <protection/>
    </xf>
    <xf numFmtId="178" fontId="2" fillId="0" borderId="32" xfId="36" applyFont="1" applyFill="1" applyBorder="1" applyAlignment="1" applyProtection="1">
      <alignment/>
      <protection/>
    </xf>
    <xf numFmtId="0" fontId="4" fillId="0" borderId="21" xfId="35" applyFont="1" applyFill="1" applyBorder="1" applyAlignment="1" applyProtection="1">
      <alignment horizontal="center" vertical="center" wrapText="1"/>
      <protection locked="0"/>
    </xf>
    <xf numFmtId="0" fontId="4" fillId="0" borderId="2" xfId="35" applyFont="1" applyFill="1" applyBorder="1" applyAlignment="1" applyProtection="1">
      <alignment horizontal="center" vertical="center" wrapText="1"/>
      <protection locked="0"/>
    </xf>
    <xf numFmtId="0" fontId="4" fillId="0" borderId="68" xfId="35" applyFont="1" applyFill="1" applyBorder="1" applyAlignment="1" applyProtection="1">
      <alignment horizontal="center" vertical="center" wrapText="1"/>
      <protection locked="0"/>
    </xf>
    <xf numFmtId="0" fontId="0" fillId="0" borderId="66" xfId="35" applyBorder="1" applyAlignment="1">
      <alignment horizontal="center"/>
      <protection/>
    </xf>
    <xf numFmtId="0" fontId="4" fillId="0" borderId="14" xfId="35" applyFont="1" applyFill="1" applyBorder="1" applyAlignment="1" applyProtection="1">
      <alignment horizontal="center" vertical="center" wrapText="1"/>
      <protection locked="0"/>
    </xf>
    <xf numFmtId="0" fontId="4" fillId="0" borderId="50" xfId="35" applyFont="1" applyFill="1" applyBorder="1" applyAlignment="1" applyProtection="1">
      <alignment horizontal="center" vertical="center" wrapText="1"/>
      <protection locked="0"/>
    </xf>
    <xf numFmtId="0" fontId="4" fillId="0" borderId="51" xfId="35" applyFont="1" applyFill="1" applyBorder="1" applyAlignment="1" applyProtection="1">
      <alignment horizontal="center" vertical="center" wrapText="1"/>
      <protection locked="0"/>
    </xf>
    <xf numFmtId="0" fontId="4" fillId="0" borderId="3" xfId="35" applyFont="1" applyFill="1" applyBorder="1" applyAlignment="1" applyProtection="1">
      <alignment horizontal="center" vertical="center" wrapText="1"/>
      <protection locked="0"/>
    </xf>
    <xf numFmtId="0" fontId="5" fillId="3" borderId="24" xfId="35" applyFont="1" applyFill="1" applyBorder="1" applyAlignment="1" applyProtection="1">
      <alignment horizontal="center" vertical="center"/>
      <protection hidden="1"/>
    </xf>
    <xf numFmtId="0" fontId="5" fillId="3" borderId="62" xfId="35" applyFont="1" applyFill="1" applyBorder="1" applyAlignment="1" applyProtection="1">
      <alignment horizontal="center" vertical="center"/>
      <protection hidden="1"/>
    </xf>
    <xf numFmtId="0" fontId="5" fillId="3" borderId="38" xfId="35" applyFont="1" applyFill="1" applyBorder="1" applyAlignment="1" applyProtection="1">
      <alignment horizontal="center" vertical="center"/>
      <protection hidden="1"/>
    </xf>
    <xf numFmtId="0" fontId="0" fillId="0" borderId="23" xfId="35" applyFont="1" applyBorder="1" applyAlignment="1">
      <alignment vertical="center" wrapText="1"/>
      <protection/>
    </xf>
    <xf numFmtId="0" fontId="0" fillId="0" borderId="23" xfId="35" applyBorder="1" applyAlignment="1">
      <alignment vertical="center" wrapText="1"/>
      <protection/>
    </xf>
    <xf numFmtId="0" fontId="5" fillId="3" borderId="24" xfId="32" applyFont="1" applyFill="1" applyBorder="1" applyAlignment="1" applyProtection="1">
      <alignment horizontal="center" vertical="center"/>
      <protection hidden="1"/>
    </xf>
    <xf numFmtId="0" fontId="5" fillId="3" borderId="62" xfId="32" applyFont="1" applyFill="1" applyBorder="1" applyAlignment="1" applyProtection="1">
      <alignment horizontal="center" vertical="center"/>
      <protection hidden="1"/>
    </xf>
    <xf numFmtId="0" fontId="5" fillId="3" borderId="38" xfId="32" applyFont="1" applyFill="1" applyBorder="1" applyAlignment="1" applyProtection="1">
      <alignment horizontal="center" vertical="center"/>
      <protection hidden="1"/>
    </xf>
    <xf numFmtId="0" fontId="0" fillId="0" borderId="0" xfId="35" applyFont="1" applyBorder="1" applyAlignment="1">
      <alignment vertical="center" wrapText="1"/>
      <protection/>
    </xf>
    <xf numFmtId="0" fontId="0" fillId="0" borderId="0" xfId="0" applyBorder="1" applyAlignment="1">
      <alignment vertical="center" wrapText="1"/>
    </xf>
    <xf numFmtId="0" fontId="0" fillId="0" borderId="0" xfId="35" applyBorder="1" applyAlignment="1">
      <alignment vertical="center" wrapText="1"/>
      <protection/>
    </xf>
    <xf numFmtId="0" fontId="0" fillId="0" borderId="23" xfId="35" applyFont="1" applyBorder="1" applyAlignment="1" applyProtection="1">
      <alignment vertical="center" wrapText="1"/>
      <protection hidden="1"/>
    </xf>
    <xf numFmtId="0" fontId="0" fillId="0" borderId="23" xfId="35" applyBorder="1" applyAlignment="1" applyProtection="1">
      <alignment vertical="center" wrapText="1"/>
      <protection hidden="1"/>
    </xf>
    <xf numFmtId="0" fontId="4" fillId="0" borderId="16" xfId="35" applyFont="1" applyFill="1" applyBorder="1" applyAlignment="1" applyProtection="1">
      <alignment horizontal="center" vertical="center" wrapText="1"/>
      <protection locked="0"/>
    </xf>
    <xf numFmtId="0" fontId="0" fillId="0" borderId="24" xfId="35" applyFont="1" applyBorder="1" applyAlignment="1">
      <alignment vertical="center" wrapText="1"/>
      <protection/>
    </xf>
    <xf numFmtId="0" fontId="0" fillId="0" borderId="62" xfId="0" applyBorder="1" applyAlignment="1">
      <alignment vertical="center" wrapText="1"/>
    </xf>
    <xf numFmtId="0" fontId="0" fillId="0" borderId="38" xfId="0" applyBorder="1" applyAlignment="1">
      <alignment vertical="center" wrapText="1"/>
    </xf>
    <xf numFmtId="0" fontId="0" fillId="3" borderId="16" xfId="35" applyFill="1" applyBorder="1" applyAlignment="1">
      <alignment horizontal="center"/>
      <protection/>
    </xf>
    <xf numFmtId="0" fontId="0" fillId="3" borderId="5" xfId="35" applyFill="1" applyBorder="1" applyAlignment="1">
      <alignment horizontal="center"/>
      <protection/>
    </xf>
    <xf numFmtId="0" fontId="0" fillId="3" borderId="7" xfId="35" applyFill="1" applyBorder="1" applyAlignment="1">
      <alignment horizontal="center"/>
      <protection/>
    </xf>
    <xf numFmtId="0" fontId="4" fillId="0" borderId="6" xfId="35" applyFont="1" applyFill="1" applyBorder="1" applyAlignment="1" applyProtection="1">
      <alignment horizontal="center" vertical="center" wrapText="1"/>
      <protection locked="0"/>
    </xf>
    <xf numFmtId="0" fontId="4" fillId="0" borderId="5" xfId="35" applyFont="1" applyFill="1" applyBorder="1" applyAlignment="1" applyProtection="1">
      <alignment horizontal="center" vertical="center" wrapText="1"/>
      <protection locked="0"/>
    </xf>
    <xf numFmtId="0" fontId="4" fillId="0" borderId="33" xfId="35" applyFont="1" applyFill="1" applyBorder="1" applyAlignment="1" applyProtection="1">
      <alignment horizontal="center" vertical="center" wrapText="1"/>
      <protection locked="0"/>
    </xf>
    <xf numFmtId="0" fontId="5" fillId="0" borderId="16" xfId="0" applyFont="1" applyBorder="1" applyAlignment="1" applyProtection="1">
      <alignment horizontal="left"/>
      <protection hidden="1"/>
    </xf>
    <xf numFmtId="0" fontId="5" fillId="0" borderId="7" xfId="0" applyFont="1" applyBorder="1" applyAlignment="1" applyProtection="1">
      <alignment horizontal="left"/>
      <protection hidden="1"/>
    </xf>
    <xf numFmtId="0" fontId="4" fillId="0" borderId="24" xfId="0" applyFont="1" applyBorder="1" applyAlignment="1">
      <alignment vertical="top" wrapText="1"/>
    </xf>
    <xf numFmtId="0" fontId="0" fillId="0" borderId="62" xfId="0" applyBorder="1" applyAlignment="1">
      <alignment vertical="top" wrapText="1"/>
    </xf>
    <xf numFmtId="0" fontId="0" fillId="0" borderId="38" xfId="0" applyBorder="1" applyAlignment="1">
      <alignment vertical="top" wrapText="1"/>
    </xf>
    <xf numFmtId="0" fontId="0" fillId="0" borderId="0" xfId="0" applyAlignment="1">
      <alignment/>
    </xf>
    <xf numFmtId="0" fontId="5" fillId="0" borderId="16" xfId="0" applyFont="1" applyBorder="1" applyAlignment="1" applyProtection="1">
      <alignment horizontal="center"/>
      <protection hidden="1"/>
    </xf>
    <xf numFmtId="171" fontId="4" fillId="0" borderId="16" xfId="0" applyNumberFormat="1" applyFont="1" applyBorder="1" applyAlignment="1">
      <alignment horizontal="center"/>
    </xf>
    <xf numFmtId="171" fontId="4" fillId="0" borderId="5" xfId="0" applyNumberFormat="1" applyFont="1" applyBorder="1" applyAlignment="1">
      <alignment horizontal="center"/>
    </xf>
    <xf numFmtId="171" fontId="4" fillId="0" borderId="7" xfId="0" applyNumberFormat="1"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5" fillId="0" borderId="0" xfId="0" applyFont="1" applyAlignment="1" applyProtection="1">
      <alignment vertical="top" wrapText="1"/>
      <protection/>
    </xf>
    <xf numFmtId="0" fontId="4" fillId="0" borderId="0" xfId="35" applyFont="1" applyAlignment="1" applyProtection="1">
      <alignment vertical="top" wrapText="1"/>
      <protection/>
    </xf>
    <xf numFmtId="0" fontId="4" fillId="0" borderId="0" xfId="35" applyFont="1" applyAlignment="1" applyProtection="1">
      <alignment horizontal="left" vertical="top"/>
      <protection/>
    </xf>
    <xf numFmtId="0" fontId="4" fillId="0" borderId="0" xfId="35" applyFont="1" applyBorder="1" applyAlignment="1" applyProtection="1">
      <alignment horizontal="left" vertical="top"/>
      <protection/>
    </xf>
    <xf numFmtId="0" fontId="20" fillId="0" borderId="0" xfId="35" applyFont="1" applyBorder="1" applyAlignment="1" applyProtection="1">
      <alignment horizontal="right"/>
      <protection/>
    </xf>
    <xf numFmtId="0" fontId="4" fillId="0" borderId="0" xfId="35" applyFont="1" applyBorder="1" applyAlignment="1" applyProtection="1">
      <alignment horizontal="right"/>
      <protection/>
    </xf>
    <xf numFmtId="0" fontId="4" fillId="0" borderId="0" xfId="0" applyFont="1" applyAlignment="1" applyProtection="1">
      <alignment vertical="center" wrapText="1"/>
      <protection/>
    </xf>
    <xf numFmtId="0" fontId="5" fillId="0" borderId="0" xfId="34" applyNumberFormat="1" applyFont="1" applyBorder="1" applyAlignment="1" applyProtection="1">
      <alignment horizontal="left" vertical="top"/>
      <protection/>
    </xf>
    <xf numFmtId="0" fontId="4" fillId="0" borderId="0" xfId="34" applyFont="1" applyBorder="1" applyAlignment="1" applyProtection="1">
      <alignment vertical="top"/>
      <protection/>
    </xf>
    <xf numFmtId="0" fontId="0" fillId="0" borderId="0" xfId="0" applyAlignment="1" applyProtection="1">
      <alignment vertical="top" wrapText="1"/>
      <protection/>
    </xf>
  </cellXfs>
  <cellStyles count="35">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Concept nac 2004 ent II" xfId="33"/>
    <cellStyle name="Standaard_cp2002" xfId="34"/>
    <cellStyle name="Standaard_Nacalculatieformulier 2002" xfId="35"/>
    <cellStyle name="Tabelstandaard" xfId="36"/>
    <cellStyle name="Tabelstandaard financieel" xfId="37"/>
    <cellStyle name="Tabelstandaard negatief" xfId="38"/>
    <cellStyle name="Tabelstandaard Totaal" xfId="39"/>
    <cellStyle name="Tabelstandaard Totaal Negatief" xfId="40"/>
    <cellStyle name="Tabelstandaard Totaal_Afschrijvingen 2003 vzh" xfId="41"/>
    <cellStyle name="Tabelstandaard_Afschrijvingen 2003 vzh" xfId="42"/>
    <cellStyle name="Table  - Opmaakprofiel6" xfId="43"/>
    <cellStyle name="Title  - Opmaakprofiel1" xfId="44"/>
    <cellStyle name="TotCol - Opmaakprofiel5" xfId="45"/>
    <cellStyle name="TotRow - Opmaakprofiel4" xfId="46"/>
    <cellStyle name="Currency" xfId="47"/>
    <cellStyle name="Currency [0]" xfId="48"/>
  </cellStyles>
  <dxfs count="8">
    <dxf>
      <fill>
        <patternFill>
          <bgColor rgb="FFFFCC99"/>
        </patternFill>
      </fill>
      <border/>
    </dxf>
    <dxf>
      <fill>
        <patternFill>
          <bgColor rgb="FFFFFFCC"/>
        </patternFill>
      </fill>
      <border/>
    </dxf>
    <dxf>
      <fill>
        <patternFill>
          <bgColor rgb="FFCCFFCC"/>
        </patternFill>
      </fill>
      <border/>
    </dxf>
    <dxf>
      <font>
        <color rgb="FFFFFFFF"/>
      </font>
      <fill>
        <patternFill>
          <bgColor rgb="FF0000FF"/>
        </patternFill>
      </fill>
      <border/>
    </dxf>
    <dxf>
      <fill>
        <patternFill>
          <bgColor rgb="FF99CCFF"/>
        </patternFill>
      </fill>
      <border/>
    </dxf>
    <dxf>
      <fill>
        <patternFill patternType="none">
          <bgColor indexed="65"/>
        </patternFill>
      </fill>
      <border/>
    </dxf>
    <dxf>
      <font>
        <color auto="1"/>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file://X:\Algemeen\Clipart\Ctg\NotaVervolg.ep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wmf"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0</xdr:rowOff>
    </xdr:from>
    <xdr:to>
      <xdr:col>6</xdr:col>
      <xdr:colOff>0</xdr:colOff>
      <xdr:row>38</xdr:row>
      <xdr:rowOff>0</xdr:rowOff>
    </xdr:to>
    <xdr:grpSp>
      <xdr:nvGrpSpPr>
        <xdr:cNvPr id="1" name="Group 1"/>
        <xdr:cNvGrpSpPr>
          <a:grpSpLocks/>
        </xdr:cNvGrpSpPr>
      </xdr:nvGrpSpPr>
      <xdr:grpSpPr>
        <a:xfrm>
          <a:off x="4905375" y="62293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0</xdr:rowOff>
    </xdr:from>
    <xdr:to>
      <xdr:col>6</xdr:col>
      <xdr:colOff>0</xdr:colOff>
      <xdr:row>38</xdr:row>
      <xdr:rowOff>0</xdr:rowOff>
    </xdr:to>
    <xdr:grpSp>
      <xdr:nvGrpSpPr>
        <xdr:cNvPr id="5" name="Group 5"/>
        <xdr:cNvGrpSpPr>
          <a:grpSpLocks/>
        </xdr:cNvGrpSpPr>
      </xdr:nvGrpSpPr>
      <xdr:grpSpPr>
        <a:xfrm>
          <a:off x="4905375" y="62293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180975</xdr:colOff>
      <xdr:row>0</xdr:row>
      <xdr:rowOff>9525</xdr:rowOff>
    </xdr:from>
    <xdr:to>
      <xdr:col>13</xdr:col>
      <xdr:colOff>0</xdr:colOff>
      <xdr:row>2</xdr:row>
      <xdr:rowOff>0</xdr:rowOff>
    </xdr:to>
    <xdr:grpSp>
      <xdr:nvGrpSpPr>
        <xdr:cNvPr id="9" name="Group 9"/>
        <xdr:cNvGrpSpPr>
          <a:grpSpLocks/>
        </xdr:cNvGrpSpPr>
      </xdr:nvGrpSpPr>
      <xdr:grpSpPr>
        <a:xfrm>
          <a:off x="8086725" y="9525"/>
          <a:ext cx="180975" cy="390525"/>
          <a:chOff x="769" y="35"/>
          <a:chExt cx="110" cy="41"/>
        </a:xfrm>
        <a:solidFill>
          <a:srgbClr val="FFFFFF"/>
        </a:solidFill>
      </xdr:grpSpPr>
      <xdr:sp>
        <xdr:nvSpPr>
          <xdr:cNvPr id="10" name="Rectangle 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 name="Picture 12"/>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13" name="Rectangle 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4" name="Group 14"/>
        <xdr:cNvGrpSpPr>
          <a:grpSpLocks/>
        </xdr:cNvGrpSpPr>
      </xdr:nvGrpSpPr>
      <xdr:grpSpPr>
        <a:xfrm>
          <a:off x="7543800" y="6553200"/>
          <a:ext cx="0" cy="0"/>
          <a:chOff x="790" y="4"/>
          <a:chExt cx="90" cy="54"/>
        </a:xfrm>
        <a:solidFill>
          <a:srgbClr val="FFFFFF"/>
        </a:solidFill>
      </xdr:grpSpPr>
      <xdr:sp>
        <xdr:nvSpPr>
          <xdr:cNvPr id="15"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7"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40</xdr:row>
      <xdr:rowOff>0</xdr:rowOff>
    </xdr:from>
    <xdr:to>
      <xdr:col>9</xdr:col>
      <xdr:colOff>0</xdr:colOff>
      <xdr:row>40</xdr:row>
      <xdr:rowOff>0</xdr:rowOff>
    </xdr:to>
    <xdr:grpSp>
      <xdr:nvGrpSpPr>
        <xdr:cNvPr id="18" name="Group 18"/>
        <xdr:cNvGrpSpPr>
          <a:grpSpLocks/>
        </xdr:cNvGrpSpPr>
      </xdr:nvGrpSpPr>
      <xdr:grpSpPr>
        <a:xfrm>
          <a:off x="7543800" y="6553200"/>
          <a:ext cx="0" cy="0"/>
          <a:chOff x="790" y="4"/>
          <a:chExt cx="90" cy="54"/>
        </a:xfrm>
        <a:solidFill>
          <a:srgbClr val="FFFFFF"/>
        </a:solidFill>
      </xdr:grpSpPr>
      <xdr:sp>
        <xdr:nvSpPr>
          <xdr:cNvPr id="19"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0"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21"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2" name="Group 22"/>
        <xdr:cNvGrpSpPr>
          <a:grpSpLocks/>
        </xdr:cNvGrpSpPr>
      </xdr:nvGrpSpPr>
      <xdr:grpSpPr>
        <a:xfrm>
          <a:off x="4905375" y="6238875"/>
          <a:ext cx="0" cy="152400"/>
          <a:chOff x="769" y="35"/>
          <a:chExt cx="110" cy="41"/>
        </a:xfrm>
        <a:solidFill>
          <a:srgbClr val="FFFFFF"/>
        </a:solidFill>
      </xdr:grpSpPr>
      <xdr:sp>
        <xdr:nvSpPr>
          <xdr:cNvPr id="23"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38</xdr:row>
      <xdr:rowOff>9525</xdr:rowOff>
    </xdr:from>
    <xdr:to>
      <xdr:col>6</xdr:col>
      <xdr:colOff>0</xdr:colOff>
      <xdr:row>39</xdr:row>
      <xdr:rowOff>0</xdr:rowOff>
    </xdr:to>
    <xdr:grpSp>
      <xdr:nvGrpSpPr>
        <xdr:cNvPr id="27" name="Group 27"/>
        <xdr:cNvGrpSpPr>
          <a:grpSpLocks/>
        </xdr:cNvGrpSpPr>
      </xdr:nvGrpSpPr>
      <xdr:grpSpPr>
        <a:xfrm>
          <a:off x="4905375" y="6238875"/>
          <a:ext cx="0" cy="152400"/>
          <a:chOff x="769" y="35"/>
          <a:chExt cx="110" cy="41"/>
        </a:xfrm>
        <a:solidFill>
          <a:srgbClr val="FFFFFF"/>
        </a:solidFill>
      </xdr:grpSpPr>
      <xdr:sp>
        <xdr:nvSpPr>
          <xdr:cNvPr id="28"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31"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2" name="Group 32"/>
        <xdr:cNvGrpSpPr>
          <a:grpSpLocks/>
        </xdr:cNvGrpSpPr>
      </xdr:nvGrpSpPr>
      <xdr:grpSpPr>
        <a:xfrm>
          <a:off x="3114675" y="43148250"/>
          <a:ext cx="9525" cy="0"/>
          <a:chOff x="790" y="4"/>
          <a:chExt cx="90" cy="54"/>
        </a:xfrm>
        <a:solidFill>
          <a:srgbClr val="FFFFFF"/>
        </a:solidFill>
      </xdr:grpSpPr>
      <xdr:sp>
        <xdr:nvSpPr>
          <xdr:cNvPr id="33" name="Rectangle 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4" name="Picture 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5" name="TextBox 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36" name="Group 36"/>
        <xdr:cNvGrpSpPr>
          <a:grpSpLocks/>
        </xdr:cNvGrpSpPr>
      </xdr:nvGrpSpPr>
      <xdr:grpSpPr>
        <a:xfrm>
          <a:off x="3114675" y="43148250"/>
          <a:ext cx="9525" cy="0"/>
          <a:chOff x="790" y="4"/>
          <a:chExt cx="90" cy="54"/>
        </a:xfrm>
        <a:solidFill>
          <a:srgbClr val="FFFFFF"/>
        </a:solidFill>
      </xdr:grpSpPr>
      <xdr:sp>
        <xdr:nvSpPr>
          <xdr:cNvPr id="37" name="Rectangle 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8" name="Picture 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39" name="TextBox 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40" name="Group 40"/>
        <xdr:cNvGrpSpPr>
          <a:grpSpLocks/>
        </xdr:cNvGrpSpPr>
      </xdr:nvGrpSpPr>
      <xdr:grpSpPr>
        <a:xfrm>
          <a:off x="10982325" y="56749950"/>
          <a:ext cx="590550" cy="0"/>
          <a:chOff x="769" y="35"/>
          <a:chExt cx="110" cy="41"/>
        </a:xfrm>
        <a:solidFill>
          <a:srgbClr val="FFFFFF"/>
        </a:solidFill>
      </xdr:grpSpPr>
      <xdr:sp>
        <xdr:nvSpPr>
          <xdr:cNvPr id="41" name="Rectangle 4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 name="Picture 43"/>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44" name="Rectangle 4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419100</xdr:colOff>
      <xdr:row>1</xdr:row>
      <xdr:rowOff>19050</xdr:rowOff>
    </xdr:from>
    <xdr:to>
      <xdr:col>12</xdr:col>
      <xdr:colOff>19050</xdr:colOff>
      <xdr:row>1</xdr:row>
      <xdr:rowOff>190500</xdr:rowOff>
    </xdr:to>
    <xdr:pic>
      <xdr:nvPicPr>
        <xdr:cNvPr id="1" name="LogoKop1"/>
        <xdr:cNvPicPr preferRelativeResize="1">
          <a:picLocks noChangeAspect="1"/>
        </xdr:cNvPicPr>
      </xdr:nvPicPr>
      <xdr:blipFill>
        <a:blip r:embed="rId1"/>
        <a:stretch>
          <a:fillRect/>
        </a:stretch>
      </xdr:blipFill>
      <xdr:spPr>
        <a:xfrm>
          <a:off x="8505825" y="219075"/>
          <a:ext cx="447675" cy="171450"/>
        </a:xfrm>
        <a:prstGeom prst="rect">
          <a:avLst/>
        </a:prstGeom>
        <a:noFill/>
        <a:ln w="9525" cmpd="sng">
          <a:noFill/>
        </a:ln>
      </xdr:spPr>
    </xdr:pic>
    <xdr:clientData/>
  </xdr:twoCellAnchor>
  <xdr:twoCellAnchor editAs="absolute">
    <xdr:from>
      <xdr:col>11</xdr:col>
      <xdr:colOff>419100</xdr:colOff>
      <xdr:row>40</xdr:row>
      <xdr:rowOff>19050</xdr:rowOff>
    </xdr:from>
    <xdr:to>
      <xdr:col>12</xdr:col>
      <xdr:colOff>19050</xdr:colOff>
      <xdr:row>40</xdr:row>
      <xdr:rowOff>190500</xdr:rowOff>
    </xdr:to>
    <xdr:pic>
      <xdr:nvPicPr>
        <xdr:cNvPr id="2" name="Picture 37"/>
        <xdr:cNvPicPr preferRelativeResize="1">
          <a:picLocks noChangeAspect="1"/>
        </xdr:cNvPicPr>
      </xdr:nvPicPr>
      <xdr:blipFill>
        <a:blip r:embed="rId1"/>
        <a:stretch>
          <a:fillRect/>
        </a:stretch>
      </xdr:blipFill>
      <xdr:spPr>
        <a:xfrm>
          <a:off x="8505825" y="6477000"/>
          <a:ext cx="447675"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923925</xdr:colOff>
      <xdr:row>1</xdr:row>
      <xdr:rowOff>19050</xdr:rowOff>
    </xdr:from>
    <xdr:to>
      <xdr:col>8</xdr:col>
      <xdr:colOff>133350</xdr:colOff>
      <xdr:row>1</xdr:row>
      <xdr:rowOff>190500</xdr:rowOff>
    </xdr:to>
    <xdr:pic>
      <xdr:nvPicPr>
        <xdr:cNvPr id="1" name="LogoKop1"/>
        <xdr:cNvPicPr preferRelativeResize="1">
          <a:picLocks noChangeAspect="1"/>
        </xdr:cNvPicPr>
      </xdr:nvPicPr>
      <xdr:blipFill>
        <a:blip r:embed="rId1"/>
        <a:stretch>
          <a:fillRect/>
        </a:stretch>
      </xdr:blipFill>
      <xdr:spPr>
        <a:xfrm>
          <a:off x="8505825" y="219075"/>
          <a:ext cx="447675"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1</xdr:row>
      <xdr:rowOff>19050</xdr:rowOff>
    </xdr:from>
    <xdr:to>
      <xdr:col>6</xdr:col>
      <xdr:colOff>857250</xdr:colOff>
      <xdr:row>1</xdr:row>
      <xdr:rowOff>190500</xdr:rowOff>
    </xdr:to>
    <xdr:pic>
      <xdr:nvPicPr>
        <xdr:cNvPr id="1" name="LogoKop1"/>
        <xdr:cNvPicPr preferRelativeResize="1">
          <a:picLocks noChangeAspect="1"/>
        </xdr:cNvPicPr>
      </xdr:nvPicPr>
      <xdr:blipFill>
        <a:blip r:embed="rId1"/>
        <a:stretch>
          <a:fillRect/>
        </a:stretch>
      </xdr:blipFill>
      <xdr:spPr>
        <a:xfrm>
          <a:off x="8486775" y="219075"/>
          <a:ext cx="447675"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295275</xdr:colOff>
      <xdr:row>1</xdr:row>
      <xdr:rowOff>19050</xdr:rowOff>
    </xdr:from>
    <xdr:to>
      <xdr:col>6</xdr:col>
      <xdr:colOff>742950</xdr:colOff>
      <xdr:row>1</xdr:row>
      <xdr:rowOff>190500</xdr:rowOff>
    </xdr:to>
    <xdr:pic>
      <xdr:nvPicPr>
        <xdr:cNvPr id="1" name="LogoKop1"/>
        <xdr:cNvPicPr preferRelativeResize="1">
          <a:picLocks noChangeAspect="1"/>
        </xdr:cNvPicPr>
      </xdr:nvPicPr>
      <xdr:blipFill>
        <a:blip r:embed="rId1"/>
        <a:stretch>
          <a:fillRect/>
        </a:stretch>
      </xdr:blipFill>
      <xdr:spPr>
        <a:xfrm>
          <a:off x="8515350" y="219075"/>
          <a:ext cx="447675" cy="171450"/>
        </a:xfrm>
        <a:prstGeom prst="rect">
          <a:avLst/>
        </a:prstGeom>
        <a:noFill/>
        <a:ln w="9525" cmpd="sng">
          <a:noFill/>
        </a:ln>
      </xdr:spPr>
    </xdr:pic>
    <xdr:clientData/>
  </xdr:twoCellAnchor>
  <xdr:twoCellAnchor editAs="absolute">
    <xdr:from>
      <xdr:col>6</xdr:col>
      <xdr:colOff>276225</xdr:colOff>
      <xdr:row>47</xdr:row>
      <xdr:rowOff>19050</xdr:rowOff>
    </xdr:from>
    <xdr:to>
      <xdr:col>6</xdr:col>
      <xdr:colOff>723900</xdr:colOff>
      <xdr:row>47</xdr:row>
      <xdr:rowOff>190500</xdr:rowOff>
    </xdr:to>
    <xdr:pic>
      <xdr:nvPicPr>
        <xdr:cNvPr id="2" name="Picture 81"/>
        <xdr:cNvPicPr preferRelativeResize="1">
          <a:picLocks noChangeAspect="1"/>
        </xdr:cNvPicPr>
      </xdr:nvPicPr>
      <xdr:blipFill>
        <a:blip r:embed="rId1"/>
        <a:stretch>
          <a:fillRect/>
        </a:stretch>
      </xdr:blipFill>
      <xdr:spPr>
        <a:xfrm>
          <a:off x="8496300" y="7362825"/>
          <a:ext cx="447675" cy="171450"/>
        </a:xfrm>
        <a:prstGeom prst="rect">
          <a:avLst/>
        </a:prstGeom>
        <a:noFill/>
        <a:ln w="9525" cmpd="sng">
          <a:noFill/>
        </a:ln>
      </xdr:spPr>
    </xdr:pic>
    <xdr:clientData/>
  </xdr:twoCellAnchor>
  <xdr:twoCellAnchor editAs="absolute">
    <xdr:from>
      <xdr:col>6</xdr:col>
      <xdr:colOff>276225</xdr:colOff>
      <xdr:row>92</xdr:row>
      <xdr:rowOff>19050</xdr:rowOff>
    </xdr:from>
    <xdr:to>
      <xdr:col>6</xdr:col>
      <xdr:colOff>723900</xdr:colOff>
      <xdr:row>92</xdr:row>
      <xdr:rowOff>190500</xdr:rowOff>
    </xdr:to>
    <xdr:pic>
      <xdr:nvPicPr>
        <xdr:cNvPr id="3" name="Picture 82"/>
        <xdr:cNvPicPr preferRelativeResize="1">
          <a:picLocks noChangeAspect="1"/>
        </xdr:cNvPicPr>
      </xdr:nvPicPr>
      <xdr:blipFill>
        <a:blip r:embed="rId1"/>
        <a:stretch>
          <a:fillRect/>
        </a:stretch>
      </xdr:blipFill>
      <xdr:spPr>
        <a:xfrm>
          <a:off x="8496300" y="14316075"/>
          <a:ext cx="447675"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514350</xdr:colOff>
      <xdr:row>1</xdr:row>
      <xdr:rowOff>19050</xdr:rowOff>
    </xdr:from>
    <xdr:to>
      <xdr:col>19</xdr:col>
      <xdr:colOff>276225</xdr:colOff>
      <xdr:row>1</xdr:row>
      <xdr:rowOff>190500</xdr:rowOff>
    </xdr:to>
    <xdr:pic>
      <xdr:nvPicPr>
        <xdr:cNvPr id="1" name="LogoKop1"/>
        <xdr:cNvPicPr preferRelativeResize="1">
          <a:picLocks noChangeAspect="1"/>
        </xdr:cNvPicPr>
      </xdr:nvPicPr>
      <xdr:blipFill>
        <a:blip r:embed="rId1"/>
        <a:stretch>
          <a:fillRect/>
        </a:stretch>
      </xdr:blipFill>
      <xdr:spPr>
        <a:xfrm>
          <a:off x="8515350" y="219075"/>
          <a:ext cx="447675" cy="171450"/>
        </a:xfrm>
        <a:prstGeom prst="rect">
          <a:avLst/>
        </a:prstGeom>
        <a:noFill/>
        <a:ln w="9525" cmpd="sng">
          <a:noFill/>
        </a:ln>
      </xdr:spPr>
    </xdr:pic>
    <xdr:clientData/>
  </xdr:twoCellAnchor>
  <xdr:twoCellAnchor editAs="absolute">
    <xdr:from>
      <xdr:col>18</xdr:col>
      <xdr:colOff>514350</xdr:colOff>
      <xdr:row>39</xdr:row>
      <xdr:rowOff>19050</xdr:rowOff>
    </xdr:from>
    <xdr:to>
      <xdr:col>19</xdr:col>
      <xdr:colOff>276225</xdr:colOff>
      <xdr:row>39</xdr:row>
      <xdr:rowOff>190500</xdr:rowOff>
    </xdr:to>
    <xdr:pic>
      <xdr:nvPicPr>
        <xdr:cNvPr id="2" name="Picture 55"/>
        <xdr:cNvPicPr preferRelativeResize="1">
          <a:picLocks noChangeAspect="1"/>
        </xdr:cNvPicPr>
      </xdr:nvPicPr>
      <xdr:blipFill>
        <a:blip r:embed="rId1"/>
        <a:stretch>
          <a:fillRect/>
        </a:stretch>
      </xdr:blipFill>
      <xdr:spPr>
        <a:xfrm>
          <a:off x="8515350" y="6448425"/>
          <a:ext cx="447675"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314325</xdr:colOff>
      <xdr:row>1</xdr:row>
      <xdr:rowOff>19050</xdr:rowOff>
    </xdr:from>
    <xdr:to>
      <xdr:col>4</xdr:col>
      <xdr:colOff>762000</xdr:colOff>
      <xdr:row>1</xdr:row>
      <xdr:rowOff>190500</xdr:rowOff>
    </xdr:to>
    <xdr:pic>
      <xdr:nvPicPr>
        <xdr:cNvPr id="1" name="LogoKop1"/>
        <xdr:cNvPicPr preferRelativeResize="1">
          <a:picLocks noChangeAspect="1"/>
        </xdr:cNvPicPr>
      </xdr:nvPicPr>
      <xdr:blipFill>
        <a:blip r:embed="rId1"/>
        <a:stretch>
          <a:fillRect/>
        </a:stretch>
      </xdr:blipFill>
      <xdr:spPr>
        <a:xfrm>
          <a:off x="8515350" y="219075"/>
          <a:ext cx="447675"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1</xdr:row>
      <xdr:rowOff>19050</xdr:rowOff>
    </xdr:from>
    <xdr:to>
      <xdr:col>5</xdr:col>
      <xdr:colOff>171450</xdr:colOff>
      <xdr:row>1</xdr:row>
      <xdr:rowOff>190500</xdr:rowOff>
    </xdr:to>
    <xdr:pic>
      <xdr:nvPicPr>
        <xdr:cNvPr id="1" name="LogoKop1"/>
        <xdr:cNvPicPr preferRelativeResize="1">
          <a:picLocks noChangeAspect="1"/>
        </xdr:cNvPicPr>
      </xdr:nvPicPr>
      <xdr:blipFill>
        <a:blip r:embed="rId1"/>
        <a:stretch>
          <a:fillRect/>
        </a:stretch>
      </xdr:blipFill>
      <xdr:spPr>
        <a:xfrm>
          <a:off x="8562975" y="180975"/>
          <a:ext cx="447675" cy="171450"/>
        </a:xfrm>
        <a:prstGeom prst="rect">
          <a:avLst/>
        </a:prstGeom>
        <a:noFill/>
        <a:ln w="9525" cmpd="sng">
          <a:noFill/>
        </a:ln>
      </xdr:spPr>
    </xdr:pic>
    <xdr:clientData/>
  </xdr:twoCellAnchor>
  <xdr:twoCellAnchor editAs="absolute">
    <xdr:from>
      <xdr:col>4</xdr:col>
      <xdr:colOff>276225</xdr:colOff>
      <xdr:row>46</xdr:row>
      <xdr:rowOff>9525</xdr:rowOff>
    </xdr:from>
    <xdr:to>
      <xdr:col>5</xdr:col>
      <xdr:colOff>171450</xdr:colOff>
      <xdr:row>46</xdr:row>
      <xdr:rowOff>180975</xdr:rowOff>
    </xdr:to>
    <xdr:pic>
      <xdr:nvPicPr>
        <xdr:cNvPr id="2" name="Picture 325"/>
        <xdr:cNvPicPr preferRelativeResize="1">
          <a:picLocks noChangeAspect="1"/>
        </xdr:cNvPicPr>
      </xdr:nvPicPr>
      <xdr:blipFill>
        <a:blip r:embed="rId1"/>
        <a:stretch>
          <a:fillRect/>
        </a:stretch>
      </xdr:blipFill>
      <xdr:spPr>
        <a:xfrm>
          <a:off x="8562975" y="7496175"/>
          <a:ext cx="447675" cy="171450"/>
        </a:xfrm>
        <a:prstGeom prst="rect">
          <a:avLst/>
        </a:prstGeom>
        <a:noFill/>
        <a:ln w="9525" cmpd="sng">
          <a:noFill/>
        </a:ln>
      </xdr:spPr>
    </xdr:pic>
    <xdr:clientData/>
  </xdr:twoCellAnchor>
  <xdr:twoCellAnchor editAs="absolute">
    <xdr:from>
      <xdr:col>4</xdr:col>
      <xdr:colOff>323850</xdr:colOff>
      <xdr:row>91</xdr:row>
      <xdr:rowOff>19050</xdr:rowOff>
    </xdr:from>
    <xdr:to>
      <xdr:col>5</xdr:col>
      <xdr:colOff>219075</xdr:colOff>
      <xdr:row>91</xdr:row>
      <xdr:rowOff>190500</xdr:rowOff>
    </xdr:to>
    <xdr:pic>
      <xdr:nvPicPr>
        <xdr:cNvPr id="3" name="Picture 326"/>
        <xdr:cNvPicPr preferRelativeResize="1">
          <a:picLocks noChangeAspect="1"/>
        </xdr:cNvPicPr>
      </xdr:nvPicPr>
      <xdr:blipFill>
        <a:blip r:embed="rId1"/>
        <a:stretch>
          <a:fillRect/>
        </a:stretch>
      </xdr:blipFill>
      <xdr:spPr>
        <a:xfrm>
          <a:off x="8610600" y="14830425"/>
          <a:ext cx="447675"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1</xdr:row>
      <xdr:rowOff>19050</xdr:rowOff>
    </xdr:from>
    <xdr:to>
      <xdr:col>7</xdr:col>
      <xdr:colOff>628650</xdr:colOff>
      <xdr:row>1</xdr:row>
      <xdr:rowOff>190500</xdr:rowOff>
    </xdr:to>
    <xdr:pic>
      <xdr:nvPicPr>
        <xdr:cNvPr id="1" name="LogoKop1"/>
        <xdr:cNvPicPr preferRelativeResize="1">
          <a:picLocks noChangeAspect="1"/>
        </xdr:cNvPicPr>
      </xdr:nvPicPr>
      <xdr:blipFill>
        <a:blip r:embed="rId1"/>
        <a:stretch>
          <a:fillRect/>
        </a:stretch>
      </xdr:blipFill>
      <xdr:spPr>
        <a:xfrm>
          <a:off x="9039225" y="219075"/>
          <a:ext cx="447675" cy="171450"/>
        </a:xfrm>
        <a:prstGeom prst="rect">
          <a:avLst/>
        </a:prstGeom>
        <a:noFill/>
        <a:ln w="9525" cmpd="sng">
          <a:noFill/>
        </a:ln>
      </xdr:spPr>
    </xdr:pic>
    <xdr:clientData/>
  </xdr:twoCellAnchor>
  <xdr:twoCellAnchor editAs="absolute">
    <xdr:from>
      <xdr:col>7</xdr:col>
      <xdr:colOff>180975</xdr:colOff>
      <xdr:row>45</xdr:row>
      <xdr:rowOff>19050</xdr:rowOff>
    </xdr:from>
    <xdr:to>
      <xdr:col>7</xdr:col>
      <xdr:colOff>628650</xdr:colOff>
      <xdr:row>45</xdr:row>
      <xdr:rowOff>190500</xdr:rowOff>
    </xdr:to>
    <xdr:pic>
      <xdr:nvPicPr>
        <xdr:cNvPr id="2" name="Picture 22"/>
        <xdr:cNvPicPr preferRelativeResize="1">
          <a:picLocks noChangeAspect="1"/>
        </xdr:cNvPicPr>
      </xdr:nvPicPr>
      <xdr:blipFill>
        <a:blip r:embed="rId1"/>
        <a:stretch>
          <a:fillRect/>
        </a:stretch>
      </xdr:blipFill>
      <xdr:spPr>
        <a:xfrm>
          <a:off x="9039225" y="7372350"/>
          <a:ext cx="447675"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 name="Picture 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 name="Picture 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 name="Picture 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 name="Picture 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 name="Picture 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 name="Picture 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 name="Picture 1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 name="Picture 1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 name="Picture 1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 name="Picture 1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3" name="Picture 1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4" name="Picture 1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5" name="Picture 1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6" name="Picture 1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7" name="Picture 1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8" name="Picture 1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9" name="Picture 2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0" name="Picture 2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1" name="Picture 2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2" name="Picture 2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3" name="Picture 2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4" name="Picture 2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5" name="Picture 2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6" name="Picture 2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7" name="Picture 2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8" name="Picture 2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29" name="Picture 3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0" name="Picture 3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1" name="Picture 3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2" name="Picture 3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3" name="Picture 3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4" name="Picture 3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5" name="Picture 3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6" name="Picture 3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7" name="Picture 3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8" name="Picture 3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39" name="Picture 4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0" name="Picture 4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1" name="Picture 4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2" name="Picture 4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3" name="Picture 4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4" name="Picture 4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5" name="Picture 4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6" name="Picture 4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7" name="Picture 4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8" name="Picture 4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49" name="Picture 5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0" name="Picture 5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1" name="Picture 5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2" name="Picture 5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3" name="Picture 5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4" name="Picture 5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5" name="Picture 5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6" name="Picture 5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7" name="Picture 5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8" name="Picture 5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59" name="Picture 6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0" name="Picture 6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1" name="Picture 6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2" name="Picture 6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3" name="Picture 6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4" name="Picture 6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5" name="Picture 6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6" name="Picture 6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7" name="Picture 6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8" name="Picture 6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9" name="Picture 7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0" name="Picture 7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1" name="Picture 7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2" name="Picture 7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3" name="Picture 7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4" name="Picture 7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5" name="Picture 7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6" name="Picture 7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7" name="Picture 7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8" name="Picture 7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79" name="Picture 8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0" name="Picture 8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1" name="Picture 8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2" name="Picture 8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3" name="Picture 8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4" name="Picture 8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5" name="Picture 8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6" name="Picture 8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7" name="Picture 8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8" name="Picture 8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89" name="Picture 9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0" name="Picture 9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1" name="Picture 9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2" name="Picture 9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3" name="Picture 9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4" name="Picture 9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5" name="Picture 9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6" name="Picture 9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7" name="Picture 9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8" name="Picture 9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99" name="Picture 10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0" name="Picture 10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1" name="Picture 10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2" name="Picture 10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3" name="Picture 10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4" name="Picture 10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5" name="Picture 10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6" name="Picture 10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7" name="Picture 10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8" name="Picture 10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09" name="Picture 11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0" name="Picture 11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1" name="Picture 11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2" name="Picture 11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3" name="Picture 11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4" name="Picture 11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5" name="Picture 116"/>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6" name="Picture 117"/>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7" name="Picture 118"/>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8" name="Picture 119"/>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19" name="Picture 120"/>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0" name="Picture 121"/>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1" name="Picture 122"/>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2" name="Picture 123"/>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3" name="Picture 124"/>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124" name="Picture 125"/>
        <xdr:cNvPicPr preferRelativeResize="1">
          <a:picLocks noChangeAspect="1"/>
        </xdr:cNvPicPr>
      </xdr:nvPicPr>
      <xdr:blipFill>
        <a:blip r:link="rId1"/>
        <a:srcRect l="75572"/>
        <a:stretch>
          <a:fillRect/>
        </a:stretch>
      </xdr:blipFill>
      <xdr:spPr>
        <a:xfrm>
          <a:off x="9258300" y="0"/>
          <a:ext cx="0" cy="0"/>
        </a:xfrm>
        <a:prstGeom prst="rect">
          <a:avLst/>
        </a:prstGeom>
        <a:noFill/>
        <a:ln w="9525" cmpd="sng">
          <a:noFill/>
        </a:ln>
      </xdr:spPr>
    </xdr:pic>
    <xdr:clientData/>
  </xdr:twoCellAnchor>
  <xdr:twoCellAnchor>
    <xdr:from>
      <xdr:col>1</xdr:col>
      <xdr:colOff>2057400</xdr:colOff>
      <xdr:row>0</xdr:row>
      <xdr:rowOff>0</xdr:rowOff>
    </xdr:from>
    <xdr:to>
      <xdr:col>1</xdr:col>
      <xdr:colOff>2057400</xdr:colOff>
      <xdr:row>0</xdr:row>
      <xdr:rowOff>0</xdr:rowOff>
    </xdr:to>
    <xdr:pic>
      <xdr:nvPicPr>
        <xdr:cNvPr id="125" name="Picture 127"/>
        <xdr:cNvPicPr preferRelativeResize="1">
          <a:picLocks noChangeAspect="1"/>
        </xdr:cNvPicPr>
      </xdr:nvPicPr>
      <xdr:blipFill>
        <a:blip r:link="rId1"/>
        <a:srcRect l="75572"/>
        <a:stretch>
          <a:fillRect/>
        </a:stretch>
      </xdr:blipFill>
      <xdr:spPr>
        <a:xfrm>
          <a:off x="2276475" y="0"/>
          <a:ext cx="0" cy="0"/>
        </a:xfrm>
        <a:prstGeom prst="rect">
          <a:avLst/>
        </a:prstGeom>
        <a:noFill/>
        <a:ln w="9525" cmpd="sng">
          <a:noFill/>
        </a:ln>
      </xdr:spPr>
    </xdr:pic>
    <xdr:clientData/>
  </xdr:twoCellAnchor>
  <xdr:twoCellAnchor>
    <xdr:from>
      <xdr:col>5</xdr:col>
      <xdr:colOff>1181100</xdr:colOff>
      <xdr:row>42</xdr:row>
      <xdr:rowOff>0</xdr:rowOff>
    </xdr:from>
    <xdr:to>
      <xdr:col>5</xdr:col>
      <xdr:colOff>1181100</xdr:colOff>
      <xdr:row>42</xdr:row>
      <xdr:rowOff>0</xdr:rowOff>
    </xdr:to>
    <xdr:pic>
      <xdr:nvPicPr>
        <xdr:cNvPr id="126" name="Picture 133"/>
        <xdr:cNvPicPr preferRelativeResize="1">
          <a:picLocks noChangeAspect="1"/>
        </xdr:cNvPicPr>
      </xdr:nvPicPr>
      <xdr:blipFill>
        <a:blip r:link="rId1"/>
        <a:srcRect l="75572"/>
        <a:stretch>
          <a:fillRect/>
        </a:stretch>
      </xdr:blipFill>
      <xdr:spPr>
        <a:xfrm>
          <a:off x="8077200" y="7200900"/>
          <a:ext cx="0" cy="0"/>
        </a:xfrm>
        <a:prstGeom prst="rect">
          <a:avLst/>
        </a:prstGeom>
        <a:noFill/>
        <a:ln w="9525" cmpd="sng">
          <a:noFill/>
        </a:ln>
      </xdr:spPr>
    </xdr:pic>
    <xdr:clientData/>
  </xdr:twoCellAnchor>
  <xdr:twoCellAnchor>
    <xdr:from>
      <xdr:col>1</xdr:col>
      <xdr:colOff>2057400</xdr:colOff>
      <xdr:row>42</xdr:row>
      <xdr:rowOff>0</xdr:rowOff>
    </xdr:from>
    <xdr:to>
      <xdr:col>1</xdr:col>
      <xdr:colOff>2057400</xdr:colOff>
      <xdr:row>42</xdr:row>
      <xdr:rowOff>0</xdr:rowOff>
    </xdr:to>
    <xdr:pic>
      <xdr:nvPicPr>
        <xdr:cNvPr id="127" name="Picture 134"/>
        <xdr:cNvPicPr preferRelativeResize="1">
          <a:picLocks noChangeAspect="1"/>
        </xdr:cNvPicPr>
      </xdr:nvPicPr>
      <xdr:blipFill>
        <a:blip r:link="rId1"/>
        <a:srcRect l="75572"/>
        <a:stretch>
          <a:fillRect/>
        </a:stretch>
      </xdr:blipFill>
      <xdr:spPr>
        <a:xfrm>
          <a:off x="2276475" y="72009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16</xdr:row>
      <xdr:rowOff>0</xdr:rowOff>
    </xdr:from>
    <xdr:to>
      <xdr:col>2</xdr:col>
      <xdr:colOff>180975</xdr:colOff>
      <xdr:row>16</xdr:row>
      <xdr:rowOff>0</xdr:rowOff>
    </xdr:to>
    <xdr:sp>
      <xdr:nvSpPr>
        <xdr:cNvPr id="1" name="Rectangle 1"/>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2" name="Rectangle 2"/>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3" name="Rectangle 3"/>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4" name="Rectangle 4"/>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 name="Rectangle 5"/>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6" name="Rectangle 6"/>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7" name="Rectangle 7"/>
        <xdr:cNvSpPr>
          <a:spLocks/>
        </xdr:cNvSpPr>
      </xdr:nvSpPr>
      <xdr:spPr>
        <a:xfrm>
          <a:off x="962025" y="290512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22</xdr:row>
      <xdr:rowOff>47625</xdr:rowOff>
    </xdr:from>
    <xdr:to>
      <xdr:col>2</xdr:col>
      <xdr:colOff>180975</xdr:colOff>
      <xdr:row>22</xdr:row>
      <xdr:rowOff>114300</xdr:rowOff>
    </xdr:to>
    <xdr:sp>
      <xdr:nvSpPr>
        <xdr:cNvPr id="8" name="Rectangle 8"/>
        <xdr:cNvSpPr>
          <a:spLocks/>
        </xdr:cNvSpPr>
      </xdr:nvSpPr>
      <xdr:spPr>
        <a:xfrm>
          <a:off x="962025" y="39243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47625</xdr:rowOff>
    </xdr:from>
    <xdr:to>
      <xdr:col>2</xdr:col>
      <xdr:colOff>180975</xdr:colOff>
      <xdr:row>19</xdr:row>
      <xdr:rowOff>114300</xdr:rowOff>
    </xdr:to>
    <xdr:sp>
      <xdr:nvSpPr>
        <xdr:cNvPr id="9" name="Rectangle 19"/>
        <xdr:cNvSpPr>
          <a:spLocks/>
        </xdr:cNvSpPr>
      </xdr:nvSpPr>
      <xdr:spPr>
        <a:xfrm>
          <a:off x="962025" y="34385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114300</xdr:rowOff>
    </xdr:to>
    <xdr:sp>
      <xdr:nvSpPr>
        <xdr:cNvPr id="10" name="Rectangle 20"/>
        <xdr:cNvSpPr>
          <a:spLocks/>
        </xdr:cNvSpPr>
      </xdr:nvSpPr>
      <xdr:spPr>
        <a:xfrm>
          <a:off x="962025" y="295275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1095375</xdr:colOff>
      <xdr:row>1</xdr:row>
      <xdr:rowOff>9525</xdr:rowOff>
    </xdr:from>
    <xdr:to>
      <xdr:col>15</xdr:col>
      <xdr:colOff>19050</xdr:colOff>
      <xdr:row>3</xdr:row>
      <xdr:rowOff>95250</xdr:rowOff>
    </xdr:to>
    <xdr:pic>
      <xdr:nvPicPr>
        <xdr:cNvPr id="11" name="LogoKop1"/>
        <xdr:cNvPicPr preferRelativeResize="1">
          <a:picLocks noChangeAspect="1"/>
        </xdr:cNvPicPr>
      </xdr:nvPicPr>
      <xdr:blipFill>
        <a:blip r:embed="rId1"/>
        <a:stretch>
          <a:fillRect/>
        </a:stretch>
      </xdr:blipFill>
      <xdr:spPr>
        <a:xfrm>
          <a:off x="8086725" y="200025"/>
          <a:ext cx="14668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2933700</xdr:colOff>
      <xdr:row>1</xdr:row>
      <xdr:rowOff>19050</xdr:rowOff>
    </xdr:from>
    <xdr:to>
      <xdr:col>8</xdr:col>
      <xdr:colOff>0</xdr:colOff>
      <xdr:row>1</xdr:row>
      <xdr:rowOff>190500</xdr:rowOff>
    </xdr:to>
    <xdr:pic>
      <xdr:nvPicPr>
        <xdr:cNvPr id="1" name="LogoKop1"/>
        <xdr:cNvPicPr preferRelativeResize="1">
          <a:picLocks noChangeAspect="1"/>
        </xdr:cNvPicPr>
      </xdr:nvPicPr>
      <xdr:blipFill>
        <a:blip r:embed="rId1"/>
        <a:stretch>
          <a:fillRect/>
        </a:stretch>
      </xdr:blipFill>
      <xdr:spPr>
        <a:xfrm>
          <a:off x="8610600" y="219075"/>
          <a:ext cx="44767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4</xdr:col>
      <xdr:colOff>0</xdr:colOff>
      <xdr:row>2</xdr:row>
      <xdr:rowOff>0</xdr:rowOff>
    </xdr:to>
    <xdr:grpSp>
      <xdr:nvGrpSpPr>
        <xdr:cNvPr id="1" name="Group 6"/>
        <xdr:cNvGrpSpPr>
          <a:grpSpLocks/>
        </xdr:cNvGrpSpPr>
      </xdr:nvGrpSpPr>
      <xdr:grpSpPr>
        <a:xfrm>
          <a:off x="9001125" y="9525"/>
          <a:ext cx="0" cy="390525"/>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0</xdr:colOff>
      <xdr:row>23</xdr:row>
      <xdr:rowOff>9525</xdr:rowOff>
    </xdr:from>
    <xdr:to>
      <xdr:col>4</xdr:col>
      <xdr:colOff>0</xdr:colOff>
      <xdr:row>25</xdr:row>
      <xdr:rowOff>0</xdr:rowOff>
    </xdr:to>
    <xdr:grpSp>
      <xdr:nvGrpSpPr>
        <xdr:cNvPr id="6" name="Group 21"/>
        <xdr:cNvGrpSpPr>
          <a:grpSpLocks/>
        </xdr:cNvGrpSpPr>
      </xdr:nvGrpSpPr>
      <xdr:grpSpPr>
        <a:xfrm>
          <a:off x="9001125" y="7219950"/>
          <a:ext cx="0" cy="390525"/>
          <a:chOff x="769" y="35"/>
          <a:chExt cx="110" cy="41"/>
        </a:xfrm>
        <a:solidFill>
          <a:srgbClr val="FFFFFF"/>
        </a:solidFill>
      </xdr:grpSpPr>
      <xdr:sp>
        <xdr:nvSpPr>
          <xdr:cNvPr id="7" name="Rectangle 2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2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2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2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3</xdr:col>
      <xdr:colOff>114300</xdr:colOff>
      <xdr:row>1</xdr:row>
      <xdr:rowOff>19050</xdr:rowOff>
    </xdr:from>
    <xdr:to>
      <xdr:col>4</xdr:col>
      <xdr:colOff>47625</xdr:colOff>
      <xdr:row>1</xdr:row>
      <xdr:rowOff>190500</xdr:rowOff>
    </xdr:to>
    <xdr:pic>
      <xdr:nvPicPr>
        <xdr:cNvPr id="11" name="LogoKop1"/>
        <xdr:cNvPicPr preferRelativeResize="1">
          <a:picLocks noChangeAspect="1"/>
        </xdr:cNvPicPr>
      </xdr:nvPicPr>
      <xdr:blipFill>
        <a:blip r:embed="rId2"/>
        <a:stretch>
          <a:fillRect/>
        </a:stretch>
      </xdr:blipFill>
      <xdr:spPr>
        <a:xfrm>
          <a:off x="8601075" y="219075"/>
          <a:ext cx="447675" cy="171450"/>
        </a:xfrm>
        <a:prstGeom prst="rect">
          <a:avLst/>
        </a:prstGeom>
        <a:noFill/>
        <a:ln w="9525" cmpd="sng">
          <a:noFill/>
        </a:ln>
      </xdr:spPr>
    </xdr:pic>
    <xdr:clientData/>
  </xdr:twoCellAnchor>
  <xdr:twoCellAnchor editAs="absolute">
    <xdr:from>
      <xdr:col>3</xdr:col>
      <xdr:colOff>190500</xdr:colOff>
      <xdr:row>71</xdr:row>
      <xdr:rowOff>19050</xdr:rowOff>
    </xdr:from>
    <xdr:to>
      <xdr:col>4</xdr:col>
      <xdr:colOff>123825</xdr:colOff>
      <xdr:row>71</xdr:row>
      <xdr:rowOff>190500</xdr:rowOff>
    </xdr:to>
    <xdr:pic>
      <xdr:nvPicPr>
        <xdr:cNvPr id="12" name="Picture 95"/>
        <xdr:cNvPicPr preferRelativeResize="1">
          <a:picLocks noChangeAspect="1"/>
        </xdr:cNvPicPr>
      </xdr:nvPicPr>
      <xdr:blipFill>
        <a:blip r:embed="rId2"/>
        <a:stretch>
          <a:fillRect/>
        </a:stretch>
      </xdr:blipFill>
      <xdr:spPr>
        <a:xfrm>
          <a:off x="8677275" y="19526250"/>
          <a:ext cx="447675" cy="171450"/>
        </a:xfrm>
        <a:prstGeom prst="rect">
          <a:avLst/>
        </a:prstGeom>
        <a:noFill/>
        <a:ln w="9525" cmpd="sng">
          <a:noFill/>
        </a:ln>
      </xdr:spPr>
    </xdr:pic>
    <xdr:clientData/>
  </xdr:twoCellAnchor>
  <xdr:twoCellAnchor editAs="absolute">
    <xdr:from>
      <xdr:col>3</xdr:col>
      <xdr:colOff>114300</xdr:colOff>
      <xdr:row>56</xdr:row>
      <xdr:rowOff>19050</xdr:rowOff>
    </xdr:from>
    <xdr:to>
      <xdr:col>4</xdr:col>
      <xdr:colOff>47625</xdr:colOff>
      <xdr:row>56</xdr:row>
      <xdr:rowOff>190500</xdr:rowOff>
    </xdr:to>
    <xdr:pic>
      <xdr:nvPicPr>
        <xdr:cNvPr id="13" name="Picture 97"/>
        <xdr:cNvPicPr preferRelativeResize="1">
          <a:picLocks noChangeAspect="1"/>
        </xdr:cNvPicPr>
      </xdr:nvPicPr>
      <xdr:blipFill>
        <a:blip r:embed="rId2"/>
        <a:stretch>
          <a:fillRect/>
        </a:stretch>
      </xdr:blipFill>
      <xdr:spPr>
        <a:xfrm>
          <a:off x="8601075" y="14439900"/>
          <a:ext cx="447675" cy="171450"/>
        </a:xfrm>
        <a:prstGeom prst="rect">
          <a:avLst/>
        </a:prstGeom>
        <a:noFill/>
        <a:ln w="9525" cmpd="sng">
          <a:noFill/>
        </a:ln>
      </xdr:spPr>
    </xdr:pic>
    <xdr:clientData/>
  </xdr:twoCellAnchor>
  <xdr:twoCellAnchor editAs="absolute">
    <xdr:from>
      <xdr:col>3</xdr:col>
      <xdr:colOff>114300</xdr:colOff>
      <xdr:row>24</xdr:row>
      <xdr:rowOff>9525</xdr:rowOff>
    </xdr:from>
    <xdr:to>
      <xdr:col>4</xdr:col>
      <xdr:colOff>47625</xdr:colOff>
      <xdr:row>24</xdr:row>
      <xdr:rowOff>180975</xdr:rowOff>
    </xdr:to>
    <xdr:pic>
      <xdr:nvPicPr>
        <xdr:cNvPr id="14" name="Picture 98"/>
        <xdr:cNvPicPr preferRelativeResize="1">
          <a:picLocks noChangeAspect="1"/>
        </xdr:cNvPicPr>
      </xdr:nvPicPr>
      <xdr:blipFill>
        <a:blip r:embed="rId2"/>
        <a:stretch>
          <a:fillRect/>
        </a:stretch>
      </xdr:blipFill>
      <xdr:spPr>
        <a:xfrm>
          <a:off x="8601075" y="7419975"/>
          <a:ext cx="4476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0</xdr:rowOff>
    </xdr:from>
    <xdr:to>
      <xdr:col>7</xdr:col>
      <xdr:colOff>0</xdr:colOff>
      <xdr:row>6</xdr:row>
      <xdr:rowOff>0</xdr:rowOff>
    </xdr:to>
    <xdr:grpSp>
      <xdr:nvGrpSpPr>
        <xdr:cNvPr id="1" name="Group 1"/>
        <xdr:cNvGrpSpPr>
          <a:grpSpLocks/>
        </xdr:cNvGrpSpPr>
      </xdr:nvGrpSpPr>
      <xdr:grpSpPr>
        <a:xfrm>
          <a:off x="4810125" y="1038225"/>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5" name="Group 5"/>
        <xdr:cNvGrpSpPr>
          <a:grpSpLocks/>
        </xdr:cNvGrpSpPr>
      </xdr:nvGrpSpPr>
      <xdr:grpSpPr>
        <a:xfrm>
          <a:off x="4810125" y="1038225"/>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9" name="Group 14"/>
        <xdr:cNvGrpSpPr>
          <a:grpSpLocks/>
        </xdr:cNvGrpSpPr>
      </xdr:nvGrpSpPr>
      <xdr:grpSpPr>
        <a:xfrm>
          <a:off x="4810125" y="1038225"/>
          <a:ext cx="0" cy="0"/>
          <a:chOff x="790" y="4"/>
          <a:chExt cx="90" cy="54"/>
        </a:xfrm>
        <a:solidFill>
          <a:srgbClr val="FFFFFF"/>
        </a:solidFill>
      </xdr:grpSpPr>
      <xdr:sp>
        <xdr:nvSpPr>
          <xdr:cNvPr id="10" name="Rectangle 15"/>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6"/>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7"/>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13" name="Group 18"/>
        <xdr:cNvGrpSpPr>
          <a:grpSpLocks/>
        </xdr:cNvGrpSpPr>
      </xdr:nvGrpSpPr>
      <xdr:grpSpPr>
        <a:xfrm>
          <a:off x="4810125" y="1038225"/>
          <a:ext cx="0" cy="0"/>
          <a:chOff x="790" y="4"/>
          <a:chExt cx="90" cy="54"/>
        </a:xfrm>
        <a:solidFill>
          <a:srgbClr val="FFFFFF"/>
        </a:solidFill>
      </xdr:grpSpPr>
      <xdr:sp>
        <xdr:nvSpPr>
          <xdr:cNvPr id="14" name="Rectangle 19"/>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20"/>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21"/>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6</xdr:row>
      <xdr:rowOff>0</xdr:rowOff>
    </xdr:from>
    <xdr:to>
      <xdr:col>7</xdr:col>
      <xdr:colOff>0</xdr:colOff>
      <xdr:row>6</xdr:row>
      <xdr:rowOff>0</xdr:rowOff>
    </xdr:to>
    <xdr:grpSp>
      <xdr:nvGrpSpPr>
        <xdr:cNvPr id="17" name="Group 22"/>
        <xdr:cNvGrpSpPr>
          <a:grpSpLocks/>
        </xdr:cNvGrpSpPr>
      </xdr:nvGrpSpPr>
      <xdr:grpSpPr>
        <a:xfrm>
          <a:off x="4810125" y="1038225"/>
          <a:ext cx="0" cy="0"/>
          <a:chOff x="769" y="35"/>
          <a:chExt cx="110" cy="41"/>
        </a:xfrm>
        <a:solidFill>
          <a:srgbClr val="FFFFFF"/>
        </a:solidFill>
      </xdr:grpSpPr>
      <xdr:sp>
        <xdr:nvSpPr>
          <xdr:cNvPr id="18" name="Rectangle 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 name="Rectangle 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0" name="Picture 25"/>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1" name="Rectangle 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0</xdr:colOff>
      <xdr:row>6</xdr:row>
      <xdr:rowOff>0</xdr:rowOff>
    </xdr:from>
    <xdr:to>
      <xdr:col>7</xdr:col>
      <xdr:colOff>0</xdr:colOff>
      <xdr:row>6</xdr:row>
      <xdr:rowOff>0</xdr:rowOff>
    </xdr:to>
    <xdr:grpSp>
      <xdr:nvGrpSpPr>
        <xdr:cNvPr id="22" name="Group 27"/>
        <xdr:cNvGrpSpPr>
          <a:grpSpLocks/>
        </xdr:cNvGrpSpPr>
      </xdr:nvGrpSpPr>
      <xdr:grpSpPr>
        <a:xfrm>
          <a:off x="4810125" y="1038225"/>
          <a:ext cx="0" cy="0"/>
          <a:chOff x="769" y="35"/>
          <a:chExt cx="110" cy="41"/>
        </a:xfrm>
        <a:solidFill>
          <a:srgbClr val="FFFFFF"/>
        </a:solidFill>
      </xdr:grpSpPr>
      <xdr:sp>
        <xdr:nvSpPr>
          <xdr:cNvPr id="23" name="Rectangle 2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2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5" name="Picture 30"/>
          <xdr:cNvPicPr preferRelativeResize="1">
            <a:picLocks noChangeAspect="1"/>
          </xdr:cNvPicPr>
        </xdr:nvPicPr>
        <xdr:blipFill>
          <a:blip r:embed="rId2"/>
          <a:stretch>
            <a:fillRect/>
          </a:stretch>
        </xdr:blipFill>
        <xdr:spPr>
          <a:xfrm>
            <a:off x="772" y="35"/>
            <a:ext cx="83" cy="39"/>
          </a:xfrm>
          <a:prstGeom prst="rect">
            <a:avLst/>
          </a:prstGeom>
          <a:noFill/>
          <a:ln w="9525" cmpd="sng">
            <a:noFill/>
          </a:ln>
        </xdr:spPr>
      </xdr:pic>
      <xdr:sp>
        <xdr:nvSpPr>
          <xdr:cNvPr id="26" name="Rectangle 3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11</xdr:col>
      <xdr:colOff>457200</xdr:colOff>
      <xdr:row>1</xdr:row>
      <xdr:rowOff>19050</xdr:rowOff>
    </xdr:from>
    <xdr:to>
      <xdr:col>12</xdr:col>
      <xdr:colOff>381000</xdr:colOff>
      <xdr:row>1</xdr:row>
      <xdr:rowOff>190500</xdr:rowOff>
    </xdr:to>
    <xdr:pic>
      <xdr:nvPicPr>
        <xdr:cNvPr id="27" name="LogoKop1"/>
        <xdr:cNvPicPr preferRelativeResize="1">
          <a:picLocks noChangeAspect="1"/>
        </xdr:cNvPicPr>
      </xdr:nvPicPr>
      <xdr:blipFill>
        <a:blip r:embed="rId3"/>
        <a:stretch>
          <a:fillRect/>
        </a:stretch>
      </xdr:blipFill>
      <xdr:spPr>
        <a:xfrm>
          <a:off x="8601075" y="219075"/>
          <a:ext cx="447675" cy="171450"/>
        </a:xfrm>
        <a:prstGeom prst="rect">
          <a:avLst/>
        </a:prstGeom>
        <a:noFill/>
        <a:ln w="9525" cmpd="sng">
          <a:noFill/>
        </a:ln>
      </xdr:spPr>
    </xdr:pic>
    <xdr:clientData/>
  </xdr:twoCellAnchor>
  <xdr:twoCellAnchor editAs="absolute">
    <xdr:from>
      <xdr:col>11</xdr:col>
      <xdr:colOff>457200</xdr:colOff>
      <xdr:row>41</xdr:row>
      <xdr:rowOff>19050</xdr:rowOff>
    </xdr:from>
    <xdr:to>
      <xdr:col>12</xdr:col>
      <xdr:colOff>381000</xdr:colOff>
      <xdr:row>41</xdr:row>
      <xdr:rowOff>190500</xdr:rowOff>
    </xdr:to>
    <xdr:pic>
      <xdr:nvPicPr>
        <xdr:cNvPr id="28" name="Picture 79"/>
        <xdr:cNvPicPr preferRelativeResize="1">
          <a:picLocks noChangeAspect="1"/>
        </xdr:cNvPicPr>
      </xdr:nvPicPr>
      <xdr:blipFill>
        <a:blip r:embed="rId3"/>
        <a:stretch>
          <a:fillRect/>
        </a:stretch>
      </xdr:blipFill>
      <xdr:spPr>
        <a:xfrm>
          <a:off x="8601075" y="6591300"/>
          <a:ext cx="447675" cy="171450"/>
        </a:xfrm>
        <a:prstGeom prst="rect">
          <a:avLst/>
        </a:prstGeom>
        <a:noFill/>
        <a:ln w="9525" cmpd="sng">
          <a:noFill/>
        </a:ln>
      </xdr:spPr>
    </xdr:pic>
    <xdr:clientData/>
  </xdr:twoCellAnchor>
  <xdr:twoCellAnchor editAs="absolute">
    <xdr:from>
      <xdr:col>11</xdr:col>
      <xdr:colOff>457200</xdr:colOff>
      <xdr:row>88</xdr:row>
      <xdr:rowOff>19050</xdr:rowOff>
    </xdr:from>
    <xdr:to>
      <xdr:col>12</xdr:col>
      <xdr:colOff>381000</xdr:colOff>
      <xdr:row>88</xdr:row>
      <xdr:rowOff>190500</xdr:rowOff>
    </xdr:to>
    <xdr:pic>
      <xdr:nvPicPr>
        <xdr:cNvPr id="29" name="Picture 80"/>
        <xdr:cNvPicPr preferRelativeResize="1">
          <a:picLocks noChangeAspect="1"/>
        </xdr:cNvPicPr>
      </xdr:nvPicPr>
      <xdr:blipFill>
        <a:blip r:embed="rId3"/>
        <a:stretch>
          <a:fillRect/>
        </a:stretch>
      </xdr:blipFill>
      <xdr:spPr>
        <a:xfrm>
          <a:off x="8601075" y="13849350"/>
          <a:ext cx="447675" cy="171450"/>
        </a:xfrm>
        <a:prstGeom prst="rect">
          <a:avLst/>
        </a:prstGeom>
        <a:noFill/>
        <a:ln w="9525" cmpd="sng">
          <a:noFill/>
        </a:ln>
      </xdr:spPr>
    </xdr:pic>
    <xdr:clientData/>
  </xdr:twoCellAnchor>
  <xdr:twoCellAnchor editAs="absolute">
    <xdr:from>
      <xdr:col>11</xdr:col>
      <xdr:colOff>457200</xdr:colOff>
      <xdr:row>125</xdr:row>
      <xdr:rowOff>19050</xdr:rowOff>
    </xdr:from>
    <xdr:to>
      <xdr:col>12</xdr:col>
      <xdr:colOff>381000</xdr:colOff>
      <xdr:row>125</xdr:row>
      <xdr:rowOff>190500</xdr:rowOff>
    </xdr:to>
    <xdr:pic>
      <xdr:nvPicPr>
        <xdr:cNvPr id="30" name="Picture 81"/>
        <xdr:cNvPicPr preferRelativeResize="1">
          <a:picLocks noChangeAspect="1"/>
        </xdr:cNvPicPr>
      </xdr:nvPicPr>
      <xdr:blipFill>
        <a:blip r:embed="rId3"/>
        <a:stretch>
          <a:fillRect/>
        </a:stretch>
      </xdr:blipFill>
      <xdr:spPr>
        <a:xfrm>
          <a:off x="8601075" y="19716750"/>
          <a:ext cx="44767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0</xdr:rowOff>
    </xdr:to>
    <xdr:grpSp>
      <xdr:nvGrpSpPr>
        <xdr:cNvPr id="1" name="Group 71"/>
        <xdr:cNvGrpSpPr>
          <a:grpSpLocks/>
        </xdr:cNvGrpSpPr>
      </xdr:nvGrpSpPr>
      <xdr:grpSpPr>
        <a:xfrm>
          <a:off x="9410700" y="6877050"/>
          <a:ext cx="0" cy="0"/>
          <a:chOff x="790" y="4"/>
          <a:chExt cx="90" cy="54"/>
        </a:xfrm>
        <a:solidFill>
          <a:srgbClr val="FFFFFF"/>
        </a:solidFill>
      </xdr:grpSpPr>
      <xdr:sp>
        <xdr:nvSpPr>
          <xdr:cNvPr id="2" name="Rectangle 7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7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7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43</xdr:row>
      <xdr:rowOff>0</xdr:rowOff>
    </xdr:from>
    <xdr:to>
      <xdr:col>13</xdr:col>
      <xdr:colOff>0</xdr:colOff>
      <xdr:row>43</xdr:row>
      <xdr:rowOff>0</xdr:rowOff>
    </xdr:to>
    <xdr:grpSp>
      <xdr:nvGrpSpPr>
        <xdr:cNvPr id="5" name="Group 75"/>
        <xdr:cNvGrpSpPr>
          <a:grpSpLocks/>
        </xdr:cNvGrpSpPr>
      </xdr:nvGrpSpPr>
      <xdr:grpSpPr>
        <a:xfrm>
          <a:off x="9410700" y="6877050"/>
          <a:ext cx="0" cy="0"/>
          <a:chOff x="790" y="4"/>
          <a:chExt cx="90" cy="54"/>
        </a:xfrm>
        <a:solidFill>
          <a:srgbClr val="FFFFFF"/>
        </a:solidFill>
      </xdr:grpSpPr>
      <xdr:sp>
        <xdr:nvSpPr>
          <xdr:cNvPr id="6" name="Rectangle 7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7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69</xdr:row>
      <xdr:rowOff>0</xdr:rowOff>
    </xdr:from>
    <xdr:to>
      <xdr:col>13</xdr:col>
      <xdr:colOff>0</xdr:colOff>
      <xdr:row>69</xdr:row>
      <xdr:rowOff>0</xdr:rowOff>
    </xdr:to>
    <xdr:grpSp>
      <xdr:nvGrpSpPr>
        <xdr:cNvPr id="9" name="Group 132"/>
        <xdr:cNvGrpSpPr>
          <a:grpSpLocks/>
        </xdr:cNvGrpSpPr>
      </xdr:nvGrpSpPr>
      <xdr:grpSpPr>
        <a:xfrm>
          <a:off x="9410700" y="11163300"/>
          <a:ext cx="0" cy="0"/>
          <a:chOff x="790" y="4"/>
          <a:chExt cx="90" cy="54"/>
        </a:xfrm>
        <a:solidFill>
          <a:srgbClr val="FFFFFF"/>
        </a:solidFill>
      </xdr:grpSpPr>
      <xdr:sp>
        <xdr:nvSpPr>
          <xdr:cNvPr id="10" name="Rectangle 133"/>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34"/>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35"/>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13</xdr:col>
      <xdr:colOff>0</xdr:colOff>
      <xdr:row>69</xdr:row>
      <xdr:rowOff>0</xdr:rowOff>
    </xdr:from>
    <xdr:to>
      <xdr:col>13</xdr:col>
      <xdr:colOff>0</xdr:colOff>
      <xdr:row>69</xdr:row>
      <xdr:rowOff>0</xdr:rowOff>
    </xdr:to>
    <xdr:grpSp>
      <xdr:nvGrpSpPr>
        <xdr:cNvPr id="13" name="Group 136"/>
        <xdr:cNvGrpSpPr>
          <a:grpSpLocks/>
        </xdr:cNvGrpSpPr>
      </xdr:nvGrpSpPr>
      <xdr:grpSpPr>
        <a:xfrm>
          <a:off x="9410700" y="11163300"/>
          <a:ext cx="0" cy="0"/>
          <a:chOff x="790" y="4"/>
          <a:chExt cx="90" cy="54"/>
        </a:xfrm>
        <a:solidFill>
          <a:srgbClr val="FFFFFF"/>
        </a:solidFill>
      </xdr:grpSpPr>
      <xdr:sp>
        <xdr:nvSpPr>
          <xdr:cNvPr id="14" name="Rectangle 137"/>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38"/>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39"/>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11</xdr:col>
      <xdr:colOff>561975</xdr:colOff>
      <xdr:row>1</xdr:row>
      <xdr:rowOff>19050</xdr:rowOff>
    </xdr:from>
    <xdr:to>
      <xdr:col>12</xdr:col>
      <xdr:colOff>428625</xdr:colOff>
      <xdr:row>1</xdr:row>
      <xdr:rowOff>190500</xdr:rowOff>
    </xdr:to>
    <xdr:pic>
      <xdr:nvPicPr>
        <xdr:cNvPr id="17" name="LogoKop1"/>
        <xdr:cNvPicPr preferRelativeResize="1">
          <a:picLocks noChangeAspect="1"/>
        </xdr:cNvPicPr>
      </xdr:nvPicPr>
      <xdr:blipFill>
        <a:blip r:embed="rId2"/>
        <a:stretch>
          <a:fillRect/>
        </a:stretch>
      </xdr:blipFill>
      <xdr:spPr>
        <a:xfrm>
          <a:off x="8543925" y="219075"/>
          <a:ext cx="447675" cy="171450"/>
        </a:xfrm>
        <a:prstGeom prst="rect">
          <a:avLst/>
        </a:prstGeom>
        <a:noFill/>
        <a:ln w="9525" cmpd="sng">
          <a:noFill/>
        </a:ln>
      </xdr:spPr>
    </xdr:pic>
    <xdr:clientData/>
  </xdr:twoCellAnchor>
  <xdr:twoCellAnchor editAs="absolute">
    <xdr:from>
      <xdr:col>11</xdr:col>
      <xdr:colOff>561975</xdr:colOff>
      <xdr:row>45</xdr:row>
      <xdr:rowOff>19050</xdr:rowOff>
    </xdr:from>
    <xdr:to>
      <xdr:col>12</xdr:col>
      <xdr:colOff>428625</xdr:colOff>
      <xdr:row>45</xdr:row>
      <xdr:rowOff>190500</xdr:rowOff>
    </xdr:to>
    <xdr:pic>
      <xdr:nvPicPr>
        <xdr:cNvPr id="18" name="Picture 151"/>
        <xdr:cNvPicPr preferRelativeResize="1">
          <a:picLocks noChangeAspect="1"/>
        </xdr:cNvPicPr>
      </xdr:nvPicPr>
      <xdr:blipFill>
        <a:blip r:embed="rId2"/>
        <a:stretch>
          <a:fillRect/>
        </a:stretch>
      </xdr:blipFill>
      <xdr:spPr>
        <a:xfrm>
          <a:off x="8543925" y="7258050"/>
          <a:ext cx="447675"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79"/>
        <xdr:cNvGrpSpPr>
          <a:grpSpLocks/>
        </xdr:cNvGrpSpPr>
      </xdr:nvGrpSpPr>
      <xdr:grpSpPr>
        <a:xfrm>
          <a:off x="7667625" y="0"/>
          <a:ext cx="847725" cy="0"/>
          <a:chOff x="790" y="4"/>
          <a:chExt cx="90" cy="54"/>
        </a:xfrm>
        <a:solidFill>
          <a:srgbClr val="FFFFFF"/>
        </a:solidFill>
      </xdr:grpSpPr>
      <xdr:sp>
        <xdr:nvSpPr>
          <xdr:cNvPr id="2" name="Rectangle 8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8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8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9</xdr:col>
      <xdr:colOff>0</xdr:colOff>
      <xdr:row>0</xdr:row>
      <xdr:rowOff>0</xdr:rowOff>
    </xdr:from>
    <xdr:to>
      <xdr:col>10</xdr:col>
      <xdr:colOff>0</xdr:colOff>
      <xdr:row>0</xdr:row>
      <xdr:rowOff>0</xdr:rowOff>
    </xdr:to>
    <xdr:grpSp>
      <xdr:nvGrpSpPr>
        <xdr:cNvPr id="5" name="Group 83"/>
        <xdr:cNvGrpSpPr>
          <a:grpSpLocks/>
        </xdr:cNvGrpSpPr>
      </xdr:nvGrpSpPr>
      <xdr:grpSpPr>
        <a:xfrm>
          <a:off x="7667625" y="0"/>
          <a:ext cx="847725" cy="0"/>
          <a:chOff x="790" y="4"/>
          <a:chExt cx="90" cy="54"/>
        </a:xfrm>
        <a:solidFill>
          <a:srgbClr val="FFFFFF"/>
        </a:solidFill>
      </xdr:grpSpPr>
      <xdr:sp>
        <xdr:nvSpPr>
          <xdr:cNvPr id="6" name="Rectangle 8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8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10</xdr:col>
      <xdr:colOff>0</xdr:colOff>
      <xdr:row>1</xdr:row>
      <xdr:rowOff>19050</xdr:rowOff>
    </xdr:from>
    <xdr:to>
      <xdr:col>10</xdr:col>
      <xdr:colOff>447675</xdr:colOff>
      <xdr:row>1</xdr:row>
      <xdr:rowOff>190500</xdr:rowOff>
    </xdr:to>
    <xdr:pic>
      <xdr:nvPicPr>
        <xdr:cNvPr id="9" name="LogoKop1"/>
        <xdr:cNvPicPr preferRelativeResize="1">
          <a:picLocks noChangeAspect="1"/>
        </xdr:cNvPicPr>
      </xdr:nvPicPr>
      <xdr:blipFill>
        <a:blip r:embed="rId2"/>
        <a:stretch>
          <a:fillRect/>
        </a:stretch>
      </xdr:blipFill>
      <xdr:spPr>
        <a:xfrm>
          <a:off x="8515350" y="219075"/>
          <a:ext cx="447675"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32</xdr:row>
      <xdr:rowOff>0</xdr:rowOff>
    </xdr:from>
    <xdr:to>
      <xdr:col>6</xdr:col>
      <xdr:colOff>0</xdr:colOff>
      <xdr:row>32</xdr:row>
      <xdr:rowOff>0</xdr:rowOff>
    </xdr:to>
    <xdr:grpSp>
      <xdr:nvGrpSpPr>
        <xdr:cNvPr id="1" name="Group 25"/>
        <xdr:cNvGrpSpPr>
          <a:grpSpLocks/>
        </xdr:cNvGrpSpPr>
      </xdr:nvGrpSpPr>
      <xdr:grpSpPr>
        <a:xfrm>
          <a:off x="4638675" y="5238750"/>
          <a:ext cx="0" cy="0"/>
          <a:chOff x="769" y="35"/>
          <a:chExt cx="110" cy="41"/>
        </a:xfrm>
        <a:solidFill>
          <a:srgbClr val="FFFFFF"/>
        </a:solidFill>
      </xdr:grpSpPr>
      <xdr:sp>
        <xdr:nvSpPr>
          <xdr:cNvPr id="2"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40</xdr:row>
      <xdr:rowOff>0</xdr:rowOff>
    </xdr:from>
    <xdr:to>
      <xdr:col>6</xdr:col>
      <xdr:colOff>0</xdr:colOff>
      <xdr:row>40</xdr:row>
      <xdr:rowOff>0</xdr:rowOff>
    </xdr:to>
    <xdr:grpSp>
      <xdr:nvGrpSpPr>
        <xdr:cNvPr id="6" name="Group 35"/>
        <xdr:cNvGrpSpPr>
          <a:grpSpLocks/>
        </xdr:cNvGrpSpPr>
      </xdr:nvGrpSpPr>
      <xdr:grpSpPr>
        <a:xfrm>
          <a:off x="4638675" y="6457950"/>
          <a:ext cx="0" cy="0"/>
          <a:chOff x="769" y="35"/>
          <a:chExt cx="110" cy="41"/>
        </a:xfrm>
        <a:solidFill>
          <a:srgbClr val="FFFFFF"/>
        </a:solidFill>
      </xdr:grpSpPr>
      <xdr:sp>
        <xdr:nvSpPr>
          <xdr:cNvPr id="7" name="Rectangle 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72</xdr:row>
      <xdr:rowOff>0</xdr:rowOff>
    </xdr:from>
    <xdr:to>
      <xdr:col>6</xdr:col>
      <xdr:colOff>0</xdr:colOff>
      <xdr:row>72</xdr:row>
      <xdr:rowOff>0</xdr:rowOff>
    </xdr:to>
    <xdr:grpSp>
      <xdr:nvGrpSpPr>
        <xdr:cNvPr id="11" name="Group 65"/>
        <xdr:cNvGrpSpPr>
          <a:grpSpLocks/>
        </xdr:cNvGrpSpPr>
      </xdr:nvGrpSpPr>
      <xdr:grpSpPr>
        <a:xfrm>
          <a:off x="4638675" y="11439525"/>
          <a:ext cx="0" cy="0"/>
          <a:chOff x="769" y="35"/>
          <a:chExt cx="110" cy="41"/>
        </a:xfrm>
        <a:solidFill>
          <a:srgbClr val="FFFFFF"/>
        </a:solidFill>
      </xdr:grpSpPr>
      <xdr:sp>
        <xdr:nvSpPr>
          <xdr:cNvPr id="12" name="Rectangle 6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6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6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6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12</xdr:col>
      <xdr:colOff>0</xdr:colOff>
      <xdr:row>1</xdr:row>
      <xdr:rowOff>19050</xdr:rowOff>
    </xdr:from>
    <xdr:to>
      <xdr:col>12</xdr:col>
      <xdr:colOff>447675</xdr:colOff>
      <xdr:row>1</xdr:row>
      <xdr:rowOff>190500</xdr:rowOff>
    </xdr:to>
    <xdr:pic>
      <xdr:nvPicPr>
        <xdr:cNvPr id="16" name="LogoKop1"/>
        <xdr:cNvPicPr preferRelativeResize="1">
          <a:picLocks noChangeAspect="1"/>
        </xdr:cNvPicPr>
      </xdr:nvPicPr>
      <xdr:blipFill>
        <a:blip r:embed="rId2"/>
        <a:stretch>
          <a:fillRect/>
        </a:stretch>
      </xdr:blipFill>
      <xdr:spPr>
        <a:xfrm>
          <a:off x="8505825" y="219075"/>
          <a:ext cx="447675" cy="171450"/>
        </a:xfrm>
        <a:prstGeom prst="rect">
          <a:avLst/>
        </a:prstGeom>
        <a:noFill/>
        <a:ln w="9525" cmpd="sng">
          <a:noFill/>
        </a:ln>
      </xdr:spPr>
    </xdr:pic>
    <xdr:clientData/>
  </xdr:twoCellAnchor>
  <xdr:twoCellAnchor editAs="absolute">
    <xdr:from>
      <xdr:col>12</xdr:col>
      <xdr:colOff>0</xdr:colOff>
      <xdr:row>43</xdr:row>
      <xdr:rowOff>19050</xdr:rowOff>
    </xdr:from>
    <xdr:to>
      <xdr:col>12</xdr:col>
      <xdr:colOff>447675</xdr:colOff>
      <xdr:row>43</xdr:row>
      <xdr:rowOff>190500</xdr:rowOff>
    </xdr:to>
    <xdr:pic>
      <xdr:nvPicPr>
        <xdr:cNvPr id="17" name="Picture 83"/>
        <xdr:cNvPicPr preferRelativeResize="1">
          <a:picLocks noChangeAspect="1"/>
        </xdr:cNvPicPr>
      </xdr:nvPicPr>
      <xdr:blipFill>
        <a:blip r:embed="rId2"/>
        <a:stretch>
          <a:fillRect/>
        </a:stretch>
      </xdr:blipFill>
      <xdr:spPr>
        <a:xfrm>
          <a:off x="8505825" y="6943725"/>
          <a:ext cx="447675"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104775</xdr:colOff>
      <xdr:row>1</xdr:row>
      <xdr:rowOff>19050</xdr:rowOff>
    </xdr:from>
    <xdr:to>
      <xdr:col>12</xdr:col>
      <xdr:colOff>57150</xdr:colOff>
      <xdr:row>1</xdr:row>
      <xdr:rowOff>190500</xdr:rowOff>
    </xdr:to>
    <xdr:pic>
      <xdr:nvPicPr>
        <xdr:cNvPr id="1" name="LogoKop1"/>
        <xdr:cNvPicPr preferRelativeResize="1">
          <a:picLocks noChangeAspect="1"/>
        </xdr:cNvPicPr>
      </xdr:nvPicPr>
      <xdr:blipFill>
        <a:blip r:embed="rId1"/>
        <a:stretch>
          <a:fillRect/>
        </a:stretch>
      </xdr:blipFill>
      <xdr:spPr>
        <a:xfrm>
          <a:off x="8505825" y="219075"/>
          <a:ext cx="447675" cy="171450"/>
        </a:xfrm>
        <a:prstGeom prst="rect">
          <a:avLst/>
        </a:prstGeom>
        <a:noFill/>
        <a:ln w="9525" cmpd="sng">
          <a:noFill/>
        </a:ln>
      </xdr:spPr>
    </xdr:pic>
    <xdr:clientData/>
  </xdr:twoCellAnchor>
  <xdr:twoCellAnchor editAs="absolute">
    <xdr:from>
      <xdr:col>11</xdr:col>
      <xdr:colOff>104775</xdr:colOff>
      <xdr:row>43</xdr:row>
      <xdr:rowOff>19050</xdr:rowOff>
    </xdr:from>
    <xdr:to>
      <xdr:col>12</xdr:col>
      <xdr:colOff>57150</xdr:colOff>
      <xdr:row>43</xdr:row>
      <xdr:rowOff>190500</xdr:rowOff>
    </xdr:to>
    <xdr:pic>
      <xdr:nvPicPr>
        <xdr:cNvPr id="2" name="Picture 35"/>
        <xdr:cNvPicPr preferRelativeResize="1">
          <a:picLocks noChangeAspect="1"/>
        </xdr:cNvPicPr>
      </xdr:nvPicPr>
      <xdr:blipFill>
        <a:blip r:embed="rId1"/>
        <a:stretch>
          <a:fillRect/>
        </a:stretch>
      </xdr:blipFill>
      <xdr:spPr>
        <a:xfrm>
          <a:off x="8505825" y="6886575"/>
          <a:ext cx="4476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6.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mer3@ctgzorg.nl"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A2:U410"/>
  <sheetViews>
    <sheetView zoomScale="95" zoomScaleNormal="95" workbookViewId="0" topLeftCell="A1">
      <selection activeCell="F19" sqref="F19"/>
    </sheetView>
  </sheetViews>
  <sheetFormatPr defaultColWidth="9.140625" defaultRowHeight="12.75"/>
  <cols>
    <col min="1" max="1" width="5.7109375" style="1" customWidth="1"/>
    <col min="2" max="2" width="9.7109375" style="2" customWidth="1"/>
    <col min="3" max="3" width="20.57421875" style="2" customWidth="1"/>
    <col min="4" max="4" width="10.7109375" style="3" customWidth="1"/>
    <col min="5" max="5" width="10.421875" style="2" customWidth="1"/>
    <col min="6" max="6" width="16.42187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15625" style="2" customWidth="1"/>
    <col min="15" max="15" width="10.28125" style="93" bestFit="1" customWidth="1"/>
    <col min="16" max="16" width="10.7109375" style="96" bestFit="1" customWidth="1"/>
    <col min="17" max="17" width="9.8515625" style="93" bestFit="1" customWidth="1"/>
    <col min="18" max="21" width="8.7109375" style="93" customWidth="1"/>
    <col min="22" max="16384" width="8.7109375" style="2" customWidth="1"/>
  </cols>
  <sheetData>
    <row r="1" ht="15.75" customHeight="1"/>
    <row r="2" spans="1:21" s="11" customFormat="1" ht="15.75" customHeight="1">
      <c r="A2" s="6" t="e">
        <f>CONCATENATE("Nacalculatie ",#REF!,"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f>instructie!E25+1</f>
        <v>5</v>
      </c>
      <c r="O2" s="12"/>
      <c r="P2" s="13"/>
      <c r="Q2" s="12"/>
      <c r="R2" s="12"/>
      <c r="S2" s="12"/>
      <c r="T2" s="12"/>
      <c r="U2" s="12"/>
    </row>
    <row r="3" ht="12.75">
      <c r="M3" s="5"/>
    </row>
    <row r="4" spans="1:21" ht="12.75" customHeight="1">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2:21" ht="12.75" customHeight="1">
      <c r="B5" s="20"/>
      <c r="C5" s="20"/>
      <c r="D5" s="20"/>
      <c r="E5" s="20"/>
      <c r="F5" s="20"/>
      <c r="G5" s="20"/>
      <c r="H5" s="20"/>
      <c r="I5" s="20"/>
      <c r="J5" s="20"/>
      <c r="K5" s="20"/>
      <c r="L5" s="20"/>
      <c r="M5" s="93"/>
      <c r="N5" s="93"/>
      <c r="P5" s="93"/>
      <c r="S5" s="2"/>
      <c r="T5" s="2"/>
      <c r="U5" s="2"/>
    </row>
    <row r="6" spans="1:6" s="11" customFormat="1" ht="12.75" customHeight="1">
      <c r="A6" s="21"/>
      <c r="B6" s="22" t="s">
        <v>168</v>
      </c>
      <c r="C6" s="23" t="s">
        <v>162</v>
      </c>
      <c r="D6" s="24"/>
      <c r="E6" s="197"/>
      <c r="F6" s="22" t="s">
        <v>168</v>
      </c>
    </row>
    <row r="7" spans="1:21" ht="12.75" customHeight="1">
      <c r="A7" s="20"/>
      <c r="B7" s="3"/>
      <c r="C7" s="20"/>
      <c r="D7" s="20"/>
      <c r="E7" s="20"/>
      <c r="F7" s="20"/>
      <c r="G7" s="93"/>
      <c r="H7" s="93"/>
      <c r="I7" s="93"/>
      <c r="J7" s="93"/>
      <c r="K7" s="93"/>
      <c r="O7" s="2"/>
      <c r="P7" s="2"/>
      <c r="Q7" s="2"/>
      <c r="R7" s="2"/>
      <c r="S7" s="2"/>
      <c r="T7" s="2"/>
      <c r="U7" s="2"/>
    </row>
    <row r="8" spans="1:6" s="90" customFormat="1" ht="12.75" customHeight="1">
      <c r="A8" s="26" t="s">
        <v>154</v>
      </c>
      <c r="B8" s="28"/>
      <c r="C8" s="29"/>
      <c r="D8" s="27"/>
      <c r="E8" s="26" t="s">
        <v>153</v>
      </c>
      <c r="F8" s="29"/>
    </row>
    <row r="9" spans="1:6" s="90" customFormat="1" ht="12.75" customHeight="1">
      <c r="A9" s="31">
        <f>Opbrengsten!A8</f>
        <v>1101</v>
      </c>
      <c r="B9" s="267">
        <f>Opbrengsten!D8</f>
        <v>0</v>
      </c>
      <c r="C9" s="268">
        <f>Opbrengsten!E8</f>
        <v>0</v>
      </c>
      <c r="D9" s="27"/>
      <c r="E9" s="31">
        <f>A38+1</f>
        <v>1125</v>
      </c>
      <c r="F9" s="267">
        <f>Opbrengsten!K8</f>
        <v>0</v>
      </c>
    </row>
    <row r="10" spans="1:6" s="42" customFormat="1" ht="12.75" customHeight="1">
      <c r="A10" s="32">
        <f aca="true" t="shared" si="0" ref="A10:A17">A9+1</f>
        <v>1102</v>
      </c>
      <c r="B10" s="267">
        <f>Opbrengsten!D9</f>
        <v>0</v>
      </c>
      <c r="C10" s="268">
        <f>Opbrengsten!E9</f>
        <v>0</v>
      </c>
      <c r="D10" s="33"/>
      <c r="E10" s="34">
        <f aca="true" t="shared" si="1" ref="E10:E28">E9+1</f>
        <v>1126</v>
      </c>
      <c r="F10" s="267">
        <f>Opbrengsten!K9</f>
        <v>0</v>
      </c>
    </row>
    <row r="11" spans="1:6" s="42" customFormat="1" ht="12.75" customHeight="1">
      <c r="A11" s="34">
        <f t="shared" si="0"/>
        <v>1103</v>
      </c>
      <c r="B11" s="267">
        <f>Opbrengsten!D10</f>
        <v>0</v>
      </c>
      <c r="C11" s="268">
        <f>Opbrengsten!E10</f>
        <v>0</v>
      </c>
      <c r="D11" s="33"/>
      <c r="E11" s="34">
        <f t="shared" si="1"/>
        <v>1127</v>
      </c>
      <c r="F11" s="267">
        <f>Opbrengsten!K10</f>
        <v>0</v>
      </c>
    </row>
    <row r="12" spans="1:6" s="42" customFormat="1" ht="12.75" customHeight="1">
      <c r="A12" s="34">
        <f t="shared" si="0"/>
        <v>1104</v>
      </c>
      <c r="B12" s="267">
        <f>Opbrengsten!D11</f>
        <v>0</v>
      </c>
      <c r="C12" s="268">
        <f>Opbrengsten!E11</f>
        <v>0</v>
      </c>
      <c r="D12" s="33"/>
      <c r="E12" s="34">
        <f t="shared" si="1"/>
        <v>1128</v>
      </c>
      <c r="F12" s="267">
        <f>Opbrengsten!K11</f>
        <v>0</v>
      </c>
    </row>
    <row r="13" spans="1:6" s="42" customFormat="1" ht="12.75" customHeight="1">
      <c r="A13" s="34">
        <f t="shared" si="0"/>
        <v>1105</v>
      </c>
      <c r="B13" s="267">
        <f>Opbrengsten!D12</f>
        <v>0</v>
      </c>
      <c r="C13" s="268">
        <f>Opbrengsten!E12</f>
        <v>0</v>
      </c>
      <c r="D13" s="33"/>
      <c r="E13" s="34">
        <f t="shared" si="1"/>
        <v>1129</v>
      </c>
      <c r="F13" s="267">
        <f>Opbrengsten!K12</f>
        <v>0</v>
      </c>
    </row>
    <row r="14" spans="1:8" s="42" customFormat="1" ht="12.75" customHeight="1">
      <c r="A14" s="34">
        <f t="shared" si="0"/>
        <v>1106</v>
      </c>
      <c r="B14" s="267">
        <f>Opbrengsten!D13</f>
        <v>0</v>
      </c>
      <c r="C14" s="268">
        <f>Opbrengsten!E13</f>
        <v>0</v>
      </c>
      <c r="D14" s="33"/>
      <c r="E14" s="34">
        <f t="shared" si="1"/>
        <v>1130</v>
      </c>
      <c r="F14" s="267">
        <f>Opbrengsten!K13</f>
        <v>0</v>
      </c>
      <c r="H14" s="90"/>
    </row>
    <row r="15" spans="1:8" s="42" customFormat="1" ht="12.75" customHeight="1">
      <c r="A15" s="35">
        <f t="shared" si="0"/>
        <v>1107</v>
      </c>
      <c r="B15" s="267">
        <f>Opbrengsten!D14</f>
        <v>0</v>
      </c>
      <c r="C15" s="269"/>
      <c r="D15" s="33"/>
      <c r="E15" s="34">
        <f t="shared" si="1"/>
        <v>1131</v>
      </c>
      <c r="F15" s="267">
        <f>Opbrengsten!K15</f>
        <v>0</v>
      </c>
      <c r="H15" s="90"/>
    </row>
    <row r="16" spans="1:8" s="42" customFormat="1" ht="12.75" customHeight="1">
      <c r="A16" s="54">
        <f t="shared" si="0"/>
        <v>1108</v>
      </c>
      <c r="B16" s="270">
        <f>Opbrengsten!D15</f>
        <v>0</v>
      </c>
      <c r="C16" s="268">
        <f>Opbrengsten!E15</f>
        <v>0</v>
      </c>
      <c r="D16" s="33"/>
      <c r="E16" s="34">
        <f t="shared" si="1"/>
        <v>1132</v>
      </c>
      <c r="F16" s="267">
        <f>Opbrengsten!K16</f>
        <v>0</v>
      </c>
      <c r="H16" s="90"/>
    </row>
    <row r="17" spans="1:8" s="42" customFormat="1" ht="12.75" customHeight="1">
      <c r="A17" s="37">
        <f t="shared" si="0"/>
        <v>1109</v>
      </c>
      <c r="B17" s="39"/>
      <c r="C17" s="40"/>
      <c r="D17" s="33"/>
      <c r="E17" s="34">
        <f t="shared" si="1"/>
        <v>1133</v>
      </c>
      <c r="F17" s="267">
        <f>Opbrengsten!K17</f>
        <v>0</v>
      </c>
      <c r="H17" s="90"/>
    </row>
    <row r="18" spans="1:8" s="42" customFormat="1" ht="12.75" customHeight="1">
      <c r="A18" s="41"/>
      <c r="B18" s="238"/>
      <c r="D18" s="33"/>
      <c r="E18" s="34">
        <f t="shared" si="1"/>
        <v>1134</v>
      </c>
      <c r="F18" s="267">
        <f>Opbrengsten!K18</f>
        <v>0</v>
      </c>
      <c r="H18" s="90"/>
    </row>
    <row r="19" spans="1:8" s="42" customFormat="1" ht="12.75" customHeight="1">
      <c r="A19" s="26" t="s">
        <v>155</v>
      </c>
      <c r="B19" s="28"/>
      <c r="C19" s="29"/>
      <c r="D19" s="33"/>
      <c r="E19" s="34">
        <f t="shared" si="1"/>
        <v>1135</v>
      </c>
      <c r="F19" s="267">
        <f>Opbrengsten!K19</f>
        <v>0</v>
      </c>
      <c r="H19" s="90"/>
    </row>
    <row r="20" spans="1:8" s="42" customFormat="1" ht="12.75" customHeight="1">
      <c r="A20" s="31">
        <f>A17+1</f>
        <v>1110</v>
      </c>
      <c r="B20" s="267">
        <f>Opbrengsten!D50</f>
        <v>0</v>
      </c>
      <c r="C20" s="269"/>
      <c r="D20" s="44"/>
      <c r="E20" s="34">
        <f t="shared" si="1"/>
        <v>1136</v>
      </c>
      <c r="F20" s="267">
        <f>Opbrengsten!K20</f>
        <v>0</v>
      </c>
      <c r="H20" s="90"/>
    </row>
    <row r="21" spans="1:8" s="42" customFormat="1" ht="12.75" customHeight="1">
      <c r="A21" s="32">
        <f>A20+1</f>
        <v>1111</v>
      </c>
      <c r="B21" s="267">
        <f>Opbrengsten!D51</f>
        <v>0</v>
      </c>
      <c r="C21" s="269"/>
      <c r="D21" s="45"/>
      <c r="E21" s="34">
        <f t="shared" si="1"/>
        <v>1137</v>
      </c>
      <c r="F21" s="267">
        <f>Opbrengsten!K21</f>
        <v>0</v>
      </c>
      <c r="H21" s="90"/>
    </row>
    <row r="22" spans="1:6" s="90" customFormat="1" ht="12.75" customHeight="1">
      <c r="A22" s="32">
        <f>A21+1</f>
        <v>1112</v>
      </c>
      <c r="B22" s="267">
        <f>Opbrengsten!D52</f>
        <v>0</v>
      </c>
      <c r="C22" s="269"/>
      <c r="D22" s="27"/>
      <c r="E22" s="34">
        <f t="shared" si="1"/>
        <v>1138</v>
      </c>
      <c r="F22" s="267">
        <f>Opbrengsten!K22</f>
        <v>0</v>
      </c>
    </row>
    <row r="23" spans="1:6" s="90" customFormat="1" ht="12.75" customHeight="1">
      <c r="A23" s="32">
        <f>A22+1</f>
        <v>1113</v>
      </c>
      <c r="B23" s="267">
        <f>Opbrengsten!D53</f>
        <v>0</v>
      </c>
      <c r="C23" s="269"/>
      <c r="D23" s="27"/>
      <c r="E23" s="34">
        <f t="shared" si="1"/>
        <v>1139</v>
      </c>
      <c r="F23" s="267">
        <f>Opbrengsten!K23</f>
        <v>0</v>
      </c>
    </row>
    <row r="24" spans="1:6" s="42" customFormat="1" ht="12.75" customHeight="1">
      <c r="A24" s="35">
        <f>A23+1</f>
        <v>1114</v>
      </c>
      <c r="B24" s="267">
        <f>Opbrengsten!D54</f>
        <v>0</v>
      </c>
      <c r="C24" s="269"/>
      <c r="D24" s="33"/>
      <c r="E24" s="34">
        <f t="shared" si="1"/>
        <v>1140</v>
      </c>
      <c r="F24" s="267">
        <f>Opbrengsten!K24</f>
        <v>0</v>
      </c>
    </row>
    <row r="25" spans="1:6" s="42" customFormat="1" ht="12.75" customHeight="1">
      <c r="A25" s="37">
        <f>A24+1</f>
        <v>1115</v>
      </c>
      <c r="B25" s="39"/>
      <c r="C25" s="40"/>
      <c r="D25" s="33"/>
      <c r="E25" s="34">
        <f t="shared" si="1"/>
        <v>1141</v>
      </c>
      <c r="F25" s="267">
        <f>Opbrengsten!K26</f>
        <v>0</v>
      </c>
    </row>
    <row r="26" spans="1:6" s="42" customFormat="1" ht="12.75" customHeight="1">
      <c r="A26" s="261"/>
      <c r="B26" s="43"/>
      <c r="D26" s="33"/>
      <c r="E26" s="34">
        <f t="shared" si="1"/>
        <v>1142</v>
      </c>
      <c r="F26" s="267">
        <f>Opbrengsten!K27</f>
        <v>0</v>
      </c>
    </row>
    <row r="27" spans="1:8" s="42" customFormat="1" ht="12.75" customHeight="1">
      <c r="A27" s="26" t="s">
        <v>157</v>
      </c>
      <c r="B27" s="28"/>
      <c r="C27" s="29"/>
      <c r="D27" s="44"/>
      <c r="E27" s="34">
        <f t="shared" si="1"/>
        <v>1143</v>
      </c>
      <c r="F27" s="267">
        <f>Opbrengsten!K28</f>
        <v>0</v>
      </c>
      <c r="H27" s="90"/>
    </row>
    <row r="28" spans="1:8" s="42" customFormat="1" ht="12.75" customHeight="1">
      <c r="A28" s="31">
        <f>A25+1</f>
        <v>1116</v>
      </c>
      <c r="B28" s="267">
        <f>Opbrengsten!D31</f>
        <v>0</v>
      </c>
      <c r="C28" s="268">
        <f>Opbrengsten!E31</f>
        <v>117</v>
      </c>
      <c r="D28" s="45"/>
      <c r="E28" s="34">
        <f t="shared" si="1"/>
        <v>1144</v>
      </c>
      <c r="F28" s="267">
        <f>Opbrengsten!K29</f>
        <v>0</v>
      </c>
      <c r="H28" s="90"/>
    </row>
    <row r="29" spans="1:6" s="90" customFormat="1" ht="12.75" customHeight="1">
      <c r="A29" s="32">
        <f>A28+1</f>
        <v>1117</v>
      </c>
      <c r="B29" s="267">
        <f>Opbrengsten!D33</f>
        <v>0</v>
      </c>
      <c r="C29" s="268">
        <f>Opbrengsten!E33</f>
        <v>238</v>
      </c>
      <c r="D29" s="27"/>
      <c r="E29" s="34">
        <f>E25+1</f>
        <v>1142</v>
      </c>
      <c r="F29" s="267">
        <f>Opbrengsten!K35</f>
        <v>0</v>
      </c>
    </row>
    <row r="30" spans="1:6" s="90" customFormat="1" ht="12.75" customHeight="1">
      <c r="A30" s="34">
        <f>A29+1</f>
        <v>1118</v>
      </c>
      <c r="B30" s="267">
        <f>Opbrengsten!D34</f>
        <v>0</v>
      </c>
      <c r="C30" s="268">
        <f>Opbrengsten!E34</f>
        <v>171</v>
      </c>
      <c r="D30" s="27"/>
      <c r="E30" s="34">
        <f>E29+1</f>
        <v>1143</v>
      </c>
      <c r="F30" s="267">
        <f>Opbrengsten!K36</f>
        <v>0</v>
      </c>
    </row>
    <row r="31" spans="1:6" s="42" customFormat="1" ht="12.75" customHeight="1">
      <c r="A31" s="35">
        <f>A30+1</f>
        <v>1119</v>
      </c>
      <c r="B31" s="267">
        <f>Opbrengsten!D37</f>
        <v>0</v>
      </c>
      <c r="C31" s="268">
        <f>Opbrengsten!E37</f>
        <v>149</v>
      </c>
      <c r="D31" s="33"/>
      <c r="E31" s="34">
        <f>E30+1</f>
        <v>1144</v>
      </c>
      <c r="F31" s="267">
        <f>Opbrengsten!K37</f>
        <v>0</v>
      </c>
    </row>
    <row r="32" spans="1:6" s="42" customFormat="1" ht="12.75" customHeight="1">
      <c r="A32" s="37">
        <f>A31+1</f>
        <v>1120</v>
      </c>
      <c r="B32" s="39"/>
      <c r="C32" s="46"/>
      <c r="D32" s="33"/>
      <c r="E32" s="34">
        <f>E30+1</f>
        <v>1144</v>
      </c>
      <c r="F32" s="267">
        <f>Opbrengsten!K38</f>
        <v>0</v>
      </c>
    </row>
    <row r="33" spans="1:6" s="42" customFormat="1" ht="12.75" customHeight="1">
      <c r="A33" s="41"/>
      <c r="B33" s="43"/>
      <c r="D33" s="33"/>
      <c r="E33" s="34">
        <f>E31+1</f>
        <v>1145</v>
      </c>
      <c r="F33" s="267">
        <f>Opbrengsten!K39</f>
        <v>0</v>
      </c>
    </row>
    <row r="34" spans="1:6" s="42" customFormat="1" ht="12.75" customHeight="1">
      <c r="A34" s="26" t="s">
        <v>235</v>
      </c>
      <c r="B34" s="45"/>
      <c r="D34" s="48"/>
      <c r="E34" s="34">
        <f>E33+1</f>
        <v>1146</v>
      </c>
      <c r="F34" s="267">
        <f>Opbrengsten!K41</f>
        <v>0</v>
      </c>
    </row>
    <row r="35" spans="1:8" s="42" customFormat="1" ht="12.75" customHeight="1">
      <c r="A35" s="31">
        <f>A32+1</f>
        <v>1121</v>
      </c>
      <c r="B35" s="49"/>
      <c r="C35" s="50"/>
      <c r="E35" s="51">
        <f>E34+1</f>
        <v>1147</v>
      </c>
      <c r="F35" s="52"/>
      <c r="H35" s="90"/>
    </row>
    <row r="36" spans="1:21" ht="12.75">
      <c r="A36" s="35">
        <f>A35+1</f>
        <v>1122</v>
      </c>
      <c r="B36" s="49"/>
      <c r="C36" s="50"/>
      <c r="D36" s="4"/>
      <c r="E36" s="53"/>
      <c r="F36" s="5"/>
      <c r="G36" s="93"/>
      <c r="H36" s="96"/>
      <c r="I36" s="93"/>
      <c r="J36" s="93"/>
      <c r="K36" s="93"/>
      <c r="L36" s="93"/>
      <c r="M36" s="93"/>
      <c r="O36" s="2"/>
      <c r="P36" s="2"/>
      <c r="Q36" s="2"/>
      <c r="R36" s="2"/>
      <c r="S36" s="2"/>
      <c r="T36" s="2"/>
      <c r="U36" s="2"/>
    </row>
    <row r="37" spans="1:21" ht="12.75">
      <c r="A37" s="54">
        <f>A36+1</f>
        <v>1123</v>
      </c>
      <c r="B37" s="55"/>
      <c r="C37" s="56"/>
      <c r="D37" s="4"/>
      <c r="E37" s="26" t="s">
        <v>159</v>
      </c>
      <c r="F37" s="57"/>
      <c r="G37" s="93"/>
      <c r="H37" s="96"/>
      <c r="I37" s="93"/>
      <c r="J37" s="93"/>
      <c r="K37" s="93"/>
      <c r="L37" s="93"/>
      <c r="M37" s="93"/>
      <c r="O37" s="2"/>
      <c r="P37" s="2"/>
      <c r="Q37" s="2"/>
      <c r="R37" s="2"/>
      <c r="S37" s="2"/>
      <c r="T37" s="2"/>
      <c r="U37" s="2"/>
    </row>
    <row r="38" spans="1:21" ht="12.75" customHeight="1">
      <c r="A38" s="51">
        <f>A37+1</f>
        <v>1124</v>
      </c>
      <c r="B38" s="38"/>
      <c r="C38" s="52"/>
      <c r="D38" s="4"/>
      <c r="E38" s="37">
        <f>A38+1</f>
        <v>1125</v>
      </c>
      <c r="F38" s="60"/>
      <c r="G38" s="93"/>
      <c r="H38" s="96"/>
      <c r="I38" s="93"/>
      <c r="J38" s="93"/>
      <c r="K38" s="93"/>
      <c r="L38" s="93"/>
      <c r="M38" s="93"/>
      <c r="O38" s="2"/>
      <c r="P38" s="2"/>
      <c r="Q38" s="2"/>
      <c r="R38" s="2"/>
      <c r="S38" s="2"/>
      <c r="T38" s="2"/>
      <c r="U38" s="2"/>
    </row>
    <row r="39" spans="1:6" s="11" customFormat="1" ht="12.75" customHeight="1">
      <c r="A39" s="1"/>
      <c r="B39" s="3"/>
      <c r="C39" s="2"/>
      <c r="D39" s="2"/>
      <c r="E39" s="4"/>
      <c r="F39" s="1"/>
    </row>
    <row r="40" spans="1:21" ht="12.75">
      <c r="A40" s="21"/>
      <c r="B40" s="184"/>
      <c r="C40" s="184"/>
      <c r="D40" s="25" t="s">
        <v>167</v>
      </c>
      <c r="E40" s="24"/>
      <c r="F40" s="21"/>
      <c r="G40" s="62"/>
      <c r="H40" s="62"/>
      <c r="I40" s="63"/>
      <c r="J40" s="2"/>
      <c r="K40" s="93"/>
      <c r="L40" s="96"/>
      <c r="M40" s="93"/>
      <c r="N40" s="93"/>
      <c r="P40" s="93"/>
      <c r="R40" s="2"/>
      <c r="S40" s="2"/>
      <c r="T40" s="2"/>
      <c r="U40" s="2"/>
    </row>
    <row r="41" spans="1:21" ht="12.75">
      <c r="A41" s="64"/>
      <c r="B41" s="66"/>
      <c r="C41" s="66"/>
      <c r="D41" s="67"/>
      <c r="E41" s="65"/>
      <c r="F41" s="64"/>
      <c r="G41" s="68"/>
      <c r="H41" s="68"/>
      <c r="I41" s="69"/>
      <c r="J41" s="69"/>
      <c r="K41" s="70"/>
      <c r="M41" s="93"/>
      <c r="N41" s="96"/>
      <c r="P41" s="93"/>
      <c r="T41" s="2"/>
      <c r="U41" s="2"/>
    </row>
    <row r="42" spans="1:21" ht="12.75">
      <c r="A42" s="26" t="s">
        <v>218</v>
      </c>
      <c r="B42" s="48"/>
      <c r="C42" s="48"/>
      <c r="D42" s="236" t="s">
        <v>286</v>
      </c>
      <c r="E42" s="4"/>
      <c r="F42" s="71"/>
      <c r="G42" s="72"/>
      <c r="H42" s="72"/>
      <c r="I42" s="72"/>
      <c r="J42" s="72"/>
      <c r="K42" s="73"/>
      <c r="M42" s="93"/>
      <c r="N42" s="96"/>
      <c r="P42" s="93"/>
      <c r="T42" s="2"/>
      <c r="U42" s="2"/>
    </row>
    <row r="43" spans="1:21" ht="12.75">
      <c r="A43" s="31">
        <f>Opbrengsten!H58</f>
        <v>1227</v>
      </c>
      <c r="B43" s="134"/>
      <c r="C43" s="74"/>
      <c r="D43" s="267">
        <f>Opbrengsten!M58</f>
        <v>0</v>
      </c>
      <c r="E43" s="4"/>
      <c r="F43" s="75"/>
      <c r="G43" s="76"/>
      <c r="H43" s="76"/>
      <c r="I43" s="76"/>
      <c r="J43" s="76"/>
      <c r="K43" s="76"/>
      <c r="M43" s="93"/>
      <c r="N43" s="96"/>
      <c r="P43" s="93"/>
      <c r="T43" s="2"/>
      <c r="U43" s="2"/>
    </row>
    <row r="44" spans="1:21" ht="12.75">
      <c r="A44" s="32">
        <f>A43+1</f>
        <v>1228</v>
      </c>
      <c r="B44" s="134"/>
      <c r="C44" s="77"/>
      <c r="D44" s="291"/>
      <c r="E44" s="4"/>
      <c r="F44" s="1"/>
      <c r="G44" s="2"/>
      <c r="H44" s="5"/>
      <c r="J44" s="2"/>
      <c r="M44" s="93"/>
      <c r="N44" s="96"/>
      <c r="P44" s="93"/>
      <c r="T44" s="2"/>
      <c r="U44" s="2"/>
    </row>
    <row r="45" spans="1:21" ht="12.75">
      <c r="A45" s="35">
        <f>A44+1</f>
        <v>1229</v>
      </c>
      <c r="B45" s="78"/>
      <c r="C45" s="79"/>
      <c r="D45" s="267">
        <f>Opbrengsten!M60</f>
        <v>0</v>
      </c>
      <c r="E45" s="4"/>
      <c r="F45" s="1"/>
      <c r="G45" s="2"/>
      <c r="H45" s="5"/>
      <c r="J45" s="2"/>
      <c r="M45" s="93"/>
      <c r="N45" s="96"/>
      <c r="P45" s="93"/>
      <c r="T45" s="2"/>
      <c r="U45" s="2"/>
    </row>
    <row r="46" spans="1:19" s="87" customFormat="1" ht="12.75">
      <c r="A46" s="37">
        <f>A45+1</f>
        <v>1230</v>
      </c>
      <c r="B46" s="52"/>
      <c r="C46" s="80"/>
      <c r="D46" s="292"/>
      <c r="E46" s="4"/>
      <c r="F46" s="1"/>
      <c r="G46" s="2"/>
      <c r="H46" s="5"/>
      <c r="I46" s="2"/>
      <c r="J46" s="2"/>
      <c r="K46" s="2"/>
      <c r="M46" s="293"/>
      <c r="N46" s="294"/>
      <c r="O46" s="293"/>
      <c r="P46" s="293"/>
      <c r="Q46" s="293"/>
      <c r="R46" s="293"/>
      <c r="S46" s="293"/>
    </row>
    <row r="47" spans="1:21" ht="12.75">
      <c r="A47" s="81">
        <f>A46+1</f>
        <v>1231</v>
      </c>
      <c r="B47" s="271"/>
      <c r="C47" s="82"/>
      <c r="D47" s="267" t="e">
        <f>Opbrengsten!#REF!</f>
        <v>#REF!</v>
      </c>
      <c r="E47" s="4"/>
      <c r="F47" s="1"/>
      <c r="G47" s="2"/>
      <c r="H47" s="5"/>
      <c r="J47" s="2"/>
      <c r="M47" s="93"/>
      <c r="N47" s="96"/>
      <c r="P47" s="93"/>
      <c r="T47" s="2"/>
      <c r="U47" s="2"/>
    </row>
    <row r="48" spans="1:21" ht="12.75">
      <c r="A48" s="37">
        <f>A47+1</f>
        <v>1232</v>
      </c>
      <c r="B48" s="52"/>
      <c r="C48" s="80"/>
      <c r="D48" s="292"/>
      <c r="E48" s="4"/>
      <c r="F48" s="1"/>
      <c r="G48" s="2"/>
      <c r="H48" s="5"/>
      <c r="J48" s="2"/>
      <c r="M48" s="93"/>
      <c r="N48" s="96"/>
      <c r="P48" s="93"/>
      <c r="T48" s="2"/>
      <c r="U48" s="2"/>
    </row>
    <row r="49" spans="1:21" ht="12.75">
      <c r="A49" s="83"/>
      <c r="B49" s="84"/>
      <c r="C49" s="84"/>
      <c r="D49" s="84"/>
      <c r="E49" s="85"/>
      <c r="F49" s="86"/>
      <c r="G49" s="87"/>
      <c r="H49" s="76"/>
      <c r="I49" s="87"/>
      <c r="J49" s="87"/>
      <c r="K49" s="87"/>
      <c r="M49" s="93"/>
      <c r="N49" s="96"/>
      <c r="P49" s="93"/>
      <c r="T49" s="2"/>
      <c r="U49" s="2"/>
    </row>
    <row r="50" spans="1:21" ht="12.75">
      <c r="A50" s="83" t="s">
        <v>283</v>
      </c>
      <c r="B50" s="84"/>
      <c r="C50" s="84"/>
      <c r="D50" s="236" t="s">
        <v>286</v>
      </c>
      <c r="E50" s="85"/>
      <c r="F50" s="86"/>
      <c r="G50" s="87"/>
      <c r="H50" s="76"/>
      <c r="I50" s="87"/>
      <c r="J50" s="87"/>
      <c r="K50" s="87"/>
      <c r="M50" s="93"/>
      <c r="N50" s="96"/>
      <c r="P50" s="93"/>
      <c r="T50" s="2"/>
      <c r="U50" s="2"/>
    </row>
    <row r="51" spans="1:21" ht="12.75">
      <c r="A51" s="31">
        <f>A48+1</f>
        <v>1233</v>
      </c>
      <c r="B51" s="134"/>
      <c r="C51" s="88"/>
      <c r="D51" s="291"/>
      <c r="E51" s="4"/>
      <c r="F51" s="1"/>
      <c r="G51" s="2"/>
      <c r="H51" s="5"/>
      <c r="J51" s="2"/>
      <c r="M51" s="93"/>
      <c r="N51" s="96"/>
      <c r="P51" s="93"/>
      <c r="T51" s="2"/>
      <c r="U51" s="2"/>
    </row>
    <row r="52" spans="1:21" ht="12.75" customHeight="1">
      <c r="A52" s="35">
        <f>A51+1</f>
        <v>1234</v>
      </c>
      <c r="B52" s="237"/>
      <c r="C52" s="36"/>
      <c r="D52" s="295">
        <f>Opbrengsten!M62</f>
        <v>0</v>
      </c>
      <c r="E52" s="4"/>
      <c r="F52" s="1"/>
      <c r="G52" s="2"/>
      <c r="H52" s="5"/>
      <c r="J52" s="2"/>
      <c r="M52" s="93"/>
      <c r="N52" s="96"/>
      <c r="P52" s="93"/>
      <c r="T52" s="2"/>
      <c r="U52" s="2"/>
    </row>
    <row r="53" spans="1:21" ht="12.75">
      <c r="A53" s="81"/>
      <c r="B53" s="296"/>
      <c r="C53" s="297"/>
      <c r="D53" s="298">
        <f>Opbrengsten!M63</f>
        <v>0</v>
      </c>
      <c r="E53" s="4"/>
      <c r="F53" s="1"/>
      <c r="G53" s="2"/>
      <c r="H53" s="5"/>
      <c r="J53" s="2"/>
      <c r="M53" s="93"/>
      <c r="N53" s="96"/>
      <c r="P53" s="93"/>
      <c r="T53" s="2"/>
      <c r="U53" s="2"/>
    </row>
    <row r="54" spans="1:21" ht="12.75">
      <c r="A54" s="37">
        <f>A52+1</f>
        <v>1235</v>
      </c>
      <c r="B54" s="52"/>
      <c r="C54" s="89"/>
      <c r="D54" s="292"/>
      <c r="E54" s="4"/>
      <c r="F54" s="1"/>
      <c r="G54" s="2"/>
      <c r="H54" s="5"/>
      <c r="J54" s="2"/>
      <c r="M54" s="93"/>
      <c r="N54" s="96"/>
      <c r="P54" s="93"/>
      <c r="T54" s="2"/>
      <c r="U54" s="2"/>
    </row>
    <row r="55" spans="1:21" ht="12.75">
      <c r="A55" s="81">
        <f>A54+1</f>
        <v>1236</v>
      </c>
      <c r="B55" s="271"/>
      <c r="C55" s="82"/>
      <c r="D55" s="267">
        <f>Opbrengsten!F110</f>
        <v>0</v>
      </c>
      <c r="E55" s="4"/>
      <c r="F55" s="1"/>
      <c r="G55" s="2"/>
      <c r="H55" s="5"/>
      <c r="J55" s="2"/>
      <c r="M55" s="93"/>
      <c r="N55" s="96"/>
      <c r="P55" s="93"/>
      <c r="T55" s="2"/>
      <c r="U55" s="2"/>
    </row>
    <row r="56" spans="1:21" ht="12.75">
      <c r="A56" s="37">
        <f>A55+1</f>
        <v>1237</v>
      </c>
      <c r="B56" s="52"/>
      <c r="C56" s="80"/>
      <c r="D56" s="292"/>
      <c r="E56" s="4"/>
      <c r="F56" s="1"/>
      <c r="G56" s="2"/>
      <c r="H56" s="5"/>
      <c r="J56" s="2"/>
      <c r="M56" s="93"/>
      <c r="N56" s="96"/>
      <c r="P56" s="93"/>
      <c r="T56" s="2"/>
      <c r="U56" s="2"/>
    </row>
    <row r="58" spans="1:11" ht="12.75">
      <c r="A58" s="14" t="s">
        <v>146</v>
      </c>
      <c r="B58" s="17"/>
      <c r="C58" s="97"/>
      <c r="D58" s="17"/>
      <c r="E58" s="17"/>
      <c r="F58" s="18"/>
      <c r="G58" s="98"/>
      <c r="H58" s="17"/>
      <c r="I58" s="19"/>
      <c r="J58" s="17"/>
      <c r="K58" s="93"/>
    </row>
    <row r="59" spans="1:11" ht="12.75">
      <c r="A59" s="174"/>
      <c r="B59" s="99"/>
      <c r="C59" s="100"/>
      <c r="D59" s="101"/>
      <c r="E59" s="102"/>
      <c r="F59" s="103"/>
      <c r="G59" s="102"/>
      <c r="H59" s="103"/>
      <c r="I59" s="103"/>
      <c r="J59" s="103"/>
      <c r="K59" s="104"/>
    </row>
    <row r="60" spans="1:21" ht="12.75">
      <c r="A60" s="211"/>
      <c r="B60" s="105" t="s">
        <v>117</v>
      </c>
      <c r="C60" s="209" t="s">
        <v>215</v>
      </c>
      <c r="D60" s="299"/>
      <c r="E60" s="300" t="s">
        <v>216</v>
      </c>
      <c r="F60" s="301"/>
      <c r="G60" s="209" t="e">
        <f>CONCATENATE("Jaarrekening ",#REF!)</f>
        <v>#REF!</v>
      </c>
      <c r="H60" s="302"/>
      <c r="I60" s="303"/>
      <c r="J60" s="2"/>
      <c r="M60" s="93"/>
      <c r="N60" s="96"/>
      <c r="P60" s="93"/>
      <c r="T60" s="2"/>
      <c r="U60" s="2"/>
    </row>
    <row r="61" spans="1:21" ht="12.75">
      <c r="A61" s="211"/>
      <c r="B61" s="106" t="e">
        <f>#REF!-1</f>
        <v>#REF!</v>
      </c>
      <c r="C61" s="106" t="e">
        <f>CONCATENATE("Doorw. ",#REF!-1," ")</f>
        <v>#REF!</v>
      </c>
      <c r="D61" s="106" t="e">
        <f>#REF!</f>
        <v>#REF!</v>
      </c>
      <c r="E61" s="106" t="e">
        <f>CONCATENATE("Doorw. ",#REF!-1," ")</f>
        <v>#REF!</v>
      </c>
      <c r="F61" s="107" t="e">
        <f>CONCATENATE(#REF!,"* ")</f>
        <v>#REF!</v>
      </c>
      <c r="G61" s="108" t="s">
        <v>117</v>
      </c>
      <c r="H61" s="109" t="s">
        <v>217</v>
      </c>
      <c r="I61" s="107" t="s">
        <v>116</v>
      </c>
      <c r="J61" s="2"/>
      <c r="M61" s="93"/>
      <c r="N61" s="96"/>
      <c r="P61" s="93"/>
      <c r="T61" s="2"/>
      <c r="U61" s="2"/>
    </row>
    <row r="62" spans="1:11" ht="12.75">
      <c r="A62" s="20"/>
      <c r="B62" s="20"/>
      <c r="C62" s="20"/>
      <c r="D62" s="20"/>
      <c r="E62" s="20"/>
      <c r="F62" s="20"/>
      <c r="G62" s="20"/>
      <c r="H62" s="20"/>
      <c r="I62" s="20"/>
      <c r="J62" s="20"/>
      <c r="K62" s="42"/>
    </row>
    <row r="63" spans="1:11" ht="12.75">
      <c r="A63" s="41" t="s">
        <v>163</v>
      </c>
      <c r="B63" s="44" t="s">
        <v>164</v>
      </c>
      <c r="C63" s="110"/>
      <c r="D63" s="111"/>
      <c r="E63" s="112"/>
      <c r="F63" s="113"/>
      <c r="G63" s="112"/>
      <c r="H63" s="113"/>
      <c r="I63" s="113"/>
      <c r="J63" s="113"/>
      <c r="K63" s="47"/>
    </row>
    <row r="64" spans="1:21" ht="12.75">
      <c r="A64" s="31">
        <f>Afschrijvingen!A10</f>
        <v>1301</v>
      </c>
      <c r="B64" s="267">
        <f>Afschrijvingen!D10</f>
        <v>0</v>
      </c>
      <c r="C64" s="304">
        <f>Afschrijvingen!E10</f>
        <v>0</v>
      </c>
      <c r="D64" s="304">
        <f>Afschrijvingen!F10</f>
        <v>0</v>
      </c>
      <c r="E64" s="267">
        <f>Afschrijvingen!G10</f>
        <v>0</v>
      </c>
      <c r="F64" s="267">
        <f>Afschrijvingen!H10</f>
        <v>0</v>
      </c>
      <c r="G64" s="305"/>
      <c r="H64" s="267">
        <f>Afschrijvingen!J10</f>
        <v>0</v>
      </c>
      <c r="I64" s="267">
        <f>Afschrijvingen!K10</f>
        <v>0</v>
      </c>
      <c r="J64" s="2"/>
      <c r="M64" s="93"/>
      <c r="N64" s="96"/>
      <c r="P64" s="93"/>
      <c r="T64" s="2"/>
      <c r="U64" s="2"/>
    </row>
    <row r="65" spans="1:21" ht="12.75">
      <c r="A65" s="34">
        <f aca="true" t="shared" si="2" ref="A65:A76">A64+1</f>
        <v>1302</v>
      </c>
      <c r="B65" s="267">
        <f>Afschrijvingen!D11</f>
        <v>0</v>
      </c>
      <c r="C65" s="304">
        <f>Afschrijvingen!E11</f>
        <v>0</v>
      </c>
      <c r="D65" s="304">
        <f>Afschrijvingen!F11</f>
        <v>0</v>
      </c>
      <c r="E65" s="267">
        <f>Afschrijvingen!G11</f>
        <v>0</v>
      </c>
      <c r="F65" s="267">
        <f>Afschrijvingen!H11</f>
        <v>0</v>
      </c>
      <c r="G65" s="305"/>
      <c r="H65" s="267">
        <f>Afschrijvingen!J11</f>
        <v>0</v>
      </c>
      <c r="I65" s="267">
        <f>Afschrijvingen!K11</f>
        <v>0</v>
      </c>
      <c r="J65" s="2"/>
      <c r="M65" s="93"/>
      <c r="N65" s="96"/>
      <c r="P65" s="93"/>
      <c r="T65" s="2"/>
      <c r="U65" s="2"/>
    </row>
    <row r="66" spans="1:21" ht="12.75">
      <c r="A66" s="34">
        <f t="shared" si="2"/>
        <v>1303</v>
      </c>
      <c r="B66" s="267">
        <f>Afschrijvingen!D12</f>
        <v>0</v>
      </c>
      <c r="C66" s="304">
        <f>Afschrijvingen!E12</f>
        <v>0</v>
      </c>
      <c r="D66" s="304">
        <f>Afschrijvingen!F12</f>
        <v>0</v>
      </c>
      <c r="E66" s="267">
        <f>Afschrijvingen!G12</f>
        <v>0</v>
      </c>
      <c r="F66" s="267">
        <f>Afschrijvingen!H12</f>
        <v>0</v>
      </c>
      <c r="G66" s="305"/>
      <c r="H66" s="267">
        <f>Afschrijvingen!J12</f>
        <v>0</v>
      </c>
      <c r="I66" s="267">
        <f>Afschrijvingen!K12</f>
        <v>0</v>
      </c>
      <c r="J66" s="2"/>
      <c r="M66" s="93"/>
      <c r="N66" s="96"/>
      <c r="P66" s="93"/>
      <c r="T66" s="2"/>
      <c r="U66" s="2"/>
    </row>
    <row r="67" spans="1:21" ht="12.75">
      <c r="A67" s="34">
        <f t="shared" si="2"/>
        <v>1304</v>
      </c>
      <c r="B67" s="267">
        <f>Afschrijvingen!D13</f>
        <v>0</v>
      </c>
      <c r="C67" s="304">
        <f>Afschrijvingen!E13</f>
        <v>0</v>
      </c>
      <c r="D67" s="304">
        <f>Afschrijvingen!F13</f>
        <v>0</v>
      </c>
      <c r="E67" s="267">
        <f>Afschrijvingen!G13</f>
        <v>0</v>
      </c>
      <c r="F67" s="267">
        <f>Afschrijvingen!H13</f>
        <v>0</v>
      </c>
      <c r="G67" s="305"/>
      <c r="H67" s="267">
        <f>Afschrijvingen!J13</f>
        <v>0</v>
      </c>
      <c r="I67" s="267">
        <f>Afschrijvingen!K13</f>
        <v>0</v>
      </c>
      <c r="J67" s="2"/>
      <c r="M67" s="93"/>
      <c r="N67" s="96"/>
      <c r="P67" s="93"/>
      <c r="T67" s="2"/>
      <c r="U67" s="2"/>
    </row>
    <row r="68" spans="1:21" ht="12.75">
      <c r="A68" s="34">
        <f t="shared" si="2"/>
        <v>1305</v>
      </c>
      <c r="B68" s="267">
        <f>Afschrijvingen!D14</f>
        <v>0</v>
      </c>
      <c r="C68" s="304">
        <f>Afschrijvingen!E14</f>
        <v>0</v>
      </c>
      <c r="D68" s="304">
        <f>Afschrijvingen!F14</f>
        <v>0</v>
      </c>
      <c r="E68" s="267">
        <f>Afschrijvingen!G14</f>
        <v>0</v>
      </c>
      <c r="F68" s="267">
        <f>Afschrijvingen!H14</f>
        <v>0</v>
      </c>
      <c r="G68" s="305"/>
      <c r="H68" s="267">
        <f>Afschrijvingen!J14</f>
        <v>0</v>
      </c>
      <c r="I68" s="267">
        <f>Afschrijvingen!K14</f>
        <v>0</v>
      </c>
      <c r="J68" s="2"/>
      <c r="M68" s="93"/>
      <c r="N68" s="96"/>
      <c r="P68" s="93"/>
      <c r="T68" s="2"/>
      <c r="U68" s="2"/>
    </row>
    <row r="69" spans="1:21" ht="12.75">
      <c r="A69" s="34">
        <f t="shared" si="2"/>
        <v>1306</v>
      </c>
      <c r="B69" s="267">
        <f>Afschrijvingen!D15</f>
        <v>0</v>
      </c>
      <c r="C69" s="304">
        <f>Afschrijvingen!E15</f>
        <v>0</v>
      </c>
      <c r="D69" s="304">
        <f>Afschrijvingen!F15</f>
        <v>0</v>
      </c>
      <c r="E69" s="267">
        <f>Afschrijvingen!G15</f>
        <v>0</v>
      </c>
      <c r="F69" s="267">
        <f>Afschrijvingen!H15</f>
        <v>0</v>
      </c>
      <c r="G69" s="305"/>
      <c r="H69" s="267">
        <f>Afschrijvingen!J15</f>
        <v>0</v>
      </c>
      <c r="I69" s="267">
        <f>Afschrijvingen!K15</f>
        <v>0</v>
      </c>
      <c r="J69" s="2"/>
      <c r="M69" s="93"/>
      <c r="N69" s="96"/>
      <c r="P69" s="93"/>
      <c r="T69" s="2"/>
      <c r="U69" s="2"/>
    </row>
    <row r="70" spans="1:21" ht="12.75">
      <c r="A70" s="34">
        <f t="shared" si="2"/>
        <v>1307</v>
      </c>
      <c r="B70" s="267">
        <f>Afschrijvingen!D16</f>
        <v>0</v>
      </c>
      <c r="C70" s="304">
        <f>Afschrijvingen!E16</f>
        <v>0</v>
      </c>
      <c r="D70" s="304">
        <f>Afschrijvingen!F16</f>
        <v>0</v>
      </c>
      <c r="E70" s="267">
        <f>Afschrijvingen!G16</f>
        <v>0</v>
      </c>
      <c r="F70" s="267">
        <f>Afschrijvingen!H16</f>
        <v>0</v>
      </c>
      <c r="G70" s="305"/>
      <c r="H70" s="267">
        <f>Afschrijvingen!J16</f>
        <v>0</v>
      </c>
      <c r="I70" s="267">
        <f>Afschrijvingen!K16</f>
        <v>0</v>
      </c>
      <c r="J70" s="2"/>
      <c r="M70" s="93"/>
      <c r="N70" s="96"/>
      <c r="P70" s="93"/>
      <c r="T70" s="2"/>
      <c r="U70" s="2"/>
    </row>
    <row r="71" spans="1:21" ht="12.75">
      <c r="A71" s="34">
        <f t="shared" si="2"/>
        <v>1308</v>
      </c>
      <c r="B71" s="267">
        <f>Afschrijvingen!D17</f>
        <v>0</v>
      </c>
      <c r="C71" s="304">
        <f>Afschrijvingen!E17</f>
        <v>0</v>
      </c>
      <c r="D71" s="304">
        <f>Afschrijvingen!F17</f>
        <v>0</v>
      </c>
      <c r="E71" s="267">
        <f>Afschrijvingen!G17</f>
        <v>0</v>
      </c>
      <c r="F71" s="267">
        <f>Afschrijvingen!H17</f>
        <v>0</v>
      </c>
      <c r="G71" s="305"/>
      <c r="H71" s="267">
        <f>Afschrijvingen!J17</f>
        <v>0</v>
      </c>
      <c r="I71" s="267">
        <f>Afschrijvingen!K17</f>
        <v>0</v>
      </c>
      <c r="J71" s="2"/>
      <c r="M71" s="93"/>
      <c r="N71" s="96"/>
      <c r="P71" s="93"/>
      <c r="T71" s="2"/>
      <c r="U71" s="2"/>
    </row>
    <row r="72" spans="1:21" ht="12.75">
      <c r="A72" s="34">
        <f t="shared" si="2"/>
        <v>1309</v>
      </c>
      <c r="B72" s="267">
        <f>Afschrijvingen!D18</f>
        <v>0</v>
      </c>
      <c r="C72" s="304">
        <f>Afschrijvingen!E18</f>
        <v>0</v>
      </c>
      <c r="D72" s="304">
        <f>Afschrijvingen!F18</f>
        <v>0</v>
      </c>
      <c r="E72" s="267">
        <f>Afschrijvingen!G18</f>
        <v>0</v>
      </c>
      <c r="F72" s="267">
        <f>Afschrijvingen!H18</f>
        <v>0</v>
      </c>
      <c r="G72" s="305"/>
      <c r="H72" s="267">
        <f>Afschrijvingen!J18</f>
        <v>0</v>
      </c>
      <c r="I72" s="267">
        <f>Afschrijvingen!K18</f>
        <v>0</v>
      </c>
      <c r="J72" s="2"/>
      <c r="M72" s="93"/>
      <c r="N72" s="96"/>
      <c r="P72" s="93"/>
      <c r="T72" s="2"/>
      <c r="U72" s="2"/>
    </row>
    <row r="73" spans="1:21" ht="12.75">
      <c r="A73" s="54">
        <f t="shared" si="2"/>
        <v>1310</v>
      </c>
      <c r="B73" s="267">
        <f>Afschrijvingen!D19</f>
        <v>0</v>
      </c>
      <c r="C73" s="306">
        <f>Afschrijvingen!E19</f>
        <v>0</v>
      </c>
      <c r="D73" s="306">
        <f>Afschrijvingen!F19</f>
        <v>0</v>
      </c>
      <c r="E73" s="267">
        <f>Afschrijvingen!G19</f>
        <v>0</v>
      </c>
      <c r="F73" s="267">
        <f>Afschrijvingen!H19</f>
        <v>0</v>
      </c>
      <c r="G73" s="305"/>
      <c r="H73" s="267">
        <f>Afschrijvingen!J19</f>
        <v>0</v>
      </c>
      <c r="I73" s="267">
        <f>Afschrijvingen!K19</f>
        <v>0</v>
      </c>
      <c r="J73" s="2"/>
      <c r="M73" s="93"/>
      <c r="N73" s="96"/>
      <c r="P73" s="93"/>
      <c r="T73" s="2"/>
      <c r="U73" s="2"/>
    </row>
    <row r="74" spans="1:21" ht="12.75">
      <c r="A74" s="37">
        <f t="shared" si="2"/>
        <v>1311</v>
      </c>
      <c r="B74" s="307"/>
      <c r="C74" s="308"/>
      <c r="D74" s="308"/>
      <c r="E74" s="307"/>
      <c r="F74" s="307"/>
      <c r="G74" s="292"/>
      <c r="H74" s="292"/>
      <c r="I74" s="292"/>
      <c r="J74" s="2"/>
      <c r="M74" s="93"/>
      <c r="N74" s="96"/>
      <c r="P74" s="93"/>
      <c r="T74" s="2"/>
      <c r="U74" s="2"/>
    </row>
    <row r="75" spans="1:21" ht="12.75">
      <c r="A75" s="81">
        <f t="shared" si="2"/>
        <v>1312</v>
      </c>
      <c r="B75" s="309"/>
      <c r="C75" s="309"/>
      <c r="D75" s="310"/>
      <c r="E75" s="309"/>
      <c r="F75" s="309"/>
      <c r="G75" s="267">
        <f>Afschrijvingen!I21</f>
        <v>0</v>
      </c>
      <c r="H75" s="267">
        <f>Afschrijvingen!J21</f>
        <v>0</v>
      </c>
      <c r="I75" s="267">
        <f>Afschrijvingen!K21</f>
        <v>0</v>
      </c>
      <c r="J75" s="2"/>
      <c r="M75" s="93"/>
      <c r="N75" s="96"/>
      <c r="P75" s="93"/>
      <c r="T75" s="2"/>
      <c r="U75" s="2"/>
    </row>
    <row r="76" spans="1:21" ht="12.75">
      <c r="A76" s="37">
        <f t="shared" si="2"/>
        <v>1313</v>
      </c>
      <c r="B76" s="311"/>
      <c r="C76" s="311"/>
      <c r="D76" s="311"/>
      <c r="E76" s="311"/>
      <c r="F76" s="311"/>
      <c r="G76" s="292">
        <f>G74-G75</f>
        <v>0</v>
      </c>
      <c r="H76" s="292">
        <f>H74-H75</f>
        <v>0</v>
      </c>
      <c r="I76" s="292">
        <f>I74-I75</f>
        <v>0</v>
      </c>
      <c r="J76" s="2"/>
      <c r="M76" s="93"/>
      <c r="N76" s="96"/>
      <c r="P76" s="93"/>
      <c r="T76" s="2"/>
      <c r="U76" s="2"/>
    </row>
    <row r="77" spans="1:11" ht="12.75">
      <c r="A77" s="114" t="e">
        <f>CONCATENATE("* zie ",Uitvoer!#REF!," ",Uitvoer!#REF!," op volgende pagina.")</f>
        <v>#REF!</v>
      </c>
      <c r="B77" s="115"/>
      <c r="C77" s="100"/>
      <c r="D77" s="101"/>
      <c r="E77" s="101"/>
      <c r="F77" s="103"/>
      <c r="G77" s="103"/>
      <c r="H77" s="103"/>
      <c r="I77" s="116"/>
      <c r="J77" s="117"/>
      <c r="K77" s="118"/>
    </row>
    <row r="78" spans="1:11" ht="12.75">
      <c r="A78" s="312"/>
      <c r="B78" s="115"/>
      <c r="C78" s="100"/>
      <c r="D78" s="101"/>
      <c r="E78" s="101"/>
      <c r="F78" s="103"/>
      <c r="G78" s="103"/>
      <c r="H78" s="103"/>
      <c r="I78" s="116"/>
      <c r="J78" s="117"/>
      <c r="K78" s="118"/>
    </row>
    <row r="79" spans="1:11" ht="12.75">
      <c r="A79" s="41" t="s">
        <v>169</v>
      </c>
      <c r="B79" s="45" t="s">
        <v>170</v>
      </c>
      <c r="C79" s="110"/>
      <c r="D79" s="119"/>
      <c r="E79" s="112"/>
      <c r="F79" s="90"/>
      <c r="G79" s="113"/>
      <c r="H79" s="120"/>
      <c r="I79" s="90"/>
      <c r="J79" s="84"/>
      <c r="K79" s="90"/>
    </row>
    <row r="80" spans="1:21" ht="12.75">
      <c r="A80" s="262">
        <f>A76+1</f>
        <v>1314</v>
      </c>
      <c r="B80" s="267">
        <f>Afschrijvingen!D31</f>
        <v>0</v>
      </c>
      <c r="C80" s="304">
        <f>Afschrijvingen!E31</f>
        <v>0</v>
      </c>
      <c r="D80" s="304">
        <f>Afschrijvingen!F31</f>
        <v>0</v>
      </c>
      <c r="E80" s="267">
        <f>Afschrijvingen!G31</f>
        <v>0</v>
      </c>
      <c r="F80" s="267">
        <f>Afschrijvingen!H31</f>
        <v>0</v>
      </c>
      <c r="G80" s="305">
        <f aca="true" t="shared" si="3" ref="G80:G85">B80+F80</f>
        <v>0</v>
      </c>
      <c r="H80" s="267">
        <f>Afschrijvingen!J31</f>
        <v>0</v>
      </c>
      <c r="I80" s="267">
        <f>Afschrijvingen!K31</f>
        <v>0</v>
      </c>
      <c r="J80" s="2"/>
      <c r="M80" s="93"/>
      <c r="N80" s="96"/>
      <c r="P80" s="93"/>
      <c r="T80" s="2"/>
      <c r="U80" s="2"/>
    </row>
    <row r="81" spans="1:21" ht="12.75">
      <c r="A81" s="34">
        <f aca="true" t="shared" si="4" ref="A81:A86">A80+1</f>
        <v>1315</v>
      </c>
      <c r="B81" s="267">
        <f>Afschrijvingen!D32</f>
        <v>0</v>
      </c>
      <c r="C81" s="304">
        <f>Afschrijvingen!E32</f>
        <v>0</v>
      </c>
      <c r="D81" s="304">
        <f>Afschrijvingen!F32</f>
        <v>0</v>
      </c>
      <c r="E81" s="267">
        <f>Afschrijvingen!G32</f>
        <v>0</v>
      </c>
      <c r="F81" s="267">
        <f>Afschrijvingen!H32</f>
        <v>0</v>
      </c>
      <c r="G81" s="305">
        <f t="shared" si="3"/>
        <v>0</v>
      </c>
      <c r="H81" s="267">
        <f>Afschrijvingen!J32</f>
        <v>0</v>
      </c>
      <c r="I81" s="267">
        <f>Afschrijvingen!K32</f>
        <v>0</v>
      </c>
      <c r="J81" s="2"/>
      <c r="M81" s="93"/>
      <c r="N81" s="96"/>
      <c r="P81" s="93"/>
      <c r="T81" s="2"/>
      <c r="U81" s="2"/>
    </row>
    <row r="82" spans="1:21" ht="12.75">
      <c r="A82" s="34">
        <f t="shared" si="4"/>
        <v>1316</v>
      </c>
      <c r="B82" s="267">
        <f>Afschrijvingen!D33</f>
        <v>0</v>
      </c>
      <c r="C82" s="304">
        <f>Afschrijvingen!E33</f>
        <v>0</v>
      </c>
      <c r="D82" s="304">
        <f>Afschrijvingen!F33</f>
        <v>0</v>
      </c>
      <c r="E82" s="267">
        <f>Afschrijvingen!G33</f>
        <v>0</v>
      </c>
      <c r="F82" s="267">
        <f>Afschrijvingen!H33</f>
        <v>0</v>
      </c>
      <c r="G82" s="305">
        <f t="shared" si="3"/>
        <v>0</v>
      </c>
      <c r="H82" s="267">
        <f>Afschrijvingen!J33</f>
        <v>0</v>
      </c>
      <c r="I82" s="267">
        <f>Afschrijvingen!K33</f>
        <v>0</v>
      </c>
      <c r="J82" s="2"/>
      <c r="M82" s="93"/>
      <c r="N82" s="96"/>
      <c r="P82" s="93"/>
      <c r="T82" s="2"/>
      <c r="U82" s="2"/>
    </row>
    <row r="83" spans="1:21" ht="12.75">
      <c r="A83" s="34">
        <f t="shared" si="4"/>
        <v>1317</v>
      </c>
      <c r="B83" s="267">
        <f>Afschrijvingen!D34</f>
        <v>0</v>
      </c>
      <c r="C83" s="304">
        <f>Afschrijvingen!E34</f>
        <v>0</v>
      </c>
      <c r="D83" s="304">
        <f>Afschrijvingen!F34</f>
        <v>0</v>
      </c>
      <c r="E83" s="267">
        <f>Afschrijvingen!G34</f>
        <v>0</v>
      </c>
      <c r="F83" s="267">
        <f>Afschrijvingen!H34</f>
        <v>0</v>
      </c>
      <c r="G83" s="305">
        <f t="shared" si="3"/>
        <v>0</v>
      </c>
      <c r="H83" s="267">
        <f>Afschrijvingen!J34</f>
        <v>0</v>
      </c>
      <c r="I83" s="267">
        <f>Afschrijvingen!K34</f>
        <v>0</v>
      </c>
      <c r="J83" s="2"/>
      <c r="M83" s="93"/>
      <c r="N83" s="96"/>
      <c r="P83" s="93"/>
      <c r="T83" s="2"/>
      <c r="U83" s="2"/>
    </row>
    <row r="84" spans="1:21" ht="12.75">
      <c r="A84" s="34">
        <f t="shared" si="4"/>
        <v>1318</v>
      </c>
      <c r="B84" s="267">
        <f>Afschrijvingen!D35</f>
        <v>0</v>
      </c>
      <c r="C84" s="304">
        <f>Afschrijvingen!E35</f>
        <v>0</v>
      </c>
      <c r="D84" s="304">
        <f>Afschrijvingen!F35</f>
        <v>0</v>
      </c>
      <c r="E84" s="267">
        <f>Afschrijvingen!G35</f>
        <v>0</v>
      </c>
      <c r="F84" s="267">
        <f>Afschrijvingen!H35</f>
        <v>0</v>
      </c>
      <c r="G84" s="305">
        <f t="shared" si="3"/>
        <v>0</v>
      </c>
      <c r="H84" s="267">
        <f>Afschrijvingen!J35</f>
        <v>0</v>
      </c>
      <c r="I84" s="267">
        <f>Afschrijvingen!K35</f>
        <v>0</v>
      </c>
      <c r="J84" s="2"/>
      <c r="M84" s="93"/>
      <c r="N84" s="96"/>
      <c r="P84" s="93"/>
      <c r="T84" s="2"/>
      <c r="U84" s="2"/>
    </row>
    <row r="85" spans="1:21" ht="12.75">
      <c r="A85" s="54">
        <f t="shared" si="4"/>
        <v>1319</v>
      </c>
      <c r="B85" s="267">
        <f>Afschrijvingen!D36</f>
        <v>0</v>
      </c>
      <c r="C85" s="306">
        <f>Afschrijvingen!E36</f>
        <v>0</v>
      </c>
      <c r="D85" s="306">
        <f>Afschrijvingen!F36</f>
        <v>0</v>
      </c>
      <c r="E85" s="267">
        <f>Afschrijvingen!G36</f>
        <v>0</v>
      </c>
      <c r="F85" s="267">
        <f>Afschrijvingen!H36</f>
        <v>0</v>
      </c>
      <c r="G85" s="305">
        <f t="shared" si="3"/>
        <v>0</v>
      </c>
      <c r="H85" s="267">
        <f>Afschrijvingen!J36</f>
        <v>0</v>
      </c>
      <c r="I85" s="267">
        <f>Afschrijvingen!K36</f>
        <v>0</v>
      </c>
      <c r="J85" s="2"/>
      <c r="M85" s="93"/>
      <c r="N85" s="96"/>
      <c r="P85" s="93"/>
      <c r="T85" s="2"/>
      <c r="U85" s="2"/>
    </row>
    <row r="86" spans="1:21" ht="12.75">
      <c r="A86" s="37">
        <f t="shared" si="4"/>
        <v>1320</v>
      </c>
      <c r="B86" s="307"/>
      <c r="C86" s="308"/>
      <c r="D86" s="308"/>
      <c r="E86" s="307"/>
      <c r="F86" s="307"/>
      <c r="G86" s="307"/>
      <c r="H86" s="307"/>
      <c r="I86" s="307"/>
      <c r="J86" s="2"/>
      <c r="M86" s="93"/>
      <c r="N86" s="96"/>
      <c r="P86" s="93"/>
      <c r="T86" s="2"/>
      <c r="U86" s="2"/>
    </row>
    <row r="87" spans="3:10" ht="12.75">
      <c r="C87" s="122"/>
      <c r="D87" s="2"/>
      <c r="G87" s="2"/>
      <c r="H87" s="2"/>
      <c r="J87" s="2"/>
    </row>
    <row r="89" spans="1:21" ht="12.75">
      <c r="A89" s="21"/>
      <c r="B89" s="199"/>
      <c r="C89" s="25" t="s">
        <v>173</v>
      </c>
      <c r="D89" s="25" t="s">
        <v>174</v>
      </c>
      <c r="E89" s="62"/>
      <c r="F89" s="24"/>
      <c r="G89" s="21"/>
      <c r="H89" s="25" t="s">
        <v>167</v>
      </c>
      <c r="J89" s="2"/>
      <c r="M89" s="93"/>
      <c r="N89" s="96"/>
      <c r="P89" s="93"/>
      <c r="T89" s="2"/>
      <c r="U89" s="2"/>
    </row>
    <row r="90" spans="1:21" ht="12.75">
      <c r="A90" s="26"/>
      <c r="B90" s="27"/>
      <c r="C90" s="28"/>
      <c r="D90" s="29"/>
      <c r="E90" s="30"/>
      <c r="F90" s="27"/>
      <c r="G90" s="90"/>
      <c r="H90" s="29"/>
      <c r="J90" s="2"/>
      <c r="M90" s="93"/>
      <c r="N90" s="96"/>
      <c r="P90" s="93"/>
      <c r="T90" s="2"/>
      <c r="U90" s="2"/>
    </row>
    <row r="91" spans="1:21" ht="12.75">
      <c r="A91" s="124" t="s">
        <v>176</v>
      </c>
      <c r="B91" s="45" t="s">
        <v>171</v>
      </c>
      <c r="C91" s="313"/>
      <c r="D91" s="314"/>
      <c r="E91" s="314"/>
      <c r="F91" s="41" t="s">
        <v>277</v>
      </c>
      <c r="G91" s="315" t="s">
        <v>175</v>
      </c>
      <c r="H91" s="314"/>
      <c r="J91" s="2"/>
      <c r="M91" s="93"/>
      <c r="N91" s="96"/>
      <c r="P91" s="93"/>
      <c r="T91" s="2"/>
      <c r="U91" s="2"/>
    </row>
    <row r="92" spans="1:21" ht="12.75">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ht="12.75">
      <c r="A93" s="126" t="e">
        <f aca="true" t="shared" si="5" ref="A93:A98">A92+1</f>
        <v>#REF!</v>
      </c>
      <c r="B93" s="316"/>
      <c r="C93" s="304" t="e">
        <f>#REF!</f>
        <v>#REF!</v>
      </c>
      <c r="D93" s="319" t="e">
        <f>#REF!</f>
        <v>#REF!</v>
      </c>
      <c r="E93" s="318"/>
      <c r="F93" s="135" t="e">
        <f aca="true" t="shared" si="6" ref="F93:F115">F92+1</f>
        <v>#REF!</v>
      </c>
      <c r="G93" s="264" t="e">
        <f>#REF!</f>
        <v>#REF!</v>
      </c>
      <c r="H93" s="267" t="e">
        <f>#REF!</f>
        <v>#REF!</v>
      </c>
      <c r="J93" s="2"/>
      <c r="M93" s="93"/>
      <c r="N93" s="96"/>
      <c r="P93" s="93"/>
      <c r="T93" s="2"/>
      <c r="U93" s="2"/>
    </row>
    <row r="94" spans="1:21" ht="12.75">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ht="12.75">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ht="12.75">
      <c r="A96" s="129" t="e">
        <f t="shared" si="5"/>
        <v>#REF!</v>
      </c>
      <c r="B96" s="292"/>
      <c r="C96" s="292"/>
      <c r="D96" s="292"/>
      <c r="E96" s="318"/>
      <c r="F96" s="135" t="e">
        <f t="shared" si="6"/>
        <v>#REF!</v>
      </c>
      <c r="G96" s="264" t="e">
        <f>#REF!</f>
        <v>#REF!</v>
      </c>
      <c r="H96" s="267" t="e">
        <f>#REF!</f>
        <v>#REF!</v>
      </c>
      <c r="J96" s="2"/>
      <c r="M96" s="93"/>
      <c r="N96" s="96"/>
      <c r="P96" s="93"/>
      <c r="T96" s="2"/>
      <c r="U96" s="2"/>
    </row>
    <row r="97" spans="1:21" ht="12.75">
      <c r="A97" s="129" t="e">
        <f t="shared" si="5"/>
        <v>#REF!</v>
      </c>
      <c r="B97" s="320"/>
      <c r="C97" s="305"/>
      <c r="D97" s="322"/>
      <c r="E97" s="318"/>
      <c r="F97" s="135" t="e">
        <f t="shared" si="6"/>
        <v>#REF!</v>
      </c>
      <c r="G97" s="264" t="e">
        <f>#REF!</f>
        <v>#REF!</v>
      </c>
      <c r="H97" s="267" t="e">
        <f>#REF!</f>
        <v>#REF!</v>
      </c>
      <c r="J97" s="2"/>
      <c r="M97" s="93"/>
      <c r="N97" s="96"/>
      <c r="P97" s="93"/>
      <c r="T97" s="2"/>
      <c r="U97" s="2"/>
    </row>
    <row r="98" spans="1:21" ht="12.75">
      <c r="A98" s="129" t="e">
        <f t="shared" si="5"/>
        <v>#REF!</v>
      </c>
      <c r="B98" s="323"/>
      <c r="C98" s="307"/>
      <c r="D98" s="292"/>
      <c r="E98" s="318"/>
      <c r="F98" s="135" t="e">
        <f t="shared" si="6"/>
        <v>#REF!</v>
      </c>
      <c r="G98" s="264" t="e">
        <f>#REF!</f>
        <v>#REF!</v>
      </c>
      <c r="H98" s="267" t="e">
        <f>#REF!</f>
        <v>#REF!</v>
      </c>
      <c r="J98" s="2"/>
      <c r="M98" s="93"/>
      <c r="N98" s="96"/>
      <c r="P98" s="93"/>
      <c r="T98" s="2"/>
      <c r="U98" s="2"/>
    </row>
    <row r="99" spans="1:21" ht="12.75">
      <c r="A99" s="131"/>
      <c r="B99" s="314"/>
      <c r="C99" s="314"/>
      <c r="D99" s="314"/>
      <c r="E99" s="318"/>
      <c r="F99" s="135" t="e">
        <f t="shared" si="6"/>
        <v>#REF!</v>
      </c>
      <c r="G99" s="264" t="e">
        <f>#REF!</f>
        <v>#REF!</v>
      </c>
      <c r="H99" s="267" t="e">
        <f>#REF!</f>
        <v>#REF!</v>
      </c>
      <c r="J99" s="2"/>
      <c r="M99" s="93"/>
      <c r="N99" s="96"/>
      <c r="P99" s="93"/>
      <c r="T99" s="2"/>
      <c r="U99" s="2"/>
    </row>
    <row r="100" spans="1:21" ht="12.75">
      <c r="A100" s="83"/>
      <c r="B100" s="132"/>
      <c r="C100" s="132"/>
      <c r="D100" s="119"/>
      <c r="E100" s="314"/>
      <c r="F100" s="135" t="e">
        <f t="shared" si="6"/>
        <v>#REF!</v>
      </c>
      <c r="G100" s="264" t="e">
        <f>#REF!</f>
        <v>#REF!</v>
      </c>
      <c r="H100" s="267" t="e">
        <f>#REF!</f>
        <v>#REF!</v>
      </c>
      <c r="J100" s="2"/>
      <c r="M100" s="93"/>
      <c r="N100" s="96"/>
      <c r="P100" s="93"/>
      <c r="T100" s="2"/>
      <c r="U100" s="2"/>
    </row>
    <row r="101" spans="1:21" ht="12.75">
      <c r="A101" s="284"/>
      <c r="B101" s="324"/>
      <c r="C101" s="324"/>
      <c r="D101" s="324"/>
      <c r="E101" s="314"/>
      <c r="F101" s="135" t="e">
        <f t="shared" si="6"/>
        <v>#REF!</v>
      </c>
      <c r="G101" s="264" t="e">
        <f>#REF!</f>
        <v>#REF!</v>
      </c>
      <c r="H101" s="267" t="e">
        <f>#REF!</f>
        <v>#REF!</v>
      </c>
      <c r="J101" s="2"/>
      <c r="M101" s="93"/>
      <c r="N101" s="96"/>
      <c r="P101" s="93"/>
      <c r="T101" s="2"/>
      <c r="U101" s="2"/>
    </row>
    <row r="102" spans="1:21" ht="12.75">
      <c r="A102" s="83"/>
      <c r="B102" s="132"/>
      <c r="C102" s="325"/>
      <c r="D102" s="285"/>
      <c r="E102" s="119"/>
      <c r="F102" s="135" t="e">
        <f t="shared" si="6"/>
        <v>#REF!</v>
      </c>
      <c r="G102" s="264" t="e">
        <f>#REF!</f>
        <v>#REF!</v>
      </c>
      <c r="H102" s="267" t="e">
        <f>#REF!</f>
        <v>#REF!</v>
      </c>
      <c r="J102" s="2"/>
      <c r="M102" s="93"/>
      <c r="N102" s="96"/>
      <c r="P102" s="93"/>
      <c r="T102" s="2"/>
      <c r="U102" s="2"/>
    </row>
    <row r="103" spans="1:21" ht="12.75">
      <c r="A103" s="286"/>
      <c r="B103" s="84"/>
      <c r="C103" s="282"/>
      <c r="D103" s="326"/>
      <c r="E103" s="314"/>
      <c r="F103" s="135" t="e">
        <f t="shared" si="6"/>
        <v>#REF!</v>
      </c>
      <c r="G103" s="264" t="e">
        <f>#REF!</f>
        <v>#REF!</v>
      </c>
      <c r="H103" s="267" t="e">
        <f>#REF!</f>
        <v>#REF!</v>
      </c>
      <c r="J103" s="2"/>
      <c r="M103" s="93"/>
      <c r="N103" s="96"/>
      <c r="P103" s="93"/>
      <c r="T103" s="2"/>
      <c r="U103" s="2"/>
    </row>
    <row r="104" spans="1:21" ht="12.75">
      <c r="A104" s="286"/>
      <c r="B104" s="84"/>
      <c r="C104" s="84"/>
      <c r="D104" s="326"/>
      <c r="E104" s="314"/>
      <c r="F104" s="135" t="e">
        <f t="shared" si="6"/>
        <v>#REF!</v>
      </c>
      <c r="G104" s="264" t="e">
        <f>#REF!</f>
        <v>#REF!</v>
      </c>
      <c r="H104" s="267" t="e">
        <f>#REF!</f>
        <v>#REF!</v>
      </c>
      <c r="J104" s="2"/>
      <c r="M104" s="93"/>
      <c r="N104" s="96"/>
      <c r="P104" s="93"/>
      <c r="T104" s="2"/>
      <c r="U104" s="2"/>
    </row>
    <row r="105" spans="1:21" ht="12.75">
      <c r="A105" s="286"/>
      <c r="B105" s="84"/>
      <c r="C105" s="84"/>
      <c r="D105" s="326"/>
      <c r="E105" s="314"/>
      <c r="F105" s="135" t="e">
        <f t="shared" si="6"/>
        <v>#REF!</v>
      </c>
      <c r="G105" s="264" t="e">
        <f>#REF!</f>
        <v>#REF!</v>
      </c>
      <c r="H105" s="267" t="e">
        <f>#REF!</f>
        <v>#REF!</v>
      </c>
      <c r="J105" s="2"/>
      <c r="M105" s="93"/>
      <c r="N105" s="96"/>
      <c r="P105" s="93"/>
      <c r="T105" s="2"/>
      <c r="U105" s="2"/>
    </row>
    <row r="106" spans="1:21" ht="12.75">
      <c r="A106" s="286"/>
      <c r="B106" s="84"/>
      <c r="C106" s="84"/>
      <c r="D106" s="326"/>
      <c r="E106" s="314"/>
      <c r="F106" s="135" t="e">
        <f t="shared" si="6"/>
        <v>#REF!</v>
      </c>
      <c r="G106" s="264" t="e">
        <f>#REF!</f>
        <v>#REF!</v>
      </c>
      <c r="H106" s="267" t="e">
        <f>#REF!</f>
        <v>#REF!</v>
      </c>
      <c r="J106" s="2"/>
      <c r="M106" s="93"/>
      <c r="N106" s="96"/>
      <c r="P106" s="93"/>
      <c r="T106" s="2"/>
      <c r="U106" s="2"/>
    </row>
    <row r="107" spans="1:21" ht="12.75">
      <c r="A107" s="286"/>
      <c r="B107" s="84"/>
      <c r="C107" s="84"/>
      <c r="D107" s="326"/>
      <c r="E107" s="314"/>
      <c r="F107" s="135" t="e">
        <f t="shared" si="6"/>
        <v>#REF!</v>
      </c>
      <c r="G107" s="264" t="e">
        <f>#REF!</f>
        <v>#REF!</v>
      </c>
      <c r="H107" s="267" t="e">
        <f>#REF!</f>
        <v>#REF!</v>
      </c>
      <c r="J107" s="2"/>
      <c r="M107" s="93"/>
      <c r="N107" s="96"/>
      <c r="P107" s="93"/>
      <c r="T107" s="2"/>
      <c r="U107" s="2"/>
    </row>
    <row r="108" spans="1:21" ht="12.75">
      <c r="A108" s="286"/>
      <c r="B108" s="84"/>
      <c r="C108" s="309"/>
      <c r="D108" s="326"/>
      <c r="E108" s="314"/>
      <c r="F108" s="135" t="e">
        <f t="shared" si="6"/>
        <v>#REF!</v>
      </c>
      <c r="G108" s="264" t="e">
        <f>#REF!</f>
        <v>#REF!</v>
      </c>
      <c r="H108" s="267" t="e">
        <f>#REF!</f>
        <v>#REF!</v>
      </c>
      <c r="J108" s="2"/>
      <c r="M108" s="93"/>
      <c r="N108" s="96"/>
      <c r="P108" s="93"/>
      <c r="T108" s="2"/>
      <c r="U108" s="2"/>
    </row>
    <row r="109" spans="1:21" ht="12.75">
      <c r="A109" s="286"/>
      <c r="B109" s="327"/>
      <c r="C109" s="132"/>
      <c r="D109" s="328"/>
      <c r="E109" s="314"/>
      <c r="F109" s="135" t="e">
        <f t="shared" si="6"/>
        <v>#REF!</v>
      </c>
      <c r="G109" s="264" t="e">
        <f>#REF!</f>
        <v>#REF!</v>
      </c>
      <c r="H109" s="267" t="e">
        <f>#REF!</f>
        <v>#REF!</v>
      </c>
      <c r="J109" s="2"/>
      <c r="M109" s="93"/>
      <c r="N109" s="96"/>
      <c r="P109" s="93"/>
      <c r="T109" s="2"/>
      <c r="U109" s="2"/>
    </row>
    <row r="110" spans="1:21" ht="12.75">
      <c r="A110" s="287"/>
      <c r="B110" s="84"/>
      <c r="C110" s="325"/>
      <c r="D110" s="325"/>
      <c r="E110" s="314"/>
      <c r="F110" s="135" t="e">
        <f t="shared" si="6"/>
        <v>#REF!</v>
      </c>
      <c r="G110" s="264" t="e">
        <f>#REF!</f>
        <v>#REF!</v>
      </c>
      <c r="H110" s="267" t="e">
        <f>#REF!</f>
        <v>#REF!</v>
      </c>
      <c r="J110" s="2"/>
      <c r="M110" s="93"/>
      <c r="N110" s="96"/>
      <c r="P110" s="93"/>
      <c r="T110" s="2"/>
      <c r="U110" s="2"/>
    </row>
    <row r="111" spans="1:21" ht="12.75">
      <c r="A111" s="99"/>
      <c r="B111" s="84"/>
      <c r="C111" s="282"/>
      <c r="D111" s="326"/>
      <c r="E111" s="314"/>
      <c r="F111" s="135" t="e">
        <f t="shared" si="6"/>
        <v>#REF!</v>
      </c>
      <c r="G111" s="264" t="e">
        <f>#REF!</f>
        <v>#REF!</v>
      </c>
      <c r="H111" s="267" t="e">
        <f>#REF!</f>
        <v>#REF!</v>
      </c>
      <c r="J111" s="2"/>
      <c r="M111" s="93"/>
      <c r="N111" s="96"/>
      <c r="P111" s="93"/>
      <c r="T111" s="2"/>
      <c r="U111" s="2"/>
    </row>
    <row r="112" spans="1:21" ht="12.75">
      <c r="A112" s="286"/>
      <c r="B112" s="84"/>
      <c r="C112" s="84"/>
      <c r="D112" s="326"/>
      <c r="E112" s="314"/>
      <c r="F112" s="135" t="e">
        <f t="shared" si="6"/>
        <v>#REF!</v>
      </c>
      <c r="G112" s="264" t="e">
        <f>#REF!</f>
        <v>#REF!</v>
      </c>
      <c r="H112" s="267" t="e">
        <f>#REF!</f>
        <v>#REF!</v>
      </c>
      <c r="J112" s="2"/>
      <c r="M112" s="93"/>
      <c r="N112" s="96"/>
      <c r="P112" s="93"/>
      <c r="T112" s="2"/>
      <c r="U112" s="2"/>
    </row>
    <row r="113" spans="1:21" ht="12.75">
      <c r="A113" s="286"/>
      <c r="B113" s="327"/>
      <c r="C113" s="132"/>
      <c r="D113" s="328"/>
      <c r="E113" s="314"/>
      <c r="F113" s="130" t="e">
        <f t="shared" si="6"/>
        <v>#REF!</v>
      </c>
      <c r="G113" s="323"/>
      <c r="H113" s="292"/>
      <c r="J113" s="2"/>
      <c r="M113" s="93"/>
      <c r="N113" s="96"/>
      <c r="P113" s="93"/>
      <c r="T113" s="2"/>
      <c r="U113" s="2"/>
    </row>
    <row r="114" spans="1:21" ht="12.75">
      <c r="A114" s="84"/>
      <c r="B114" s="84"/>
      <c r="C114" s="325"/>
      <c r="D114" s="325"/>
      <c r="E114" s="42"/>
      <c r="F114" s="135" t="e">
        <f t="shared" si="6"/>
        <v>#REF!</v>
      </c>
      <c r="G114" s="226"/>
      <c r="H114" s="270" t="e">
        <f>#REF!</f>
        <v>#REF!</v>
      </c>
      <c r="J114" s="2"/>
      <c r="M114" s="93"/>
      <c r="N114" s="96"/>
      <c r="P114" s="93"/>
      <c r="T114" s="2"/>
      <c r="U114" s="2"/>
    </row>
    <row r="115" spans="1:21" ht="12.75">
      <c r="A115" s="286"/>
      <c r="B115" s="225"/>
      <c r="C115" s="132"/>
      <c r="D115" s="328"/>
      <c r="E115" s="42"/>
      <c r="F115" s="130" t="e">
        <f t="shared" si="6"/>
        <v>#REF!</v>
      </c>
      <c r="G115" s="323"/>
      <c r="H115" s="329"/>
      <c r="J115" s="2"/>
      <c r="M115" s="93"/>
      <c r="N115" s="96"/>
      <c r="P115" s="93"/>
      <c r="T115" s="2"/>
      <c r="U115" s="2"/>
    </row>
    <row r="116" spans="1:21" ht="12.75">
      <c r="A116" s="286"/>
      <c r="B116" s="330"/>
      <c r="C116" s="84"/>
      <c r="D116" s="326"/>
      <c r="E116" s="42"/>
      <c r="F116" s="318"/>
      <c r="G116" s="318"/>
      <c r="H116" s="318"/>
      <c r="J116" s="2"/>
      <c r="M116" s="93"/>
      <c r="N116" s="96"/>
      <c r="P116" s="93"/>
      <c r="T116" s="2"/>
      <c r="U116" s="2"/>
    </row>
    <row r="117" spans="1:21" ht="12.75">
      <c r="A117" s="287"/>
      <c r="B117" s="84"/>
      <c r="C117" s="325"/>
      <c r="D117" s="325"/>
      <c r="E117" s="42"/>
      <c r="F117" s="41" t="s">
        <v>181</v>
      </c>
      <c r="G117" s="315" t="s">
        <v>182</v>
      </c>
      <c r="H117" s="314"/>
      <c r="J117" s="2"/>
      <c r="M117" s="93"/>
      <c r="N117" s="96"/>
      <c r="P117" s="93"/>
      <c r="T117" s="2"/>
      <c r="U117" s="2"/>
    </row>
    <row r="118" spans="1:21" ht="12.75">
      <c r="A118" s="286"/>
      <c r="B118" s="84"/>
      <c r="C118" s="282"/>
      <c r="D118" s="326"/>
      <c r="E118" s="42"/>
      <c r="F118" s="133" t="e">
        <f>F115+1</f>
        <v>#REF!</v>
      </c>
      <c r="G118" s="264" t="e">
        <f>#REF!</f>
        <v>#REF!</v>
      </c>
      <c r="H118" s="267" t="e">
        <f>#REF!</f>
        <v>#REF!</v>
      </c>
      <c r="J118" s="2"/>
      <c r="M118" s="93"/>
      <c r="N118" s="96"/>
      <c r="P118" s="93"/>
      <c r="T118" s="2"/>
      <c r="U118" s="2"/>
    </row>
    <row r="119" spans="1:21" ht="12.75">
      <c r="A119" s="286"/>
      <c r="B119" s="84"/>
      <c r="C119" s="84"/>
      <c r="D119" s="326"/>
      <c r="E119" s="42"/>
      <c r="F119" s="133" t="e">
        <f>F118+1</f>
        <v>#REF!</v>
      </c>
      <c r="G119" s="264" t="e">
        <f>#REF!</f>
        <v>#REF!</v>
      </c>
      <c r="H119" s="267" t="e">
        <f>#REF!</f>
        <v>#REF!</v>
      </c>
      <c r="J119" s="2"/>
      <c r="M119" s="93"/>
      <c r="N119" s="96"/>
      <c r="P119" s="93"/>
      <c r="T119" s="2"/>
      <c r="U119" s="2"/>
    </row>
    <row r="120" spans="1:21" ht="12.75">
      <c r="A120" s="286"/>
      <c r="B120" s="327"/>
      <c r="C120" s="132"/>
      <c r="D120" s="328"/>
      <c r="E120" s="42"/>
      <c r="F120" s="133" t="e">
        <f>F119+1</f>
        <v>#REF!</v>
      </c>
      <c r="G120" s="264" t="e">
        <f>#REF!</f>
        <v>#REF!</v>
      </c>
      <c r="H120" s="267" t="e">
        <f>#REF!</f>
        <v>#REF!</v>
      </c>
      <c r="J120" s="2"/>
      <c r="M120" s="93"/>
      <c r="N120" s="96"/>
      <c r="P120" s="93"/>
      <c r="T120" s="2"/>
      <c r="U120" s="2"/>
    </row>
    <row r="121" spans="1:21" ht="12.75">
      <c r="A121" s="286"/>
      <c r="B121" s="330"/>
      <c r="C121" s="84"/>
      <c r="D121" s="331"/>
      <c r="E121" s="42"/>
      <c r="F121" s="133" t="e">
        <f>F120+1</f>
        <v>#REF!</v>
      </c>
      <c r="G121" s="264" t="e">
        <f>#REF!</f>
        <v>#REF!</v>
      </c>
      <c r="H121" s="267" t="e">
        <f>#REF!</f>
        <v>#REF!</v>
      </c>
      <c r="J121" s="2"/>
      <c r="M121" s="93"/>
      <c r="N121" s="96"/>
      <c r="P121" s="93"/>
      <c r="T121" s="2"/>
      <c r="U121" s="2"/>
    </row>
    <row r="122" spans="1:21" ht="12.75">
      <c r="A122" s="286"/>
      <c r="B122" s="84"/>
      <c r="C122" s="283"/>
      <c r="D122" s="331"/>
      <c r="E122" s="42"/>
      <c r="F122" s="135" t="e">
        <f>F121+1</f>
        <v>#REF!</v>
      </c>
      <c r="G122" s="264" t="e">
        <f>#REF!</f>
        <v>#REF!</v>
      </c>
      <c r="H122" s="267" t="e">
        <f>#REF!</f>
        <v>#REF!</v>
      </c>
      <c r="J122" s="2"/>
      <c r="M122" s="93"/>
      <c r="N122" s="96"/>
      <c r="P122" s="93"/>
      <c r="T122" s="2"/>
      <c r="U122" s="2"/>
    </row>
    <row r="123" spans="1:21" ht="12.75">
      <c r="A123" s="286"/>
      <c r="B123" s="327"/>
      <c r="C123" s="132"/>
      <c r="D123" s="328"/>
      <c r="E123" s="42"/>
      <c r="F123" s="130" t="e">
        <f>F122+1</f>
        <v>#REF!</v>
      </c>
      <c r="G123" s="323"/>
      <c r="H123" s="292"/>
      <c r="J123" s="2"/>
      <c r="M123" s="93"/>
      <c r="N123" s="96"/>
      <c r="P123" s="93"/>
      <c r="T123" s="2"/>
      <c r="U123" s="2"/>
    </row>
    <row r="124" spans="1:10" ht="12.75">
      <c r="A124" s="41"/>
      <c r="B124" s="42"/>
      <c r="C124" s="43"/>
      <c r="D124" s="42"/>
      <c r="E124" s="42"/>
      <c r="F124" s="45"/>
      <c r="G124" s="41"/>
      <c r="H124" s="42"/>
      <c r="I124" s="42"/>
      <c r="J124" s="42"/>
    </row>
    <row r="125" spans="1:21" ht="12.75">
      <c r="A125" s="21"/>
      <c r="B125" s="105" t="s">
        <v>192</v>
      </c>
      <c r="D125" s="2"/>
      <c r="G125" s="93"/>
      <c r="H125" s="96"/>
      <c r="I125" s="93"/>
      <c r="J125" s="93"/>
      <c r="K125" s="93"/>
      <c r="L125" s="93"/>
      <c r="M125" s="93"/>
      <c r="O125" s="2"/>
      <c r="P125" s="2"/>
      <c r="Q125" s="2"/>
      <c r="R125" s="2"/>
      <c r="S125" s="2"/>
      <c r="T125" s="2"/>
      <c r="U125" s="2"/>
    </row>
    <row r="126" spans="1:21" ht="12.75">
      <c r="A126" s="21"/>
      <c r="B126" s="106" t="e">
        <f>#REF!</f>
        <v>#REF!</v>
      </c>
      <c r="D126" s="2"/>
      <c r="G126" s="93"/>
      <c r="H126" s="96"/>
      <c r="I126" s="93"/>
      <c r="J126" s="93"/>
      <c r="K126" s="93"/>
      <c r="L126" s="93"/>
      <c r="M126" s="93"/>
      <c r="O126" s="2"/>
      <c r="P126" s="2"/>
      <c r="Q126" s="2"/>
      <c r="R126" s="2"/>
      <c r="S126" s="2"/>
      <c r="T126" s="2"/>
      <c r="U126" s="2"/>
    </row>
    <row r="127" spans="1:21" ht="12.75">
      <c r="A127" s="26"/>
      <c r="B127" s="29"/>
      <c r="D127" s="2"/>
      <c r="G127" s="93"/>
      <c r="H127" s="96"/>
      <c r="I127" s="93"/>
      <c r="J127" s="93"/>
      <c r="K127" s="93"/>
      <c r="L127" s="93"/>
      <c r="M127" s="93"/>
      <c r="O127" s="2"/>
      <c r="P127" s="2"/>
      <c r="Q127" s="2"/>
      <c r="R127" s="2"/>
      <c r="S127" s="2"/>
      <c r="T127" s="2"/>
      <c r="U127" s="2"/>
    </row>
    <row r="128" spans="1:21" ht="12.75">
      <c r="A128" s="159" t="s">
        <v>278</v>
      </c>
      <c r="B128" s="95"/>
      <c r="D128" s="2"/>
      <c r="G128" s="93"/>
      <c r="H128" s="96"/>
      <c r="I128" s="93"/>
      <c r="J128" s="93"/>
      <c r="K128" s="93"/>
      <c r="L128" s="93"/>
      <c r="M128" s="93"/>
      <c r="O128" s="2"/>
      <c r="P128" s="2"/>
      <c r="Q128" s="2"/>
      <c r="R128" s="2"/>
      <c r="S128" s="2"/>
      <c r="T128" s="2"/>
      <c r="U128" s="2"/>
    </row>
    <row r="129" spans="1:21" ht="12.75">
      <c r="A129" s="31">
        <f>Instandhouding!A7</f>
        <v>1601</v>
      </c>
      <c r="B129" s="332">
        <f>Instandhouding!F7</f>
        <v>0</v>
      </c>
      <c r="D129" s="2"/>
      <c r="G129" s="93"/>
      <c r="H129" s="96"/>
      <c r="I129" s="93"/>
      <c r="J129" s="93"/>
      <c r="K129" s="93"/>
      <c r="L129" s="93"/>
      <c r="M129" s="93"/>
      <c r="O129" s="2"/>
      <c r="P129" s="2"/>
      <c r="Q129" s="2"/>
      <c r="R129" s="2"/>
      <c r="S129" s="2"/>
      <c r="T129" s="2"/>
      <c r="U129" s="2"/>
    </row>
    <row r="130" spans="1:21" ht="12.75">
      <c r="A130" s="34">
        <f aca="true" t="shared" si="7" ref="A130:A149">A129+1</f>
        <v>1602</v>
      </c>
      <c r="B130" s="332">
        <f>Instandhouding!F8</f>
        <v>0</v>
      </c>
      <c r="D130" s="2"/>
      <c r="G130" s="93"/>
      <c r="H130" s="96"/>
      <c r="I130" s="93"/>
      <c r="J130" s="93"/>
      <c r="K130" s="93"/>
      <c r="L130" s="93"/>
      <c r="M130" s="93"/>
      <c r="O130" s="2"/>
      <c r="P130" s="2"/>
      <c r="Q130" s="2"/>
      <c r="R130" s="2"/>
      <c r="S130" s="2"/>
      <c r="T130" s="2"/>
      <c r="U130" s="2"/>
    </row>
    <row r="131" spans="1:21" ht="12.75">
      <c r="A131" s="34">
        <f t="shared" si="7"/>
        <v>1603</v>
      </c>
      <c r="B131" s="332">
        <f>Instandhouding!F9</f>
        <v>0</v>
      </c>
      <c r="D131" s="2"/>
      <c r="G131" s="93"/>
      <c r="H131" s="96"/>
      <c r="I131" s="93"/>
      <c r="J131" s="93"/>
      <c r="K131" s="93"/>
      <c r="L131" s="93"/>
      <c r="M131" s="93"/>
      <c r="O131" s="2"/>
      <c r="P131" s="2"/>
      <c r="Q131" s="2"/>
      <c r="R131" s="2"/>
      <c r="S131" s="2"/>
      <c r="T131" s="2"/>
      <c r="U131" s="2"/>
    </row>
    <row r="132" spans="1:21" ht="12.75">
      <c r="A132" s="34">
        <f t="shared" si="7"/>
        <v>1604</v>
      </c>
      <c r="B132" s="332">
        <f>Instandhouding!F10</f>
        <v>0</v>
      </c>
      <c r="D132" s="2"/>
      <c r="G132" s="93"/>
      <c r="H132" s="96"/>
      <c r="I132" s="93"/>
      <c r="J132" s="93"/>
      <c r="K132" s="93"/>
      <c r="L132" s="93"/>
      <c r="M132" s="93"/>
      <c r="O132" s="2"/>
      <c r="P132" s="2"/>
      <c r="Q132" s="2"/>
      <c r="R132" s="2"/>
      <c r="S132" s="2"/>
      <c r="T132" s="2"/>
      <c r="U132" s="2"/>
    </row>
    <row r="133" spans="1:21" ht="12.75">
      <c r="A133" s="34">
        <f t="shared" si="7"/>
        <v>1605</v>
      </c>
      <c r="B133" s="332">
        <f>Instandhouding!F11</f>
        <v>0</v>
      </c>
      <c r="D133" s="2"/>
      <c r="G133" s="93"/>
      <c r="H133" s="96"/>
      <c r="I133" s="93"/>
      <c r="J133" s="93"/>
      <c r="K133" s="93"/>
      <c r="L133" s="93"/>
      <c r="M133" s="93"/>
      <c r="O133" s="2"/>
      <c r="P133" s="2"/>
      <c r="Q133" s="2"/>
      <c r="R133" s="2"/>
      <c r="S133" s="2"/>
      <c r="T133" s="2"/>
      <c r="U133" s="2"/>
    </row>
    <row r="134" spans="1:21" ht="12.75">
      <c r="A134" s="34">
        <f t="shared" si="7"/>
        <v>1606</v>
      </c>
      <c r="B134" s="332">
        <f>Instandhouding!F12</f>
        <v>0</v>
      </c>
      <c r="D134" s="2"/>
      <c r="G134" s="93"/>
      <c r="H134" s="96"/>
      <c r="I134" s="93"/>
      <c r="J134" s="93"/>
      <c r="K134" s="93"/>
      <c r="L134" s="93"/>
      <c r="M134" s="93"/>
      <c r="O134" s="2"/>
      <c r="P134" s="2"/>
      <c r="Q134" s="2"/>
      <c r="R134" s="2"/>
      <c r="S134" s="2"/>
      <c r="T134" s="2"/>
      <c r="U134" s="2"/>
    </row>
    <row r="135" spans="1:21" ht="12.75">
      <c r="A135" s="34">
        <f t="shared" si="7"/>
        <v>1607</v>
      </c>
      <c r="B135" s="332">
        <f>Instandhouding!F13</f>
        <v>0</v>
      </c>
      <c r="D135" s="2"/>
      <c r="G135" s="93"/>
      <c r="H135" s="96"/>
      <c r="I135" s="93"/>
      <c r="J135" s="93"/>
      <c r="K135" s="93"/>
      <c r="L135" s="93"/>
      <c r="M135" s="93"/>
      <c r="O135" s="2"/>
      <c r="P135" s="2"/>
      <c r="Q135" s="2"/>
      <c r="R135" s="2"/>
      <c r="S135" s="2"/>
      <c r="T135" s="2"/>
      <c r="U135" s="2"/>
    </row>
    <row r="136" spans="1:21" ht="12.75">
      <c r="A136" s="34">
        <f t="shared" si="7"/>
        <v>1608</v>
      </c>
      <c r="B136" s="332">
        <f>Instandhouding!F14</f>
        <v>0</v>
      </c>
      <c r="D136" s="2"/>
      <c r="G136" s="93"/>
      <c r="H136" s="96"/>
      <c r="I136" s="93"/>
      <c r="J136" s="93"/>
      <c r="K136" s="93"/>
      <c r="L136" s="93"/>
      <c r="M136" s="93"/>
      <c r="O136" s="2"/>
      <c r="P136" s="2"/>
      <c r="Q136" s="2"/>
      <c r="R136" s="2"/>
      <c r="S136" s="2"/>
      <c r="T136" s="2"/>
      <c r="U136" s="2"/>
    </row>
    <row r="137" spans="1:21" ht="12.75">
      <c r="A137" s="34">
        <f t="shared" si="7"/>
        <v>1609</v>
      </c>
      <c r="B137" s="332">
        <f>Instandhouding!F15</f>
        <v>0</v>
      </c>
      <c r="D137" s="2"/>
      <c r="G137" s="93"/>
      <c r="H137" s="96"/>
      <c r="I137" s="93"/>
      <c r="J137" s="93"/>
      <c r="K137" s="93"/>
      <c r="L137" s="93"/>
      <c r="M137" s="93"/>
      <c r="O137" s="2"/>
      <c r="P137" s="2"/>
      <c r="Q137" s="2"/>
      <c r="R137" s="2"/>
      <c r="S137" s="2"/>
      <c r="T137" s="2"/>
      <c r="U137" s="2"/>
    </row>
    <row r="138" spans="1:21" ht="12.75">
      <c r="A138" s="34">
        <f t="shared" si="7"/>
        <v>1610</v>
      </c>
      <c r="B138" s="332">
        <f>Instandhouding!F16</f>
        <v>0</v>
      </c>
      <c r="D138" s="2"/>
      <c r="G138" s="93"/>
      <c r="H138" s="96"/>
      <c r="I138" s="93"/>
      <c r="J138" s="93"/>
      <c r="K138" s="93"/>
      <c r="L138" s="93"/>
      <c r="M138" s="93"/>
      <c r="O138" s="2"/>
      <c r="P138" s="2"/>
      <c r="Q138" s="2"/>
      <c r="R138" s="2"/>
      <c r="S138" s="2"/>
      <c r="T138" s="2"/>
      <c r="U138" s="2"/>
    </row>
    <row r="139" spans="1:21" ht="12.75">
      <c r="A139" s="34">
        <f t="shared" si="7"/>
        <v>1611</v>
      </c>
      <c r="B139" s="332">
        <f>Instandhouding!F17</f>
        <v>0</v>
      </c>
      <c r="D139" s="2"/>
      <c r="G139" s="93"/>
      <c r="H139" s="96"/>
      <c r="I139" s="93"/>
      <c r="J139" s="93"/>
      <c r="K139" s="93"/>
      <c r="L139" s="93"/>
      <c r="M139" s="93"/>
      <c r="O139" s="2"/>
      <c r="P139" s="2"/>
      <c r="Q139" s="2"/>
      <c r="R139" s="2"/>
      <c r="S139" s="2"/>
      <c r="T139" s="2"/>
      <c r="U139" s="2"/>
    </row>
    <row r="140" spans="1:21" ht="12.75">
      <c r="A140" s="34">
        <f t="shared" si="7"/>
        <v>1612</v>
      </c>
      <c r="B140" s="332">
        <f>Instandhouding!F18</f>
        <v>0</v>
      </c>
      <c r="D140" s="2"/>
      <c r="G140" s="93"/>
      <c r="H140" s="96"/>
      <c r="I140" s="93"/>
      <c r="J140" s="93"/>
      <c r="K140" s="93"/>
      <c r="L140" s="93"/>
      <c r="M140" s="93"/>
      <c r="O140" s="2"/>
      <c r="P140" s="2"/>
      <c r="Q140" s="2"/>
      <c r="R140" s="2"/>
      <c r="S140" s="2"/>
      <c r="T140" s="2"/>
      <c r="U140" s="2"/>
    </row>
    <row r="141" spans="1:21" ht="12.75">
      <c r="A141" s="34">
        <f t="shared" si="7"/>
        <v>1613</v>
      </c>
      <c r="B141" s="332">
        <f>Instandhouding!F19</f>
        <v>0</v>
      </c>
      <c r="D141" s="2"/>
      <c r="G141" s="93"/>
      <c r="H141" s="96"/>
      <c r="I141" s="93"/>
      <c r="J141" s="93"/>
      <c r="K141" s="93"/>
      <c r="L141" s="93"/>
      <c r="M141" s="93"/>
      <c r="O141" s="2"/>
      <c r="P141" s="2"/>
      <c r="Q141" s="2"/>
      <c r="R141" s="2"/>
      <c r="S141" s="2"/>
      <c r="T141" s="2"/>
      <c r="U141" s="2"/>
    </row>
    <row r="142" spans="1:21" ht="12.75">
      <c r="A142" s="34">
        <f t="shared" si="7"/>
        <v>1614</v>
      </c>
      <c r="B142" s="332">
        <f>Instandhouding!F20</f>
        <v>0</v>
      </c>
      <c r="D142" s="2"/>
      <c r="G142" s="93"/>
      <c r="H142" s="96"/>
      <c r="I142" s="93"/>
      <c r="J142" s="93"/>
      <c r="K142" s="93"/>
      <c r="L142" s="93"/>
      <c r="M142" s="93"/>
      <c r="O142" s="2"/>
      <c r="P142" s="2"/>
      <c r="Q142" s="2"/>
      <c r="R142" s="2"/>
      <c r="S142" s="2"/>
      <c r="T142" s="2"/>
      <c r="U142" s="2"/>
    </row>
    <row r="143" spans="1:21" ht="12.75">
      <c r="A143" s="34">
        <f t="shared" si="7"/>
        <v>1615</v>
      </c>
      <c r="B143" s="332">
        <f>Instandhouding!F21</f>
        <v>0</v>
      </c>
      <c r="D143" s="2"/>
      <c r="G143" s="93"/>
      <c r="H143" s="96"/>
      <c r="I143" s="93"/>
      <c r="J143" s="93"/>
      <c r="K143" s="93"/>
      <c r="L143" s="93"/>
      <c r="M143" s="93"/>
      <c r="O143" s="2"/>
      <c r="P143" s="2"/>
      <c r="Q143" s="2"/>
      <c r="R143" s="2"/>
      <c r="S143" s="2"/>
      <c r="T143" s="2"/>
      <c r="U143" s="2"/>
    </row>
    <row r="144" spans="1:21" ht="12.75">
      <c r="A144" s="34">
        <f t="shared" si="7"/>
        <v>1616</v>
      </c>
      <c r="B144" s="332">
        <f>Instandhouding!F22</f>
        <v>0</v>
      </c>
      <c r="D144" s="2"/>
      <c r="G144" s="93"/>
      <c r="H144" s="96"/>
      <c r="I144" s="93"/>
      <c r="J144" s="93"/>
      <c r="K144" s="93"/>
      <c r="L144" s="93"/>
      <c r="M144" s="93"/>
      <c r="O144" s="2"/>
      <c r="P144" s="2"/>
      <c r="Q144" s="2"/>
      <c r="R144" s="2"/>
      <c r="S144" s="2"/>
      <c r="T144" s="2"/>
      <c r="U144" s="2"/>
    </row>
    <row r="145" spans="1:21" ht="12.75">
      <c r="A145" s="34">
        <f t="shared" si="7"/>
        <v>1617</v>
      </c>
      <c r="B145" s="332">
        <f>Instandhouding!F23</f>
        <v>0</v>
      </c>
      <c r="D145" s="2"/>
      <c r="G145" s="93"/>
      <c r="H145" s="96"/>
      <c r="I145" s="93"/>
      <c r="J145" s="93"/>
      <c r="K145" s="93"/>
      <c r="L145" s="93"/>
      <c r="M145" s="93"/>
      <c r="O145" s="2"/>
      <c r="P145" s="2"/>
      <c r="Q145" s="2"/>
      <c r="R145" s="2"/>
      <c r="S145" s="2"/>
      <c r="T145" s="2"/>
      <c r="U145" s="2"/>
    </row>
    <row r="146" spans="1:21" ht="12.75">
      <c r="A146" s="34">
        <f t="shared" si="7"/>
        <v>1618</v>
      </c>
      <c r="B146" s="332">
        <f>Instandhouding!F24</f>
        <v>0</v>
      </c>
      <c r="D146" s="2"/>
      <c r="G146" s="93"/>
      <c r="H146" s="96"/>
      <c r="I146" s="93"/>
      <c r="J146" s="93"/>
      <c r="K146" s="93"/>
      <c r="L146" s="93"/>
      <c r="M146" s="93"/>
      <c r="O146" s="2"/>
      <c r="P146" s="2"/>
      <c r="Q146" s="2"/>
      <c r="R146" s="2"/>
      <c r="S146" s="2"/>
      <c r="T146" s="2"/>
      <c r="U146" s="2"/>
    </row>
    <row r="147" spans="1:21" ht="12.75">
      <c r="A147" s="34">
        <f t="shared" si="7"/>
        <v>1619</v>
      </c>
      <c r="B147" s="332">
        <f>Instandhouding!F25</f>
        <v>0</v>
      </c>
      <c r="D147" s="2"/>
      <c r="G147" s="93"/>
      <c r="H147" s="96"/>
      <c r="I147" s="93"/>
      <c r="J147" s="93"/>
      <c r="K147" s="93"/>
      <c r="L147" s="93"/>
      <c r="M147" s="93"/>
      <c r="O147" s="2"/>
      <c r="P147" s="2"/>
      <c r="Q147" s="2"/>
      <c r="R147" s="2"/>
      <c r="S147" s="2"/>
      <c r="T147" s="2"/>
      <c r="U147" s="2"/>
    </row>
    <row r="148" spans="1:21" ht="12.75">
      <c r="A148" s="54">
        <f t="shared" si="7"/>
        <v>1620</v>
      </c>
      <c r="B148" s="332">
        <f>Instandhouding!F26</f>
        <v>0</v>
      </c>
      <c r="D148" s="2"/>
      <c r="G148" s="93"/>
      <c r="H148" s="96"/>
      <c r="I148" s="93"/>
      <c r="J148" s="93"/>
      <c r="K148" s="93"/>
      <c r="L148" s="93"/>
      <c r="M148" s="93"/>
      <c r="O148" s="2"/>
      <c r="P148" s="2"/>
      <c r="Q148" s="2"/>
      <c r="R148" s="2"/>
      <c r="S148" s="2"/>
      <c r="T148" s="2"/>
      <c r="U148" s="2"/>
    </row>
    <row r="149" spans="1:21" ht="12.75">
      <c r="A149" s="37">
        <f t="shared" si="7"/>
        <v>1621</v>
      </c>
      <c r="B149" s="292"/>
      <c r="D149" s="2"/>
      <c r="G149" s="93"/>
      <c r="H149" s="96"/>
      <c r="I149" s="93"/>
      <c r="J149" s="93"/>
      <c r="K149" s="93"/>
      <c r="L149" s="93"/>
      <c r="M149" s="93"/>
      <c r="O149" s="2"/>
      <c r="P149" s="2"/>
      <c r="Q149" s="2"/>
      <c r="R149" s="2"/>
      <c r="S149" s="2"/>
      <c r="T149" s="2"/>
      <c r="U149" s="2"/>
    </row>
    <row r="150" spans="1:10" ht="12.75">
      <c r="A150" s="41"/>
      <c r="B150" s="42"/>
      <c r="C150" s="42"/>
      <c r="D150" s="42"/>
      <c r="E150" s="42"/>
      <c r="F150" s="42"/>
      <c r="G150" s="42"/>
      <c r="H150" s="42"/>
      <c r="I150" s="42"/>
      <c r="J150" s="42"/>
    </row>
    <row r="151" spans="1:10" ht="12.75">
      <c r="A151" s="14" t="s">
        <v>236</v>
      </c>
      <c r="B151" s="15"/>
      <c r="C151" s="137"/>
      <c r="D151" s="15"/>
      <c r="E151" s="5"/>
      <c r="F151" s="138"/>
      <c r="G151" s="15"/>
      <c r="H151" s="15"/>
      <c r="J151" s="2"/>
    </row>
    <row r="152" spans="2:8" ht="12.75">
      <c r="B152" s="15"/>
      <c r="C152" s="15"/>
      <c r="D152" s="15"/>
      <c r="E152" s="139"/>
      <c r="F152" s="140"/>
      <c r="G152" s="139"/>
      <c r="H152" s="139"/>
    </row>
    <row r="153" spans="1:8" ht="12.75">
      <c r="A153" s="200"/>
      <c r="B153" s="201"/>
      <c r="C153" s="202" t="s">
        <v>179</v>
      </c>
      <c r="D153" s="276" t="s">
        <v>75</v>
      </c>
      <c r="E153" s="277"/>
      <c r="F153" s="198" t="s">
        <v>183</v>
      </c>
      <c r="G153" s="203"/>
      <c r="H153" s="200"/>
    </row>
    <row r="154" spans="1:8" ht="12.75">
      <c r="A154" s="201"/>
      <c r="B154" s="204"/>
      <c r="C154" s="205" t="s">
        <v>180</v>
      </c>
      <c r="D154" s="206" t="s">
        <v>62</v>
      </c>
      <c r="E154" s="108" t="s">
        <v>103</v>
      </c>
      <c r="F154" s="109"/>
      <c r="G154" s="203"/>
      <c r="H154" s="203"/>
    </row>
    <row r="155" spans="1:8" ht="12.75">
      <c r="A155" s="64"/>
      <c r="B155" s="65"/>
      <c r="C155" s="66"/>
      <c r="D155" s="162" t="s">
        <v>94</v>
      </c>
      <c r="E155" s="67"/>
      <c r="F155" s="65"/>
      <c r="G155" s="64"/>
      <c r="H155" s="68"/>
    </row>
    <row r="156" spans="1:8" ht="12.75">
      <c r="A156" s="47" t="s">
        <v>289</v>
      </c>
      <c r="B156" s="14" t="s">
        <v>93</v>
      </c>
      <c r="C156" s="90"/>
      <c r="D156" s="333"/>
      <c r="E156" s="146"/>
      <c r="F156" s="84"/>
      <c r="G156" s="84"/>
      <c r="H156" s="45"/>
    </row>
    <row r="157" spans="1:8" ht="12.75">
      <c r="A157" s="31">
        <f>Mutaties!A9</f>
        <v>2001</v>
      </c>
      <c r="B157" s="334"/>
      <c r="C157" s="335"/>
      <c r="D157" s="141"/>
      <c r="E157" s="332">
        <f>Mutaties!E12</f>
        <v>0</v>
      </c>
      <c r="F157" s="336"/>
      <c r="G157" s="58"/>
      <c r="H157" s="337" t="s">
        <v>56</v>
      </c>
    </row>
    <row r="158" spans="1:8" ht="12.75">
      <c r="A158" s="34">
        <f aca="true" t="shared" si="8" ref="A158:A171">A157+1</f>
        <v>2002</v>
      </c>
      <c r="B158" s="334"/>
      <c r="C158" s="335"/>
      <c r="D158" s="143"/>
      <c r="E158" s="338"/>
      <c r="F158" s="336"/>
      <c r="G158" s="58"/>
      <c r="H158" s="225"/>
    </row>
    <row r="159" spans="1:8" ht="12.75">
      <c r="A159" s="81">
        <f t="shared" si="8"/>
        <v>2003</v>
      </c>
      <c r="B159" s="334"/>
      <c r="C159" s="336"/>
      <c r="D159" s="141"/>
      <c r="E159" s="267">
        <f>Mutaties!E14</f>
        <v>0</v>
      </c>
      <c r="F159" s="336"/>
      <c r="G159" s="309"/>
      <c r="H159" s="337" t="s">
        <v>57</v>
      </c>
    </row>
    <row r="160" spans="1:8" ht="12.75">
      <c r="A160" s="34">
        <f t="shared" si="8"/>
        <v>2004</v>
      </c>
      <c r="B160" s="339"/>
      <c r="C160" s="239"/>
      <c r="D160" s="141"/>
      <c r="E160" s="340">
        <f>Mutaties!E15</f>
        <v>0</v>
      </c>
      <c r="F160" s="341"/>
      <c r="G160" s="58"/>
      <c r="H160" s="337" t="s">
        <v>58</v>
      </c>
    </row>
    <row r="161" spans="1:8" ht="12.75">
      <c r="A161" s="34">
        <f t="shared" si="8"/>
        <v>2005</v>
      </c>
      <c r="B161" s="334"/>
      <c r="C161" s="335"/>
      <c r="D161" s="142"/>
      <c r="E161" s="332">
        <f>Mutaties!E16</f>
        <v>0</v>
      </c>
      <c r="F161" s="336"/>
      <c r="G161" s="58"/>
      <c r="H161" s="337" t="s">
        <v>59</v>
      </c>
    </row>
    <row r="162" spans="1:8" ht="12.75">
      <c r="A162" s="35">
        <f t="shared" si="8"/>
        <v>2006</v>
      </c>
      <c r="B162" s="342"/>
      <c r="C162" s="239"/>
      <c r="D162" s="142"/>
      <c r="E162" s="340" t="e">
        <f>Mutaties!#REF!</f>
        <v>#REF!</v>
      </c>
      <c r="F162" s="341"/>
      <c r="G162" s="58"/>
      <c r="H162" s="337" t="s">
        <v>281</v>
      </c>
    </row>
    <row r="163" spans="1:8" ht="12.75">
      <c r="A163" s="34">
        <f t="shared" si="8"/>
        <v>2007</v>
      </c>
      <c r="B163" s="334"/>
      <c r="C163" s="343" t="e">
        <f>Mutaties!#REF!</f>
        <v>#REF!</v>
      </c>
      <c r="D163" s="143"/>
      <c r="E163" s="338"/>
      <c r="F163" s="336"/>
      <c r="G163" s="58"/>
      <c r="H163" s="337" t="s">
        <v>60</v>
      </c>
    </row>
    <row r="164" spans="1:8" ht="12.75">
      <c r="A164" s="34">
        <f t="shared" si="8"/>
        <v>2008</v>
      </c>
      <c r="B164" s="334"/>
      <c r="C164" s="343" t="e">
        <f>Mutaties!#REF!</f>
        <v>#REF!</v>
      </c>
      <c r="D164" s="142"/>
      <c r="E164" s="332" t="e">
        <f>Mutaties!#REF!</f>
        <v>#REF!</v>
      </c>
      <c r="F164" s="336"/>
      <c r="G164" s="58"/>
      <c r="H164" s="337" t="s">
        <v>65</v>
      </c>
    </row>
    <row r="165" spans="1:8" ht="12.75">
      <c r="A165" s="34">
        <f t="shared" si="8"/>
        <v>2009</v>
      </c>
      <c r="B165" s="334"/>
      <c r="C165" s="343">
        <f>Mutaties!C18</f>
        <v>0</v>
      </c>
      <c r="D165" s="141"/>
      <c r="E165" s="332">
        <f>Mutaties!E18</f>
        <v>0</v>
      </c>
      <c r="F165" s="336"/>
      <c r="G165" s="58"/>
      <c r="H165" s="337" t="s">
        <v>61</v>
      </c>
    </row>
    <row r="166" spans="1:8" ht="12.75">
      <c r="A166" s="35">
        <f t="shared" si="8"/>
        <v>2010</v>
      </c>
      <c r="B166" s="177"/>
      <c r="C166" s="343">
        <f>Mutaties!F19</f>
        <v>0</v>
      </c>
      <c r="D166" s="144"/>
      <c r="E166" s="338"/>
      <c r="F166" s="336"/>
      <c r="G166" s="58"/>
      <c r="H166" s="45"/>
    </row>
    <row r="167" spans="1:8" ht="12.75">
      <c r="A167" s="37">
        <f t="shared" si="8"/>
        <v>2011</v>
      </c>
      <c r="B167" s="61"/>
      <c r="C167" s="344"/>
      <c r="D167" s="186"/>
      <c r="E167" s="344"/>
      <c r="F167" s="344"/>
      <c r="G167" s="345"/>
      <c r="H167" s="45"/>
    </row>
    <row r="168" spans="1:8" ht="12.75">
      <c r="A168" s="188">
        <f t="shared" si="8"/>
        <v>2012</v>
      </c>
      <c r="B168" s="84"/>
      <c r="C168" s="346"/>
      <c r="D168" s="187"/>
      <c r="E168" s="280">
        <f>Mutaties!E21</f>
        <v>0</v>
      </c>
      <c r="F168" s="281">
        <f>Mutaties!F21</f>
        <v>0</v>
      </c>
      <c r="G168" s="345"/>
      <c r="H168" s="45"/>
    </row>
    <row r="169" spans="1:8" ht="12.75">
      <c r="A169" s="37">
        <f t="shared" si="8"/>
        <v>2013</v>
      </c>
      <c r="B169" s="60"/>
      <c r="C169" s="347"/>
      <c r="D169" s="145"/>
      <c r="E169" s="347"/>
      <c r="F169" s="348"/>
      <c r="G169" s="345"/>
      <c r="H169" s="45"/>
    </row>
    <row r="170" spans="1:8" ht="12.75">
      <c r="A170" s="188">
        <f t="shared" si="8"/>
        <v>2014</v>
      </c>
      <c r="B170" s="134"/>
      <c r="C170" s="349"/>
      <c r="D170" s="189"/>
      <c r="E170" s="350"/>
      <c r="F170" s="336"/>
      <c r="G170" s="345"/>
      <c r="H170" s="45"/>
    </row>
    <row r="171" spans="1:8" ht="12.75">
      <c r="A171" s="188">
        <f t="shared" si="8"/>
        <v>2015</v>
      </c>
      <c r="B171" s="134"/>
      <c r="C171" s="349"/>
      <c r="D171" s="189"/>
      <c r="E171" s="350"/>
      <c r="F171" s="341"/>
      <c r="G171" s="345"/>
      <c r="H171" s="337" t="s">
        <v>285</v>
      </c>
    </row>
    <row r="172" spans="1:8" ht="12.75">
      <c r="A172" s="90"/>
      <c r="B172" s="90"/>
      <c r="C172" s="146"/>
      <c r="D172" s="147"/>
      <c r="E172" s="163"/>
      <c r="F172" s="163"/>
      <c r="G172" s="90"/>
      <c r="H172" s="45"/>
    </row>
    <row r="173" spans="1:8" s="11" customFormat="1" ht="12.75" customHeight="1">
      <c r="A173" s="260"/>
      <c r="B173" s="232"/>
      <c r="C173" s="233" t="s">
        <v>185</v>
      </c>
      <c r="D173" s="278" t="s">
        <v>186</v>
      </c>
      <c r="E173" s="279"/>
      <c r="F173" s="108" t="s">
        <v>183</v>
      </c>
      <c r="G173" s="234"/>
      <c r="H173" s="235"/>
    </row>
    <row r="174" spans="1:8" s="42" customFormat="1" ht="12.75" customHeight="1">
      <c r="A174" s="21"/>
      <c r="B174" s="232"/>
      <c r="C174" s="241"/>
      <c r="D174" s="242"/>
      <c r="E174" s="242"/>
      <c r="F174" s="243"/>
      <c r="G174" s="234"/>
      <c r="H174" s="235"/>
    </row>
    <row r="175" spans="1:8" s="42" customFormat="1" ht="12.75" customHeight="1">
      <c r="A175" s="47" t="s">
        <v>290</v>
      </c>
      <c r="B175" s="14" t="s">
        <v>97</v>
      </c>
      <c r="C175" s="90"/>
      <c r="D175" s="147"/>
      <c r="E175" s="90"/>
      <c r="F175" s="90"/>
      <c r="G175" s="90"/>
      <c r="H175" s="45"/>
    </row>
    <row r="176" spans="1:8" s="42" customFormat="1" ht="12.75" customHeight="1">
      <c r="A176" s="31">
        <f>A171+1</f>
        <v>2016</v>
      </c>
      <c r="B176" s="121"/>
      <c r="C176" s="239"/>
      <c r="D176" s="351"/>
      <c r="E176" s="352"/>
      <c r="F176" s="341"/>
      <c r="G176" s="84"/>
      <c r="H176" s="337" t="e">
        <f>CONCATENATE("IJ",RIGHT(#REF!,2))</f>
        <v>#REF!</v>
      </c>
    </row>
    <row r="177" spans="1:8" s="42" customFormat="1" ht="12.75" customHeight="1">
      <c r="A177" s="34">
        <f>A176+1</f>
        <v>2017</v>
      </c>
      <c r="B177" s="121"/>
      <c r="C177" s="148"/>
      <c r="D177" s="149"/>
      <c r="E177" s="353"/>
      <c r="F177" s="354"/>
      <c r="G177" s="84"/>
      <c r="H177" s="337" t="e">
        <f>CONCATENATE("IV",RIGHT(#REF!,2))</f>
        <v>#REF!</v>
      </c>
    </row>
    <row r="178" spans="1:8" s="42" customFormat="1" ht="12.75" customHeight="1">
      <c r="A178" s="54">
        <f>A177+1</f>
        <v>2018</v>
      </c>
      <c r="B178" s="121"/>
      <c r="C178" s="239"/>
      <c r="D178" s="351"/>
      <c r="E178" s="239"/>
      <c r="F178" s="341"/>
      <c r="G178" s="84"/>
      <c r="H178" s="337" t="e">
        <f>CONCATENATE("IT",RIGHT(#REF!,2))</f>
        <v>#REF!</v>
      </c>
    </row>
    <row r="179" spans="1:8" s="42" customFormat="1" ht="12.75" customHeight="1">
      <c r="A179" s="14"/>
      <c r="B179" s="90"/>
      <c r="C179" s="150"/>
      <c r="D179" s="151"/>
      <c r="E179" s="355"/>
      <c r="F179" s="355"/>
      <c r="G179" s="84"/>
      <c r="H179" s="225"/>
    </row>
    <row r="180" spans="1:8" ht="12.75">
      <c r="A180" s="47" t="s">
        <v>291</v>
      </c>
      <c r="B180" s="41" t="s">
        <v>212</v>
      </c>
      <c r="C180" s="157"/>
      <c r="D180" s="42"/>
      <c r="E180" s="42"/>
      <c r="F180" s="356"/>
      <c r="G180" s="356"/>
      <c r="H180" s="47"/>
    </row>
    <row r="181" spans="1:8" ht="12.75">
      <c r="A181" s="31">
        <f>A178+1</f>
        <v>2019</v>
      </c>
      <c r="B181" s="357"/>
      <c r="C181" s="152"/>
      <c r="D181" s="358"/>
      <c r="E181" s="359"/>
      <c r="F181" s="332">
        <f>Mutaties!F40</f>
        <v>0</v>
      </c>
      <c r="G181" s="84"/>
      <c r="H181" s="337" t="s">
        <v>96</v>
      </c>
    </row>
    <row r="182" spans="1:8" ht="12.75">
      <c r="A182" s="35">
        <f>A181+1</f>
        <v>2020</v>
      </c>
      <c r="B182" s="357"/>
      <c r="C182" s="153"/>
      <c r="D182" s="360"/>
      <c r="E182" s="361"/>
      <c r="F182" s="336"/>
      <c r="G182" s="84"/>
      <c r="H182" s="337" t="s">
        <v>96</v>
      </c>
    </row>
    <row r="183" spans="1:8" ht="12.75">
      <c r="A183" s="37">
        <f>A182+1</f>
        <v>2021</v>
      </c>
      <c r="B183" s="362"/>
      <c r="C183" s="154"/>
      <c r="D183" s="363"/>
      <c r="E183" s="364"/>
      <c r="F183" s="365"/>
      <c r="G183" s="225"/>
      <c r="H183" s="225"/>
    </row>
    <row r="184" spans="1:8" ht="12.75">
      <c r="A184" s="41"/>
      <c r="B184" s="42"/>
      <c r="C184" s="147"/>
      <c r="D184" s="42"/>
      <c r="E184" s="42"/>
      <c r="F184" s="42"/>
      <c r="G184" s="42"/>
      <c r="H184" s="47"/>
    </row>
    <row r="185" spans="1:8" ht="12.75">
      <c r="A185" s="37">
        <f>A183+1</f>
        <v>2022</v>
      </c>
      <c r="B185" s="362"/>
      <c r="C185" s="154"/>
      <c r="D185" s="363"/>
      <c r="E185" s="364"/>
      <c r="F185" s="365">
        <f>F167-F171+F183</f>
        <v>0</v>
      </c>
      <c r="G185" s="42"/>
      <c r="H185" s="47"/>
    </row>
    <row r="186" spans="1:8" ht="12.75">
      <c r="A186" s="41"/>
      <c r="B186" s="42"/>
      <c r="C186" s="42"/>
      <c r="D186" s="147"/>
      <c r="E186" s="42"/>
      <c r="F186" s="42"/>
      <c r="G186" s="42"/>
      <c r="H186" s="47"/>
    </row>
    <row r="187" spans="1:8" ht="12.75">
      <c r="A187" s="41"/>
      <c r="B187" s="42"/>
      <c r="C187" s="42"/>
      <c r="D187" s="147"/>
      <c r="E187" s="42"/>
      <c r="F187" s="42"/>
      <c r="G187" s="42"/>
      <c r="H187" s="47"/>
    </row>
    <row r="188" spans="1:8" ht="12.75">
      <c r="A188" s="14" t="s">
        <v>267</v>
      </c>
      <c r="B188" s="15"/>
      <c r="C188" s="15"/>
      <c r="D188" s="137"/>
      <c r="E188" s="5"/>
      <c r="F188" s="138"/>
      <c r="G188" s="42"/>
      <c r="H188" s="47"/>
    </row>
    <row r="189" spans="2:6" ht="12.75">
      <c r="B189" s="15"/>
      <c r="C189" s="15"/>
      <c r="D189" s="15"/>
      <c r="E189" s="139"/>
      <c r="F189" s="140"/>
    </row>
    <row r="190" spans="1:6" ht="12.75">
      <c r="A190" s="64"/>
      <c r="B190" s="366"/>
      <c r="C190" s="118"/>
      <c r="D190" s="207" t="e">
        <f>CONCATENATE("Jaarrekening ",#REF!-1," ")</f>
        <v>#REF!</v>
      </c>
      <c r="E190" s="207" t="e">
        <f>CONCATENATE("Jaarrekening ",#REF!," ")</f>
        <v>#REF!</v>
      </c>
      <c r="F190" s="207" t="s">
        <v>183</v>
      </c>
    </row>
    <row r="191" spans="1:6" ht="12.75">
      <c r="A191" s="83"/>
      <c r="B191" s="325"/>
      <c r="C191" s="156"/>
      <c r="D191" s="111"/>
      <c r="E191" s="156"/>
      <c r="F191" s="113"/>
    </row>
    <row r="192" spans="1:6" ht="12.75">
      <c r="A192" s="47" t="s">
        <v>184</v>
      </c>
      <c r="B192" s="14" t="s">
        <v>95</v>
      </c>
      <c r="C192" s="147"/>
      <c r="D192" s="90"/>
      <c r="E192" s="90"/>
      <c r="F192" s="90"/>
    </row>
    <row r="193" spans="1:6" ht="12.75">
      <c r="A193" s="31" t="e">
        <f>'Rentecalc.'!#REF!</f>
        <v>#REF!</v>
      </c>
      <c r="B193" s="357"/>
      <c r="C193" s="158"/>
      <c r="D193" s="358"/>
      <c r="E193" s="359"/>
      <c r="F193" s="367">
        <f>Uitvoer!F169</f>
        <v>0</v>
      </c>
    </row>
    <row r="194" spans="1:6" ht="12.75">
      <c r="A194" s="34" t="e">
        <f>A193+1</f>
        <v>#REF!</v>
      </c>
      <c r="B194" s="368"/>
      <c r="C194" s="158"/>
      <c r="D194" s="358"/>
      <c r="E194" s="267" t="e">
        <f>'Rentecalc.'!#REF!</f>
        <v>#REF!</v>
      </c>
      <c r="F194" s="369"/>
    </row>
    <row r="195" spans="1:6" ht="12.75">
      <c r="A195" s="34" t="e">
        <f>A194+1</f>
        <v>#REF!</v>
      </c>
      <c r="B195" s="368"/>
      <c r="C195" s="158"/>
      <c r="D195" s="358"/>
      <c r="E195" s="336"/>
      <c r="F195" s="369"/>
    </row>
    <row r="196" spans="1:6" ht="12.75">
      <c r="A196" s="35" t="e">
        <f>A195+1</f>
        <v>#REF!</v>
      </c>
      <c r="B196" s="370"/>
      <c r="C196" s="224"/>
      <c r="D196" s="371"/>
      <c r="E196" s="372"/>
      <c r="F196" s="244"/>
    </row>
    <row r="197" spans="1:6" ht="12.75">
      <c r="A197" s="37" t="e">
        <f>A196+1</f>
        <v>#REF!</v>
      </c>
      <c r="B197" s="362"/>
      <c r="C197" s="154"/>
      <c r="D197" s="373"/>
      <c r="E197" s="374"/>
      <c r="F197" s="292"/>
    </row>
    <row r="198" spans="1:6" ht="12.75">
      <c r="A198" s="41"/>
      <c r="B198" s="42"/>
      <c r="C198" s="147"/>
      <c r="D198" s="42"/>
      <c r="E198" s="42"/>
      <c r="F198" s="42"/>
    </row>
    <row r="199" spans="1:6" ht="12.75">
      <c r="A199" s="47" t="s">
        <v>210</v>
      </c>
      <c r="B199" s="14"/>
      <c r="C199" s="147"/>
      <c r="D199" s="42"/>
      <c r="E199" s="42"/>
      <c r="F199" s="42"/>
    </row>
    <row r="200" spans="1:6" ht="12.75">
      <c r="A200" s="31" t="e">
        <f>A197+1</f>
        <v>#REF!</v>
      </c>
      <c r="B200" s="357"/>
      <c r="C200" s="375"/>
      <c r="D200" s="270" t="e">
        <f>'Rentecalc.'!#REF!</f>
        <v>#REF!</v>
      </c>
      <c r="E200" s="270" t="e">
        <f>'Rentecalc.'!#REF!</f>
        <v>#REF!</v>
      </c>
      <c r="F200" s="367"/>
    </row>
    <row r="201" spans="1:6" ht="12.75">
      <c r="A201" s="34" t="e">
        <f aca="true" t="shared" si="9" ref="A201:A208">A200+1</f>
        <v>#REF!</v>
      </c>
      <c r="B201" s="357"/>
      <c r="C201" s="375"/>
      <c r="D201" s="270" t="e">
        <f>'Rentecalc.'!#REF!</f>
        <v>#REF!</v>
      </c>
      <c r="E201" s="270" t="e">
        <f>'Rentecalc.'!#REF!</f>
        <v>#REF!</v>
      </c>
      <c r="F201" s="367"/>
    </row>
    <row r="202" spans="1:6" ht="12.75">
      <c r="A202" s="34" t="e">
        <f t="shared" si="9"/>
        <v>#REF!</v>
      </c>
      <c r="B202" s="357"/>
      <c r="C202" s="375"/>
      <c r="D202" s="270" t="e">
        <f>'Rentecalc.'!#REF!</f>
        <v>#REF!</v>
      </c>
      <c r="E202" s="270" t="e">
        <f>'Rentecalc.'!#REF!</f>
        <v>#REF!</v>
      </c>
      <c r="F202" s="367"/>
    </row>
    <row r="203" spans="1:6" ht="12.75">
      <c r="A203" s="34" t="e">
        <f t="shared" si="9"/>
        <v>#REF!</v>
      </c>
      <c r="B203" s="357"/>
      <c r="C203" s="375"/>
      <c r="D203" s="270" t="e">
        <f>'Rentecalc.'!#REF!</f>
        <v>#REF!</v>
      </c>
      <c r="E203" s="270" t="e">
        <f>'Rentecalc.'!#REF!</f>
        <v>#REF!</v>
      </c>
      <c r="F203" s="367"/>
    </row>
    <row r="204" spans="1:6" ht="12.75">
      <c r="A204" s="35" t="e">
        <f t="shared" si="9"/>
        <v>#REF!</v>
      </c>
      <c r="B204" s="240"/>
      <c r="C204" s="265"/>
      <c r="D204" s="270" t="e">
        <f>'Rentecalc.'!#REF!</f>
        <v>#REF!</v>
      </c>
      <c r="E204" s="270" t="e">
        <f>'Rentecalc.'!#REF!</f>
        <v>#REF!</v>
      </c>
      <c r="F204" s="367"/>
    </row>
    <row r="205" spans="1:6" ht="12.75">
      <c r="A205" s="37" t="e">
        <f t="shared" si="9"/>
        <v>#REF!</v>
      </c>
      <c r="B205" s="362"/>
      <c r="C205" s="154"/>
      <c r="D205" s="373"/>
      <c r="E205" s="374"/>
      <c r="F205" s="365"/>
    </row>
    <row r="206" spans="1:6" ht="12.75">
      <c r="A206" s="34" t="e">
        <f t="shared" si="9"/>
        <v>#REF!</v>
      </c>
      <c r="B206" s="357"/>
      <c r="C206" s="376"/>
      <c r="D206" s="377"/>
      <c r="E206" s="378"/>
      <c r="F206" s="367"/>
    </row>
    <row r="207" spans="1:6" ht="12.75">
      <c r="A207" s="35" t="e">
        <f t="shared" si="9"/>
        <v>#REF!</v>
      </c>
      <c r="B207" s="240"/>
      <c r="C207" s="265"/>
      <c r="D207" s="379"/>
      <c r="E207" s="380"/>
      <c r="F207" s="270">
        <f>'Rentecalc.'!G23</f>
        <v>0</v>
      </c>
    </row>
    <row r="208" spans="1:6" ht="12.75">
      <c r="A208" s="37" t="e">
        <f t="shared" si="9"/>
        <v>#REF!</v>
      </c>
      <c r="B208" s="362"/>
      <c r="C208" s="154"/>
      <c r="D208" s="373"/>
      <c r="E208" s="374"/>
      <c r="F208" s="365">
        <f>F197</f>
        <v>0</v>
      </c>
    </row>
    <row r="209" spans="2:6" ht="12.75">
      <c r="B209" s="93"/>
      <c r="C209" s="155"/>
      <c r="D209" s="93"/>
      <c r="E209" s="93"/>
      <c r="F209" s="93"/>
    </row>
    <row r="210" spans="1:6" ht="12.75">
      <c r="A210" s="47" t="s">
        <v>211</v>
      </c>
      <c r="B210" s="231" t="s">
        <v>284</v>
      </c>
      <c r="C210" s="147"/>
      <c r="D210" s="90"/>
      <c r="E210" s="90"/>
      <c r="F210" s="90"/>
    </row>
    <row r="211" spans="1:6" ht="12.75">
      <c r="A211" s="31" t="e">
        <f>A208+1</f>
        <v>#REF!</v>
      </c>
      <c r="B211" s="381"/>
      <c r="C211" s="158"/>
      <c r="D211" s="270" t="e">
        <f>'Rentecalc.'!#REF!</f>
        <v>#REF!</v>
      </c>
      <c r="E211" s="270" t="e">
        <f>'Rentecalc.'!#REF!</f>
        <v>#REF!</v>
      </c>
      <c r="F211" s="336"/>
    </row>
    <row r="212" spans="1:6" ht="12.75">
      <c r="A212" s="34" t="e">
        <f>A211+1</f>
        <v>#REF!</v>
      </c>
      <c r="B212" s="382"/>
      <c r="C212" s="158"/>
      <c r="D212" s="267" t="e">
        <f>'Rentecalc.'!#REF!</f>
        <v>#REF!</v>
      </c>
      <c r="E212" s="383"/>
      <c r="F212" s="42"/>
    </row>
    <row r="213" spans="1:6" ht="12.75">
      <c r="A213" s="81" t="e">
        <f>A212+1</f>
        <v>#REF!</v>
      </c>
      <c r="B213" s="382"/>
      <c r="C213" s="228"/>
      <c r="D213" s="384"/>
      <c r="E213" s="90"/>
      <c r="F213" s="42"/>
    </row>
    <row r="214" spans="1:6" ht="12.75">
      <c r="A214" s="37" t="e">
        <f>A213+1</f>
        <v>#REF!</v>
      </c>
      <c r="B214" s="385"/>
      <c r="C214" s="154"/>
      <c r="D214" s="229"/>
      <c r="E214" s="386"/>
      <c r="F214" s="263"/>
    </row>
    <row r="215" spans="1:6" ht="12.75">
      <c r="A215" s="227"/>
      <c r="B215" s="93"/>
      <c r="C215" s="155"/>
      <c r="D215" s="93"/>
      <c r="E215" s="93"/>
      <c r="F215" s="93"/>
    </row>
    <row r="216" spans="2:6" ht="12.75">
      <c r="B216" s="93"/>
      <c r="C216" s="155"/>
      <c r="D216" s="93"/>
      <c r="E216" s="93"/>
      <c r="F216" s="93"/>
    </row>
    <row r="217" spans="1:8" ht="12.75">
      <c r="A217" s="14" t="s">
        <v>292</v>
      </c>
      <c r="B217" s="42"/>
      <c r="C217" s="42"/>
      <c r="D217" s="42"/>
      <c r="E217" s="42"/>
      <c r="F217" s="42"/>
      <c r="G217" s="42"/>
      <c r="H217" s="42"/>
    </row>
    <row r="218" spans="1:8" ht="12.75">
      <c r="A218" s="41"/>
      <c r="B218" s="42"/>
      <c r="C218" s="42"/>
      <c r="D218" s="42"/>
      <c r="E218" s="42"/>
      <c r="F218" s="42"/>
      <c r="G218" s="42"/>
      <c r="H218" s="42"/>
    </row>
    <row r="219" spans="1:21" ht="12.75" customHeight="1">
      <c r="A219" s="21"/>
      <c r="B219" s="208"/>
      <c r="C219" s="105" t="s">
        <v>187</v>
      </c>
      <c r="D219" s="209" t="s">
        <v>188</v>
      </c>
      <c r="E219" s="299"/>
      <c r="G219" s="5"/>
      <c r="H219" s="2"/>
      <c r="J219" s="2"/>
      <c r="L219" s="93"/>
      <c r="M219" s="96"/>
      <c r="N219" s="93"/>
      <c r="P219" s="93"/>
      <c r="S219" s="2"/>
      <c r="T219" s="2"/>
      <c r="U219" s="2"/>
    </row>
    <row r="220" spans="1:21" ht="12.75">
      <c r="A220" s="21"/>
      <c r="B220" s="208"/>
      <c r="C220" s="109"/>
      <c r="D220" s="109" t="e">
        <f>CONCATENATE(#REF!-1,"* ")</f>
        <v>#REF!</v>
      </c>
      <c r="E220" s="109" t="e">
        <f>CONCATENATE("Mutaties ",#REF!," ")</f>
        <v>#REF!</v>
      </c>
      <c r="G220" s="5"/>
      <c r="H220" s="2"/>
      <c r="J220" s="2"/>
      <c r="L220" s="93"/>
      <c r="M220" s="96"/>
      <c r="N220" s="93"/>
      <c r="P220" s="93"/>
      <c r="S220" s="2"/>
      <c r="T220" s="2"/>
      <c r="U220" s="2"/>
    </row>
    <row r="221" spans="1:21" ht="12.75">
      <c r="A221" s="26"/>
      <c r="B221" s="27"/>
      <c r="C221" s="29"/>
      <c r="D221" s="29"/>
      <c r="E221" s="29"/>
      <c r="G221" s="5"/>
      <c r="H221" s="2"/>
      <c r="J221" s="2"/>
      <c r="L221" s="93"/>
      <c r="M221" s="96"/>
      <c r="N221" s="93"/>
      <c r="P221" s="93"/>
      <c r="S221" s="2"/>
      <c r="T221" s="2"/>
      <c r="U221" s="2"/>
    </row>
    <row r="222" spans="1:21" ht="12.75">
      <c r="A222" s="159" t="s">
        <v>194</v>
      </c>
      <c r="B222" s="94" t="s">
        <v>214</v>
      </c>
      <c r="C222" s="387"/>
      <c r="D222" s="95"/>
      <c r="E222" s="95"/>
      <c r="G222" s="5"/>
      <c r="H222" s="2"/>
      <c r="J222" s="2"/>
      <c r="L222" s="93"/>
      <c r="M222" s="96"/>
      <c r="N222" s="93"/>
      <c r="P222" s="93"/>
      <c r="S222" s="2"/>
      <c r="T222" s="2"/>
      <c r="U222" s="2"/>
    </row>
    <row r="223" spans="1:21" ht="12.75">
      <c r="A223" s="31">
        <f>'A-E'!A9</f>
        <v>2201</v>
      </c>
      <c r="B223" s="388"/>
      <c r="C223" s="389">
        <f>'A-E'!C9</f>
        <v>0</v>
      </c>
      <c r="D223" s="390" t="e">
        <f>'A-E'!#REF!</f>
        <v>#REF!</v>
      </c>
      <c r="E223" s="391"/>
      <c r="G223" s="5"/>
      <c r="H223" s="2"/>
      <c r="J223" s="2"/>
      <c r="L223" s="93"/>
      <c r="M223" s="96"/>
      <c r="N223" s="93"/>
      <c r="P223" s="93"/>
      <c r="S223" s="2"/>
      <c r="T223" s="2"/>
      <c r="U223" s="2"/>
    </row>
    <row r="224" spans="1:21" ht="12.75">
      <c r="A224" s="34">
        <f aca="true" t="shared" si="10" ref="A224:A236">A223+1</f>
        <v>2202</v>
      </c>
      <c r="B224" s="388"/>
      <c r="C224" s="389">
        <f>'A-E'!C10</f>
        <v>0</v>
      </c>
      <c r="D224" s="239"/>
      <c r="E224" s="392">
        <f>'A-E'!D10</f>
        <v>0</v>
      </c>
      <c r="G224" s="5"/>
      <c r="H224" s="2"/>
      <c r="J224" s="2"/>
      <c r="L224" s="93"/>
      <c r="M224" s="96"/>
      <c r="N224" s="93"/>
      <c r="P224" s="93"/>
      <c r="S224" s="2"/>
      <c r="T224" s="2"/>
      <c r="U224" s="2"/>
    </row>
    <row r="225" spans="1:21" ht="12.75">
      <c r="A225" s="34">
        <f t="shared" si="10"/>
        <v>2203</v>
      </c>
      <c r="B225" s="388"/>
      <c r="C225" s="389" t="e">
        <f>'A-E'!#REF!</f>
        <v>#REF!</v>
      </c>
      <c r="D225" s="239"/>
      <c r="E225" s="392" t="e">
        <f>'A-E'!#REF!</f>
        <v>#REF!</v>
      </c>
      <c r="G225" s="5"/>
      <c r="H225" s="2"/>
      <c r="J225" s="2"/>
      <c r="L225" s="93"/>
      <c r="M225" s="96"/>
      <c r="N225" s="93"/>
      <c r="P225" s="93"/>
      <c r="S225" s="2"/>
      <c r="T225" s="2"/>
      <c r="U225" s="2"/>
    </row>
    <row r="226" spans="1:21" ht="12.75">
      <c r="A226" s="34">
        <f t="shared" si="10"/>
        <v>2204</v>
      </c>
      <c r="B226" s="388"/>
      <c r="C226" s="389" t="e">
        <f>'A-E'!#REF!</f>
        <v>#REF!</v>
      </c>
      <c r="D226" s="239"/>
      <c r="E226" s="392" t="e">
        <f>'A-E'!#REF!</f>
        <v>#REF!</v>
      </c>
      <c r="G226" s="5"/>
      <c r="H226" s="2"/>
      <c r="J226" s="2"/>
      <c r="L226" s="93"/>
      <c r="M226" s="96"/>
      <c r="N226" s="93"/>
      <c r="P226" s="93"/>
      <c r="S226" s="2"/>
      <c r="T226" s="2"/>
      <c r="U226" s="2"/>
    </row>
    <row r="227" spans="1:21" ht="12.75">
      <c r="A227" s="34">
        <f t="shared" si="10"/>
        <v>2205</v>
      </c>
      <c r="B227" s="388"/>
      <c r="C227" s="389" t="e">
        <f>'A-E'!#REF!</f>
        <v>#REF!</v>
      </c>
      <c r="D227" s="239"/>
      <c r="E227" s="392" t="e">
        <f>'A-E'!#REF!</f>
        <v>#REF!</v>
      </c>
      <c r="G227" s="5"/>
      <c r="H227" s="2"/>
      <c r="J227" s="2"/>
      <c r="L227" s="93"/>
      <c r="M227" s="96"/>
      <c r="N227" s="93"/>
      <c r="P227" s="93"/>
      <c r="S227" s="2"/>
      <c r="T227" s="2"/>
      <c r="U227" s="2"/>
    </row>
    <row r="228" spans="1:21" ht="12.75">
      <c r="A228" s="34">
        <f t="shared" si="10"/>
        <v>2206</v>
      </c>
      <c r="B228" s="388"/>
      <c r="C228" s="389" t="e">
        <f>'A-E'!#REF!</f>
        <v>#REF!</v>
      </c>
      <c r="D228" s="239"/>
      <c r="E228" s="392" t="e">
        <f>'A-E'!#REF!</f>
        <v>#REF!</v>
      </c>
      <c r="G228" s="5"/>
      <c r="H228" s="2"/>
      <c r="J228" s="2"/>
      <c r="L228" s="93"/>
      <c r="M228" s="96"/>
      <c r="N228" s="93"/>
      <c r="P228" s="93"/>
      <c r="S228" s="2"/>
      <c r="T228" s="2"/>
      <c r="U228" s="2"/>
    </row>
    <row r="229" spans="1:21" ht="12.75">
      <c r="A229" s="34">
        <f t="shared" si="10"/>
        <v>2207</v>
      </c>
      <c r="B229" s="388"/>
      <c r="C229" s="389" t="e">
        <f>'A-E'!#REF!</f>
        <v>#REF!</v>
      </c>
      <c r="D229" s="239"/>
      <c r="E229" s="392" t="e">
        <f>'A-E'!#REF!</f>
        <v>#REF!</v>
      </c>
      <c r="G229" s="5"/>
      <c r="H229" s="2"/>
      <c r="J229" s="2"/>
      <c r="L229" s="93"/>
      <c r="M229" s="96"/>
      <c r="N229" s="93"/>
      <c r="P229" s="93"/>
      <c r="S229" s="2"/>
      <c r="T229" s="2"/>
      <c r="U229" s="2"/>
    </row>
    <row r="230" spans="1:21" ht="12.75">
      <c r="A230" s="34">
        <f t="shared" si="10"/>
        <v>2208</v>
      </c>
      <c r="B230" s="388"/>
      <c r="C230" s="389" t="e">
        <f>'A-E'!#REF!</f>
        <v>#REF!</v>
      </c>
      <c r="D230" s="239"/>
      <c r="E230" s="392" t="e">
        <f>'A-E'!#REF!</f>
        <v>#REF!</v>
      </c>
      <c r="G230" s="5"/>
      <c r="H230" s="2"/>
      <c r="J230" s="2"/>
      <c r="L230" s="93"/>
      <c r="M230" s="96"/>
      <c r="N230" s="93"/>
      <c r="P230" s="93"/>
      <c r="S230" s="2"/>
      <c r="T230" s="2"/>
      <c r="U230" s="2"/>
    </row>
    <row r="231" spans="1:21" ht="12.75">
      <c r="A231" s="34">
        <f t="shared" si="10"/>
        <v>2209</v>
      </c>
      <c r="B231" s="388"/>
      <c r="C231" s="389" t="e">
        <f>'A-E'!#REF!</f>
        <v>#REF!</v>
      </c>
      <c r="D231" s="239"/>
      <c r="E231" s="392" t="e">
        <f>'A-E'!#REF!</f>
        <v>#REF!</v>
      </c>
      <c r="G231" s="5"/>
      <c r="H231" s="2"/>
      <c r="J231" s="2"/>
      <c r="L231" s="93"/>
      <c r="M231" s="96"/>
      <c r="N231" s="93"/>
      <c r="P231" s="93"/>
      <c r="S231" s="2"/>
      <c r="T231" s="2"/>
      <c r="U231" s="2"/>
    </row>
    <row r="232" spans="1:21" ht="12.75">
      <c r="A232" s="34">
        <f t="shared" si="10"/>
        <v>2210</v>
      </c>
      <c r="B232" s="388"/>
      <c r="C232" s="389" t="e">
        <f>'A-E'!#REF!</f>
        <v>#REF!</v>
      </c>
      <c r="D232" s="239"/>
      <c r="E232" s="392" t="e">
        <f>'A-E'!#REF!</f>
        <v>#REF!</v>
      </c>
      <c r="G232" s="5"/>
      <c r="H232" s="2"/>
      <c r="J232" s="2"/>
      <c r="L232" s="93"/>
      <c r="M232" s="96"/>
      <c r="N232" s="93"/>
      <c r="P232" s="93"/>
      <c r="S232" s="2"/>
      <c r="T232" s="2"/>
      <c r="U232" s="2"/>
    </row>
    <row r="233" spans="1:21" ht="12.75">
      <c r="A233" s="34">
        <f t="shared" si="10"/>
        <v>2211</v>
      </c>
      <c r="B233" s="388"/>
      <c r="C233" s="389" t="e">
        <f>'A-E'!#REF!</f>
        <v>#REF!</v>
      </c>
      <c r="D233" s="239"/>
      <c r="E233" s="392" t="e">
        <f>'A-E'!#REF!</f>
        <v>#REF!</v>
      </c>
      <c r="G233" s="5"/>
      <c r="H233" s="2"/>
      <c r="J233" s="2"/>
      <c r="L233" s="93"/>
      <c r="M233" s="96"/>
      <c r="N233" s="93"/>
      <c r="P233" s="93"/>
      <c r="S233" s="2"/>
      <c r="T233" s="2"/>
      <c r="U233" s="2"/>
    </row>
    <row r="234" spans="1:21" ht="12.75">
      <c r="A234" s="34">
        <f t="shared" si="10"/>
        <v>2212</v>
      </c>
      <c r="B234" s="388"/>
      <c r="C234" s="389" t="e">
        <f>'A-E'!#REF!</f>
        <v>#REF!</v>
      </c>
      <c r="D234" s="239"/>
      <c r="E234" s="392" t="e">
        <f>'A-E'!#REF!</f>
        <v>#REF!</v>
      </c>
      <c r="G234" s="5"/>
      <c r="H234" s="2"/>
      <c r="J234" s="2"/>
      <c r="L234" s="93"/>
      <c r="M234" s="96"/>
      <c r="N234" s="93"/>
      <c r="P234" s="93"/>
      <c r="S234" s="2"/>
      <c r="T234" s="2"/>
      <c r="U234" s="2"/>
    </row>
    <row r="235" spans="1:21" ht="12.75">
      <c r="A235" s="54">
        <f t="shared" si="10"/>
        <v>2213</v>
      </c>
      <c r="B235" s="393"/>
      <c r="C235" s="389" t="e">
        <f>'A-E'!#REF!</f>
        <v>#REF!</v>
      </c>
      <c r="D235" s="239"/>
      <c r="E235" s="392" t="e">
        <f>'A-E'!#REF!</f>
        <v>#REF!</v>
      </c>
      <c r="G235" s="5"/>
      <c r="H235" s="2"/>
      <c r="J235" s="2"/>
      <c r="L235" s="93"/>
      <c r="M235" s="96"/>
      <c r="N235" s="93"/>
      <c r="P235" s="93"/>
      <c r="S235" s="2"/>
      <c r="T235" s="2"/>
      <c r="U235" s="2"/>
    </row>
    <row r="236" spans="1:21" ht="12.75">
      <c r="A236" s="37">
        <f t="shared" si="10"/>
        <v>2214</v>
      </c>
      <c r="B236" s="38"/>
      <c r="C236" s="394"/>
      <c r="D236" s="395"/>
      <c r="E236" s="396"/>
      <c r="F236" s="5"/>
      <c r="G236" s="5"/>
      <c r="H236" s="5"/>
      <c r="J236" s="2"/>
      <c r="L236" s="93"/>
      <c r="M236" s="96"/>
      <c r="N236" s="93"/>
      <c r="P236" s="93"/>
      <c r="S236" s="2"/>
      <c r="T236" s="2"/>
      <c r="U236" s="2"/>
    </row>
    <row r="237" spans="1:8" ht="12.75">
      <c r="A237" s="118" t="e">
        <f>CONCATENATE("* mutaties ",#REF!-1," (regel ",Uitvoer!A74,") exlusief niet-nacalculeerbare afschrijvingen (regel ",Uitvoer!A75,")")</f>
        <v>#REF!</v>
      </c>
      <c r="B237" s="42"/>
      <c r="C237" s="42"/>
      <c r="D237" s="185"/>
      <c r="E237" s="42"/>
      <c r="F237" s="160"/>
      <c r="G237" s="90"/>
      <c r="H237" s="119"/>
    </row>
    <row r="238" spans="1:8" ht="12.75">
      <c r="A238" s="118" t="str">
        <f>CONCATENATE("** regel ",A223," t/m ",A235,)</f>
        <v>** regel 2201 t/m 2213</v>
      </c>
      <c r="B238" s="42"/>
      <c r="C238" s="42"/>
      <c r="D238" s="185"/>
      <c r="E238" s="42"/>
      <c r="F238" s="160"/>
      <c r="G238" s="42"/>
      <c r="H238" s="119"/>
    </row>
    <row r="239" spans="1:8" ht="12.75">
      <c r="A239" s="118"/>
      <c r="B239" s="42"/>
      <c r="C239" s="42"/>
      <c r="D239" s="185"/>
      <c r="E239" s="42"/>
      <c r="F239" s="160"/>
      <c r="G239" s="42"/>
      <c r="H239" s="119"/>
    </row>
    <row r="240" spans="1:21" ht="12.75" customHeight="1">
      <c r="A240" s="21"/>
      <c r="B240" s="208"/>
      <c r="C240" s="105" t="s">
        <v>113</v>
      </c>
      <c r="D240" s="105" t="s">
        <v>121</v>
      </c>
      <c r="E240" s="1"/>
      <c r="G240" s="5"/>
      <c r="H240" s="2"/>
      <c r="J240" s="2"/>
      <c r="L240" s="93"/>
      <c r="M240" s="96"/>
      <c r="N240" s="93"/>
      <c r="P240" s="93"/>
      <c r="S240" s="2"/>
      <c r="T240" s="2"/>
      <c r="U240" s="2"/>
    </row>
    <row r="241" spans="1:21" ht="12.75">
      <c r="A241" s="21"/>
      <c r="B241" s="208"/>
      <c r="C241" s="210" t="s">
        <v>120</v>
      </c>
      <c r="D241" s="210" t="s">
        <v>114</v>
      </c>
      <c r="E241" s="1"/>
      <c r="G241" s="5"/>
      <c r="H241" s="2"/>
      <c r="J241" s="2"/>
      <c r="L241" s="93"/>
      <c r="M241" s="96"/>
      <c r="N241" s="93"/>
      <c r="P241" s="93"/>
      <c r="S241" s="2"/>
      <c r="T241" s="2"/>
      <c r="U241" s="2"/>
    </row>
    <row r="242" spans="1:21" ht="12.75">
      <c r="A242" s="21"/>
      <c r="B242" s="208"/>
      <c r="C242" s="109" t="s">
        <v>115</v>
      </c>
      <c r="D242" s="109" t="s">
        <v>119</v>
      </c>
      <c r="E242" s="1"/>
      <c r="G242" s="5"/>
      <c r="H242" s="2"/>
      <c r="J242" s="2"/>
      <c r="L242" s="93"/>
      <c r="M242" s="96"/>
      <c r="N242" s="93"/>
      <c r="P242" s="93"/>
      <c r="S242" s="2"/>
      <c r="T242" s="2"/>
      <c r="U242" s="2"/>
    </row>
    <row r="243" spans="1:21" ht="12.75">
      <c r="A243" s="26"/>
      <c r="B243" s="27"/>
      <c r="C243" s="29"/>
      <c r="D243" s="29"/>
      <c r="E243" s="1"/>
      <c r="G243" s="5"/>
      <c r="H243" s="2"/>
      <c r="J243" s="2"/>
      <c r="L243" s="93"/>
      <c r="M243" s="96"/>
      <c r="N243" s="93"/>
      <c r="P243" s="93"/>
      <c r="S243" s="2"/>
      <c r="T243" s="2"/>
      <c r="U243" s="2"/>
    </row>
    <row r="244" spans="1:21" ht="12.75">
      <c r="A244" s="14" t="s">
        <v>195</v>
      </c>
      <c r="B244" s="27" t="s">
        <v>193</v>
      </c>
      <c r="C244" s="387"/>
      <c r="D244" s="95"/>
      <c r="E244" s="1"/>
      <c r="G244" s="5"/>
      <c r="H244" s="2"/>
      <c r="J244" s="2"/>
      <c r="L244" s="93"/>
      <c r="M244" s="96"/>
      <c r="N244" s="93"/>
      <c r="P244" s="93"/>
      <c r="S244" s="2"/>
      <c r="T244" s="2"/>
      <c r="U244" s="2"/>
    </row>
    <row r="245" spans="1:21" ht="12.75">
      <c r="A245" s="31">
        <f>'A-E'!A54</f>
        <v>2301</v>
      </c>
      <c r="B245" s="388"/>
      <c r="C245" s="389">
        <f>'A-E'!C54</f>
        <v>0</v>
      </c>
      <c r="D245" s="397"/>
      <c r="E245" s="1"/>
      <c r="G245" s="5"/>
      <c r="H245" s="2"/>
      <c r="J245" s="2"/>
      <c r="L245" s="93"/>
      <c r="M245" s="96"/>
      <c r="N245" s="93"/>
      <c r="P245" s="93"/>
      <c r="S245" s="2"/>
      <c r="T245" s="2"/>
      <c r="U245" s="2"/>
    </row>
    <row r="246" spans="1:21" ht="12.75">
      <c r="A246" s="34">
        <f aca="true" t="shared" si="11" ref="A246:A260">A245+1</f>
        <v>2302</v>
      </c>
      <c r="B246" s="388"/>
      <c r="C246" s="390" t="e">
        <f>'A-E'!#REF!</f>
        <v>#REF!</v>
      </c>
      <c r="D246" s="398"/>
      <c r="E246" s="1"/>
      <c r="G246" s="5"/>
      <c r="H246" s="2"/>
      <c r="J246" s="2"/>
      <c r="L246" s="93"/>
      <c r="M246" s="96"/>
      <c r="N246" s="93"/>
      <c r="P246" s="93"/>
      <c r="S246" s="2"/>
      <c r="T246" s="2"/>
      <c r="U246" s="2"/>
    </row>
    <row r="247" spans="1:21" ht="12.75">
      <c r="A247" s="34">
        <f t="shared" si="11"/>
        <v>2303</v>
      </c>
      <c r="B247" s="388"/>
      <c r="C247" s="389" t="e">
        <f>'A-E'!#REF!</f>
        <v>#REF!</v>
      </c>
      <c r="D247" s="390" t="e">
        <f>'A-E'!#REF!</f>
        <v>#REF!</v>
      </c>
      <c r="E247" s="1"/>
      <c r="G247" s="5"/>
      <c r="H247" s="2"/>
      <c r="J247" s="2"/>
      <c r="L247" s="93"/>
      <c r="M247" s="96"/>
      <c r="N247" s="93"/>
      <c r="P247" s="93"/>
      <c r="S247" s="2"/>
      <c r="T247" s="2"/>
      <c r="U247" s="2"/>
    </row>
    <row r="248" spans="1:21" ht="12.75">
      <c r="A248" s="34">
        <f t="shared" si="11"/>
        <v>2304</v>
      </c>
      <c r="B248" s="388"/>
      <c r="C248" s="389" t="e">
        <f>'A-E'!#REF!</f>
        <v>#REF!</v>
      </c>
      <c r="D248" s="390" t="e">
        <f>'A-E'!#REF!</f>
        <v>#REF!</v>
      </c>
      <c r="E248" s="1"/>
      <c r="G248" s="5"/>
      <c r="H248" s="2"/>
      <c r="J248" s="2"/>
      <c r="L248" s="93"/>
      <c r="M248" s="96"/>
      <c r="N248" s="93"/>
      <c r="P248" s="93"/>
      <c r="S248" s="2"/>
      <c r="T248" s="2"/>
      <c r="U248" s="2"/>
    </row>
    <row r="249" spans="1:21" ht="12.75">
      <c r="A249" s="34">
        <f t="shared" si="11"/>
        <v>2305</v>
      </c>
      <c r="B249" s="388"/>
      <c r="C249" s="389" t="e">
        <f>'A-E'!#REF!</f>
        <v>#REF!</v>
      </c>
      <c r="D249" s="390" t="e">
        <f>'A-E'!#REF!</f>
        <v>#REF!</v>
      </c>
      <c r="E249" s="1"/>
      <c r="G249" s="5"/>
      <c r="H249" s="2"/>
      <c r="J249" s="2"/>
      <c r="L249" s="93"/>
      <c r="M249" s="96"/>
      <c r="N249" s="93"/>
      <c r="P249" s="93"/>
      <c r="S249" s="2"/>
      <c r="T249" s="2"/>
      <c r="U249" s="2"/>
    </row>
    <row r="250" spans="1:21" ht="12.75">
      <c r="A250" s="34">
        <f t="shared" si="11"/>
        <v>2306</v>
      </c>
      <c r="B250" s="388"/>
      <c r="C250" s="389" t="e">
        <f>'A-E'!#REF!</f>
        <v>#REF!</v>
      </c>
      <c r="D250" s="390" t="e">
        <f>'A-E'!#REF!</f>
        <v>#REF!</v>
      </c>
      <c r="E250" s="1"/>
      <c r="G250" s="5"/>
      <c r="H250" s="2"/>
      <c r="J250" s="2"/>
      <c r="L250" s="93"/>
      <c r="M250" s="96"/>
      <c r="N250" s="93"/>
      <c r="P250" s="93"/>
      <c r="S250" s="2"/>
      <c r="T250" s="2"/>
      <c r="U250" s="2"/>
    </row>
    <row r="251" spans="1:21" ht="12.75">
      <c r="A251" s="34">
        <f t="shared" si="11"/>
        <v>2307</v>
      </c>
      <c r="B251" s="388"/>
      <c r="C251" s="389" t="e">
        <f>'A-E'!#REF!</f>
        <v>#REF!</v>
      </c>
      <c r="D251" s="390" t="e">
        <f>'A-E'!#REF!</f>
        <v>#REF!</v>
      </c>
      <c r="E251" s="1"/>
      <c r="G251" s="5"/>
      <c r="H251" s="2"/>
      <c r="J251" s="2"/>
      <c r="L251" s="93"/>
      <c r="M251" s="96"/>
      <c r="N251" s="93"/>
      <c r="P251" s="93"/>
      <c r="S251" s="2"/>
      <c r="T251" s="2"/>
      <c r="U251" s="2"/>
    </row>
    <row r="252" spans="1:21" ht="12.75">
      <c r="A252" s="34">
        <f t="shared" si="11"/>
        <v>2308</v>
      </c>
      <c r="B252" s="388"/>
      <c r="C252" s="389" t="e">
        <f>'A-E'!#REF!</f>
        <v>#REF!</v>
      </c>
      <c r="D252" s="390" t="e">
        <f>'A-E'!#REF!</f>
        <v>#REF!</v>
      </c>
      <c r="E252" s="1"/>
      <c r="G252" s="5"/>
      <c r="H252" s="2"/>
      <c r="J252" s="2"/>
      <c r="L252" s="93"/>
      <c r="M252" s="96"/>
      <c r="N252" s="93"/>
      <c r="P252" s="93"/>
      <c r="S252" s="2"/>
      <c r="T252" s="2"/>
      <c r="U252" s="2"/>
    </row>
    <row r="253" spans="1:21" ht="12.75">
      <c r="A253" s="34">
        <f t="shared" si="11"/>
        <v>2309</v>
      </c>
      <c r="B253" s="388"/>
      <c r="C253" s="389" t="e">
        <f>'A-E'!#REF!</f>
        <v>#REF!</v>
      </c>
      <c r="D253" s="390" t="e">
        <f>'A-E'!#REF!</f>
        <v>#REF!</v>
      </c>
      <c r="E253" s="1"/>
      <c r="G253" s="5"/>
      <c r="H253" s="2"/>
      <c r="J253" s="2"/>
      <c r="L253" s="93"/>
      <c r="M253" s="96"/>
      <c r="N253" s="93"/>
      <c r="P253" s="93"/>
      <c r="S253" s="2"/>
      <c r="T253" s="2"/>
      <c r="U253" s="2"/>
    </row>
    <row r="254" spans="1:21" ht="12.75">
      <c r="A254" s="34">
        <f t="shared" si="11"/>
        <v>2310</v>
      </c>
      <c r="B254" s="388"/>
      <c r="C254" s="389" t="e">
        <f>'A-E'!#REF!</f>
        <v>#REF!</v>
      </c>
      <c r="D254" s="390" t="e">
        <f>'A-E'!#REF!</f>
        <v>#REF!</v>
      </c>
      <c r="E254" s="1"/>
      <c r="G254" s="5"/>
      <c r="H254" s="2"/>
      <c r="J254" s="2"/>
      <c r="L254" s="93"/>
      <c r="M254" s="96"/>
      <c r="N254" s="93"/>
      <c r="P254" s="93"/>
      <c r="S254" s="2"/>
      <c r="T254" s="2"/>
      <c r="U254" s="2"/>
    </row>
    <row r="255" spans="1:21" ht="12.75">
      <c r="A255" s="34">
        <f t="shared" si="11"/>
        <v>2311</v>
      </c>
      <c r="B255" s="388"/>
      <c r="C255" s="389" t="e">
        <f>'A-E'!#REF!</f>
        <v>#REF!</v>
      </c>
      <c r="D255" s="390" t="e">
        <f>'A-E'!#REF!</f>
        <v>#REF!</v>
      </c>
      <c r="E255" s="1"/>
      <c r="G255" s="5"/>
      <c r="H255" s="2"/>
      <c r="J255" s="2"/>
      <c r="L255" s="93"/>
      <c r="M255" s="96"/>
      <c r="N255" s="93"/>
      <c r="P255" s="93"/>
      <c r="S255" s="2"/>
      <c r="T255" s="2"/>
      <c r="U255" s="2"/>
    </row>
    <row r="256" spans="1:21" ht="12.75">
      <c r="A256" s="34">
        <f t="shared" si="11"/>
        <v>2312</v>
      </c>
      <c r="B256" s="388"/>
      <c r="C256" s="389" t="e">
        <f>'A-E'!#REF!</f>
        <v>#REF!</v>
      </c>
      <c r="D256" s="390" t="e">
        <f>'A-E'!#REF!</f>
        <v>#REF!</v>
      </c>
      <c r="E256" s="1"/>
      <c r="G256" s="5"/>
      <c r="H256" s="2"/>
      <c r="J256" s="2"/>
      <c r="L256" s="93"/>
      <c r="M256" s="96"/>
      <c r="N256" s="93"/>
      <c r="P256" s="93"/>
      <c r="S256" s="2"/>
      <c r="T256" s="2"/>
      <c r="U256" s="2"/>
    </row>
    <row r="257" spans="1:21" ht="12.75">
      <c r="A257" s="34">
        <f t="shared" si="11"/>
        <v>2313</v>
      </c>
      <c r="B257" s="388"/>
      <c r="C257" s="389" t="e">
        <f>'A-E'!#REF!</f>
        <v>#REF!</v>
      </c>
      <c r="D257" s="390" t="e">
        <f>'A-E'!#REF!</f>
        <v>#REF!</v>
      </c>
      <c r="E257" s="1"/>
      <c r="G257" s="5"/>
      <c r="H257" s="2"/>
      <c r="J257" s="2"/>
      <c r="L257" s="93"/>
      <c r="M257" s="96"/>
      <c r="N257" s="93"/>
      <c r="P257" s="93"/>
      <c r="S257" s="2"/>
      <c r="T257" s="2"/>
      <c r="U257" s="2"/>
    </row>
    <row r="258" spans="1:21" ht="12.75">
      <c r="A258" s="34">
        <f t="shared" si="11"/>
        <v>2314</v>
      </c>
      <c r="B258" s="388"/>
      <c r="C258" s="389" t="e">
        <f>'A-E'!#REF!</f>
        <v>#REF!</v>
      </c>
      <c r="D258" s="390" t="e">
        <f>'A-E'!#REF!</f>
        <v>#REF!</v>
      </c>
      <c r="E258" s="1"/>
      <c r="G258" s="5"/>
      <c r="H258" s="2"/>
      <c r="J258" s="2"/>
      <c r="L258" s="93"/>
      <c r="M258" s="96"/>
      <c r="N258" s="93"/>
      <c r="P258" s="93"/>
      <c r="S258" s="2"/>
      <c r="T258" s="2"/>
      <c r="U258" s="2"/>
    </row>
    <row r="259" spans="1:21" ht="12.75">
      <c r="A259" s="35">
        <f t="shared" si="11"/>
        <v>2315</v>
      </c>
      <c r="B259" s="388"/>
      <c r="C259" s="389" t="e">
        <f>'A-E'!#REF!</f>
        <v>#REF!</v>
      </c>
      <c r="D259" s="398"/>
      <c r="E259" s="1"/>
      <c r="G259" s="5"/>
      <c r="H259" s="2"/>
      <c r="J259" s="2"/>
      <c r="L259" s="93"/>
      <c r="M259" s="96"/>
      <c r="N259" s="93"/>
      <c r="P259" s="93"/>
      <c r="S259" s="2"/>
      <c r="T259" s="2"/>
      <c r="U259" s="2"/>
    </row>
    <row r="260" spans="1:21" ht="12.75">
      <c r="A260" s="37">
        <f t="shared" si="11"/>
        <v>2316</v>
      </c>
      <c r="B260" s="38"/>
      <c r="C260" s="292" t="e">
        <f>C245-C246+SUM(C247:C259)</f>
        <v>#REF!</v>
      </c>
      <c r="D260" s="308" t="e">
        <f>SUM(D247:D258)</f>
        <v>#REF!</v>
      </c>
      <c r="E260" s="1"/>
      <c r="G260" s="5"/>
      <c r="H260" s="2"/>
      <c r="J260" s="2"/>
      <c r="L260" s="93"/>
      <c r="M260" s="96"/>
      <c r="N260" s="93"/>
      <c r="P260" s="93"/>
      <c r="S260" s="2"/>
      <c r="T260" s="2"/>
      <c r="U260" s="2"/>
    </row>
    <row r="261" spans="1:7" ht="12.75">
      <c r="A261" s="26"/>
      <c r="B261" s="90"/>
      <c r="C261" s="90"/>
      <c r="D261" s="90"/>
      <c r="E261" s="90"/>
      <c r="F261" s="42"/>
      <c r="G261" s="42"/>
    </row>
    <row r="262" spans="1:7" ht="12.75">
      <c r="A262" s="37">
        <f>A260+1</f>
        <v>2317</v>
      </c>
      <c r="B262" s="59"/>
      <c r="C262" s="399"/>
      <c r="D262" s="400"/>
      <c r="E262" s="399"/>
      <c r="F262" s="401"/>
      <c r="G262" s="402" t="e">
        <f>'A-E'!#REF!</f>
        <v>#REF!</v>
      </c>
    </row>
    <row r="263" spans="1:7" ht="12.75">
      <c r="A263" s="41"/>
      <c r="B263" s="42"/>
      <c r="C263" s="42"/>
      <c r="D263" s="42"/>
      <c r="E263" s="42"/>
      <c r="F263" s="42"/>
      <c r="G263" s="42"/>
    </row>
    <row r="264" spans="1:21" ht="12.75" customHeight="1">
      <c r="A264" s="21"/>
      <c r="B264" s="208"/>
      <c r="C264" s="105" t="s">
        <v>187</v>
      </c>
      <c r="D264" s="105" t="s">
        <v>188</v>
      </c>
      <c r="E264" s="1"/>
      <c r="G264" s="5"/>
      <c r="H264" s="2"/>
      <c r="J264" s="2"/>
      <c r="L264" s="93"/>
      <c r="M264" s="96"/>
      <c r="N264" s="93"/>
      <c r="P264" s="93"/>
      <c r="S264" s="2"/>
      <c r="T264" s="2"/>
      <c r="U264" s="2"/>
    </row>
    <row r="265" spans="1:21" ht="12.75">
      <c r="A265" s="21"/>
      <c r="B265" s="208"/>
      <c r="C265" s="109"/>
      <c r="D265" s="109"/>
      <c r="E265" s="1"/>
      <c r="G265" s="5"/>
      <c r="H265" s="2"/>
      <c r="J265" s="2"/>
      <c r="L265" s="93"/>
      <c r="M265" s="96"/>
      <c r="N265" s="93"/>
      <c r="P265" s="93"/>
      <c r="S265" s="2"/>
      <c r="T265" s="2"/>
      <c r="U265" s="2"/>
    </row>
    <row r="266" spans="1:21" ht="12.75">
      <c r="A266" s="26"/>
      <c r="B266" s="90"/>
      <c r="C266" s="42"/>
      <c r="D266" s="42"/>
      <c r="E266" s="1"/>
      <c r="G266" s="5"/>
      <c r="H266" s="2"/>
      <c r="J266" s="2"/>
      <c r="L266" s="93"/>
      <c r="M266" s="96"/>
      <c r="N266" s="93"/>
      <c r="P266" s="93"/>
      <c r="S266" s="2"/>
      <c r="T266" s="2"/>
      <c r="U266" s="2"/>
    </row>
    <row r="267" spans="1:21" ht="12.75">
      <c r="A267" s="159" t="s">
        <v>196</v>
      </c>
      <c r="B267" s="94" t="s">
        <v>197</v>
      </c>
      <c r="C267" s="387"/>
      <c r="D267" s="95"/>
      <c r="E267" s="1"/>
      <c r="G267" s="5"/>
      <c r="H267" s="2"/>
      <c r="J267" s="2"/>
      <c r="L267" s="93"/>
      <c r="M267" s="96"/>
      <c r="N267" s="93"/>
      <c r="P267" s="93"/>
      <c r="S267" s="2"/>
      <c r="T267" s="2"/>
      <c r="U267" s="2"/>
    </row>
    <row r="268" spans="1:21" ht="12.75">
      <c r="A268" s="31">
        <f>'A-E'!A99</f>
        <v>2401</v>
      </c>
      <c r="B268" s="388"/>
      <c r="C268" s="389">
        <f>'A-E'!C99</f>
        <v>0</v>
      </c>
      <c r="D268" s="390">
        <f>'A-E'!D99</f>
        <v>0</v>
      </c>
      <c r="E268" s="1"/>
      <c r="G268" s="5"/>
      <c r="H268" s="2"/>
      <c r="J268" s="2"/>
      <c r="L268" s="93"/>
      <c r="M268" s="96"/>
      <c r="N268" s="93"/>
      <c r="P268" s="93"/>
      <c r="S268" s="2"/>
      <c r="T268" s="2"/>
      <c r="U268" s="2"/>
    </row>
    <row r="269" spans="1:21" ht="12.75">
      <c r="A269" s="34">
        <f aca="true" t="shared" si="12" ref="A269:A286">A268+1</f>
        <v>2402</v>
      </c>
      <c r="B269" s="388"/>
      <c r="C269" s="389">
        <f>'A-E'!C101</f>
        <v>0</v>
      </c>
      <c r="D269" s="397"/>
      <c r="E269" s="1"/>
      <c r="G269" s="5"/>
      <c r="H269" s="2"/>
      <c r="J269" s="2"/>
      <c r="L269" s="93"/>
      <c r="M269" s="96"/>
      <c r="N269" s="93"/>
      <c r="P269" s="93"/>
      <c r="S269" s="2"/>
      <c r="T269" s="2"/>
      <c r="U269" s="2"/>
    </row>
    <row r="270" spans="1:21" ht="12.75">
      <c r="A270" s="34">
        <f t="shared" si="12"/>
        <v>2403</v>
      </c>
      <c r="B270" s="388"/>
      <c r="C270" s="390">
        <f>'A-E'!C113</f>
        <v>0</v>
      </c>
      <c r="D270" s="397"/>
      <c r="E270" s="1"/>
      <c r="G270" s="5"/>
      <c r="H270" s="2"/>
      <c r="J270" s="2"/>
      <c r="L270" s="93"/>
      <c r="M270" s="96"/>
      <c r="N270" s="93"/>
      <c r="P270" s="93"/>
      <c r="S270" s="2"/>
      <c r="T270" s="2"/>
      <c r="U270" s="2"/>
    </row>
    <row r="271" spans="1:21" ht="12.75">
      <c r="A271" s="34">
        <f t="shared" si="12"/>
        <v>2404</v>
      </c>
      <c r="B271" s="388"/>
      <c r="C271" s="389" t="e">
        <f>'A-E'!#REF!</f>
        <v>#REF!</v>
      </c>
      <c r="D271" s="397"/>
      <c r="E271" s="1"/>
      <c r="G271" s="5"/>
      <c r="H271" s="2"/>
      <c r="J271" s="2"/>
      <c r="L271" s="93"/>
      <c r="M271" s="96"/>
      <c r="N271" s="93"/>
      <c r="P271" s="93"/>
      <c r="S271" s="2"/>
      <c r="T271" s="2"/>
      <c r="U271" s="2"/>
    </row>
    <row r="272" spans="1:21" ht="12.75">
      <c r="A272" s="34">
        <f t="shared" si="12"/>
        <v>2405</v>
      </c>
      <c r="B272" s="388"/>
      <c r="C272" s="389" t="e">
        <f>'A-E'!#REF!</f>
        <v>#REF!</v>
      </c>
      <c r="D272" s="397"/>
      <c r="E272" s="1"/>
      <c r="G272" s="5"/>
      <c r="H272" s="2"/>
      <c r="J272" s="2"/>
      <c r="L272" s="93"/>
      <c r="M272" s="96"/>
      <c r="N272" s="93"/>
      <c r="P272" s="93"/>
      <c r="S272" s="2"/>
      <c r="T272" s="2"/>
      <c r="U272" s="2"/>
    </row>
    <row r="273" spans="1:21" ht="12.75">
      <c r="A273" s="34">
        <f t="shared" si="12"/>
        <v>2406</v>
      </c>
      <c r="B273" s="388"/>
      <c r="C273" s="389" t="e">
        <f>'A-E'!#REF!</f>
        <v>#REF!</v>
      </c>
      <c r="D273" s="397"/>
      <c r="E273" s="1"/>
      <c r="G273" s="5"/>
      <c r="H273" s="2"/>
      <c r="J273" s="2"/>
      <c r="L273" s="93"/>
      <c r="M273" s="96"/>
      <c r="N273" s="93"/>
      <c r="P273" s="93"/>
      <c r="S273" s="2"/>
      <c r="T273" s="2"/>
      <c r="U273" s="2"/>
    </row>
    <row r="274" spans="1:21" ht="12.75">
      <c r="A274" s="34">
        <f t="shared" si="12"/>
        <v>2407</v>
      </c>
      <c r="B274" s="388"/>
      <c r="C274" s="389" t="e">
        <f>'A-E'!#REF!</f>
        <v>#REF!</v>
      </c>
      <c r="D274" s="397"/>
      <c r="E274" s="1"/>
      <c r="G274" s="5"/>
      <c r="H274" s="2"/>
      <c r="J274" s="2"/>
      <c r="L274" s="93"/>
      <c r="M274" s="96"/>
      <c r="N274" s="93"/>
      <c r="P274" s="93"/>
      <c r="S274" s="2"/>
      <c r="T274" s="2"/>
      <c r="U274" s="2"/>
    </row>
    <row r="275" spans="1:21" ht="12.75">
      <c r="A275" s="34">
        <f t="shared" si="12"/>
        <v>2408</v>
      </c>
      <c r="B275" s="388"/>
      <c r="C275" s="389" t="e">
        <f>'A-E'!#REF!</f>
        <v>#REF!</v>
      </c>
      <c r="D275" s="397"/>
      <c r="E275" s="1"/>
      <c r="G275" s="5"/>
      <c r="H275" s="2"/>
      <c r="J275" s="2"/>
      <c r="L275" s="93"/>
      <c r="M275" s="96"/>
      <c r="N275" s="93"/>
      <c r="P275" s="93"/>
      <c r="S275" s="2"/>
      <c r="T275" s="2"/>
      <c r="U275" s="2"/>
    </row>
    <row r="276" spans="1:21" ht="12.75">
      <c r="A276" s="34">
        <f t="shared" si="12"/>
        <v>2409</v>
      </c>
      <c r="B276" s="388"/>
      <c r="C276" s="389" t="e">
        <f>'A-E'!#REF!</f>
        <v>#REF!</v>
      </c>
      <c r="D276" s="397"/>
      <c r="E276" s="1"/>
      <c r="G276" s="5"/>
      <c r="H276" s="2"/>
      <c r="J276" s="2"/>
      <c r="L276" s="93"/>
      <c r="M276" s="96"/>
      <c r="N276" s="93"/>
      <c r="P276" s="93"/>
      <c r="S276" s="2"/>
      <c r="T276" s="2"/>
      <c r="U276" s="2"/>
    </row>
    <row r="277" spans="1:21" ht="12.75">
      <c r="A277" s="34">
        <f t="shared" si="12"/>
        <v>2410</v>
      </c>
      <c r="B277" s="388"/>
      <c r="C277" s="389" t="e">
        <f>'A-E'!#REF!</f>
        <v>#REF!</v>
      </c>
      <c r="D277" s="397"/>
      <c r="E277" s="1"/>
      <c r="G277" s="5"/>
      <c r="H277" s="2"/>
      <c r="J277" s="2"/>
      <c r="L277" s="93"/>
      <c r="M277" s="96"/>
      <c r="N277" s="93"/>
      <c r="P277" s="93"/>
      <c r="S277" s="2"/>
      <c r="T277" s="2"/>
      <c r="U277" s="2"/>
    </row>
    <row r="278" spans="1:21" ht="12.75">
      <c r="A278" s="34">
        <f t="shared" si="12"/>
        <v>2411</v>
      </c>
      <c r="B278" s="388"/>
      <c r="C278" s="389" t="e">
        <f>'A-E'!#REF!</f>
        <v>#REF!</v>
      </c>
      <c r="D278" s="397"/>
      <c r="E278" s="1"/>
      <c r="G278" s="5"/>
      <c r="H278" s="2"/>
      <c r="J278" s="2"/>
      <c r="L278" s="93"/>
      <c r="M278" s="96"/>
      <c r="N278" s="93"/>
      <c r="P278" s="93"/>
      <c r="S278" s="2"/>
      <c r="T278" s="2"/>
      <c r="U278" s="2"/>
    </row>
    <row r="279" spans="1:21" ht="12.75">
      <c r="A279" s="34">
        <f t="shared" si="12"/>
        <v>2412</v>
      </c>
      <c r="B279" s="388"/>
      <c r="C279" s="389" t="e">
        <f>'A-E'!#REF!</f>
        <v>#REF!</v>
      </c>
      <c r="D279" s="397"/>
      <c r="E279" s="1"/>
      <c r="G279" s="5"/>
      <c r="H279" s="2"/>
      <c r="J279" s="2"/>
      <c r="L279" s="93"/>
      <c r="M279" s="96"/>
      <c r="N279" s="93"/>
      <c r="P279" s="93"/>
      <c r="S279" s="2"/>
      <c r="T279" s="2"/>
      <c r="U279" s="2"/>
    </row>
    <row r="280" spans="1:21" ht="12.75">
      <c r="A280" s="34">
        <f t="shared" si="12"/>
        <v>2413</v>
      </c>
      <c r="B280" s="388"/>
      <c r="C280" s="389" t="e">
        <f>'A-E'!#REF!</f>
        <v>#REF!</v>
      </c>
      <c r="D280" s="397"/>
      <c r="E280" s="1"/>
      <c r="G280" s="5"/>
      <c r="H280" s="2"/>
      <c r="J280" s="2"/>
      <c r="L280" s="93"/>
      <c r="M280" s="96"/>
      <c r="N280" s="93"/>
      <c r="P280" s="93"/>
      <c r="S280" s="2"/>
      <c r="T280" s="2"/>
      <c r="U280" s="2"/>
    </row>
    <row r="281" spans="1:21" ht="12.75">
      <c r="A281" s="34">
        <f t="shared" si="12"/>
        <v>2414</v>
      </c>
      <c r="B281" s="388"/>
      <c r="C281" s="389" t="e">
        <f>'A-E'!#REF!</f>
        <v>#REF!</v>
      </c>
      <c r="D281" s="397"/>
      <c r="E281" s="1"/>
      <c r="G281" s="5"/>
      <c r="H281" s="2"/>
      <c r="J281" s="2"/>
      <c r="L281" s="93"/>
      <c r="M281" s="96"/>
      <c r="N281" s="93"/>
      <c r="P281" s="93"/>
      <c r="S281" s="2"/>
      <c r="T281" s="2"/>
      <c r="U281" s="2"/>
    </row>
    <row r="282" spans="1:21" ht="12.75">
      <c r="A282" s="34">
        <f t="shared" si="12"/>
        <v>2415</v>
      </c>
      <c r="B282" s="388"/>
      <c r="C282" s="389" t="e">
        <f>'A-E'!#REF!</f>
        <v>#REF!</v>
      </c>
      <c r="D282" s="397"/>
      <c r="E282" s="1"/>
      <c r="G282" s="5"/>
      <c r="H282" s="2"/>
      <c r="J282" s="2"/>
      <c r="L282" s="93"/>
      <c r="M282" s="96"/>
      <c r="N282" s="93"/>
      <c r="P282" s="93"/>
      <c r="S282" s="2"/>
      <c r="T282" s="2"/>
      <c r="U282" s="2"/>
    </row>
    <row r="283" spans="1:21" ht="12.75">
      <c r="A283" s="34">
        <f t="shared" si="12"/>
        <v>2416</v>
      </c>
      <c r="B283" s="388"/>
      <c r="C283" s="403"/>
      <c r="D283" s="390">
        <f>'A-E'!D114</f>
        <v>0</v>
      </c>
      <c r="E283" s="1"/>
      <c r="G283" s="5"/>
      <c r="H283" s="2"/>
      <c r="J283" s="2"/>
      <c r="L283" s="93"/>
      <c r="M283" s="96"/>
      <c r="N283" s="93"/>
      <c r="P283" s="93"/>
      <c r="S283" s="2"/>
      <c r="T283" s="2"/>
      <c r="U283" s="2"/>
    </row>
    <row r="284" spans="1:21" ht="12.75">
      <c r="A284" s="34">
        <f t="shared" si="12"/>
        <v>2417</v>
      </c>
      <c r="B284" s="388"/>
      <c r="C284" s="390">
        <f>'A-E'!C115</f>
        <v>0</v>
      </c>
      <c r="D284" s="397"/>
      <c r="E284" s="1"/>
      <c r="G284" s="5"/>
      <c r="H284" s="2"/>
      <c r="J284" s="2"/>
      <c r="L284" s="93"/>
      <c r="M284" s="96"/>
      <c r="N284" s="93"/>
      <c r="P284" s="93"/>
      <c r="S284" s="2"/>
      <c r="T284" s="2"/>
      <c r="U284" s="2"/>
    </row>
    <row r="285" spans="1:21" ht="12.75">
      <c r="A285" s="35">
        <f t="shared" si="12"/>
        <v>2418</v>
      </c>
      <c r="B285" s="388"/>
      <c r="C285" s="389" t="e">
        <f>'A-E'!#REF!</f>
        <v>#REF!</v>
      </c>
      <c r="D285" s="398"/>
      <c r="E285" s="1"/>
      <c r="G285" s="5"/>
      <c r="H285" s="2"/>
      <c r="J285" s="2"/>
      <c r="L285" s="93"/>
      <c r="M285" s="96"/>
      <c r="N285" s="93"/>
      <c r="P285" s="93"/>
      <c r="S285" s="2"/>
      <c r="T285" s="2"/>
      <c r="U285" s="2"/>
    </row>
    <row r="286" spans="1:21" ht="12.75">
      <c r="A286" s="37">
        <f t="shared" si="12"/>
        <v>2419</v>
      </c>
      <c r="B286" s="38"/>
      <c r="C286" s="292"/>
      <c r="D286" s="308"/>
      <c r="E286" s="1"/>
      <c r="G286" s="5"/>
      <c r="H286" s="2"/>
      <c r="J286" s="2"/>
      <c r="L286" s="93"/>
      <c r="M286" s="96"/>
      <c r="N286" s="93"/>
      <c r="P286" s="93"/>
      <c r="S286" s="2"/>
      <c r="T286" s="2"/>
      <c r="U286" s="2"/>
    </row>
    <row r="287" spans="4:7" ht="12.75">
      <c r="D287" s="2"/>
      <c r="G287" s="2"/>
    </row>
    <row r="288" spans="1:21" ht="12.75" customHeight="1">
      <c r="A288" s="21"/>
      <c r="B288" s="105" t="s">
        <v>109</v>
      </c>
      <c r="C288" s="404" t="s">
        <v>111</v>
      </c>
      <c r="D288" s="405"/>
      <c r="G288" s="93"/>
      <c r="H288" s="96"/>
      <c r="I288" s="93"/>
      <c r="J288" s="93"/>
      <c r="K288" s="93"/>
      <c r="L288" s="93"/>
      <c r="M288" s="93"/>
      <c r="O288" s="2"/>
      <c r="P288" s="2"/>
      <c r="Q288" s="2"/>
      <c r="R288" s="2"/>
      <c r="S288" s="2"/>
      <c r="T288" s="2"/>
      <c r="U288" s="2"/>
    </row>
    <row r="289" spans="1:21" ht="12.75">
      <c r="A289" s="21"/>
      <c r="B289" s="109" t="s">
        <v>110</v>
      </c>
      <c r="C289" s="406" t="s">
        <v>112</v>
      </c>
      <c r="D289" s="407"/>
      <c r="G289" s="93"/>
      <c r="H289" s="96"/>
      <c r="I289" s="93"/>
      <c r="J289" s="93"/>
      <c r="K289" s="93"/>
      <c r="L289" s="93"/>
      <c r="M289" s="93"/>
      <c r="O289" s="2"/>
      <c r="P289" s="2"/>
      <c r="Q289" s="2"/>
      <c r="R289" s="2"/>
      <c r="S289" s="2"/>
      <c r="T289" s="2"/>
      <c r="U289" s="2"/>
    </row>
    <row r="290" spans="1:21" ht="12.75">
      <c r="A290" s="26"/>
      <c r="B290" s="29"/>
      <c r="C290" s="29"/>
      <c r="D290" s="196"/>
      <c r="G290" s="93"/>
      <c r="H290" s="96"/>
      <c r="I290" s="93"/>
      <c r="J290" s="93"/>
      <c r="K290" s="93"/>
      <c r="L290" s="93"/>
      <c r="M290" s="93"/>
      <c r="O290" s="2"/>
      <c r="P290" s="2"/>
      <c r="Q290" s="2"/>
      <c r="R290" s="2"/>
      <c r="S290" s="2"/>
      <c r="T290" s="2"/>
      <c r="U290" s="2"/>
    </row>
    <row r="291" spans="1:21" ht="12.75">
      <c r="A291" s="159" t="s">
        <v>198</v>
      </c>
      <c r="B291" s="387"/>
      <c r="C291" s="95"/>
      <c r="D291" s="408"/>
      <c r="G291" s="93"/>
      <c r="H291" s="96"/>
      <c r="I291" s="93"/>
      <c r="J291" s="93"/>
      <c r="K291" s="93"/>
      <c r="L291" s="93"/>
      <c r="M291" s="93"/>
      <c r="O291" s="2"/>
      <c r="P291" s="2"/>
      <c r="Q291" s="2"/>
      <c r="R291" s="2"/>
      <c r="S291" s="2"/>
      <c r="T291" s="2"/>
      <c r="U291" s="2"/>
    </row>
    <row r="292" spans="1:21" ht="12.75">
      <c r="A292" s="31" t="e">
        <f>'A-E'!#REF!</f>
        <v>#REF!</v>
      </c>
      <c r="B292" s="389" t="e">
        <f>'A-E'!#REF!</f>
        <v>#REF!</v>
      </c>
      <c r="C292" s="392" t="e">
        <f>'A-E'!#REF!</f>
        <v>#REF!</v>
      </c>
      <c r="D292" s="389" t="e">
        <f>#REF!</f>
        <v>#REF!</v>
      </c>
      <c r="G292" s="93"/>
      <c r="H292" s="96"/>
      <c r="I292" s="93"/>
      <c r="J292" s="93"/>
      <c r="K292" s="93"/>
      <c r="L292" s="93"/>
      <c r="M292" s="93"/>
      <c r="O292" s="2"/>
      <c r="P292" s="2"/>
      <c r="Q292" s="2"/>
      <c r="R292" s="2"/>
      <c r="S292" s="2"/>
      <c r="T292" s="2"/>
      <c r="U292" s="2"/>
    </row>
    <row r="293" spans="1:21" ht="12.75">
      <c r="A293" s="34" t="e">
        <f aca="true" t="shared" si="13" ref="A293:A305">A292+1</f>
        <v>#REF!</v>
      </c>
      <c r="B293" s="389" t="e">
        <f>'A-E'!#REF!</f>
        <v>#REF!</v>
      </c>
      <c r="C293" s="392" t="e">
        <f>'A-E'!#REF!</f>
        <v>#REF!</v>
      </c>
      <c r="D293" s="389" t="e">
        <f>#REF!</f>
        <v>#REF!</v>
      </c>
      <c r="G293" s="93"/>
      <c r="H293" s="96"/>
      <c r="I293" s="93"/>
      <c r="J293" s="93"/>
      <c r="K293" s="93"/>
      <c r="L293" s="93"/>
      <c r="M293" s="93"/>
      <c r="O293" s="2"/>
      <c r="P293" s="2"/>
      <c r="Q293" s="2"/>
      <c r="R293" s="2"/>
      <c r="S293" s="2"/>
      <c r="T293" s="2"/>
      <c r="U293" s="2"/>
    </row>
    <row r="294" spans="1:21" ht="12.75">
      <c r="A294" s="34" t="e">
        <f t="shared" si="13"/>
        <v>#REF!</v>
      </c>
      <c r="B294" s="389" t="e">
        <f>'A-E'!#REF!</f>
        <v>#REF!</v>
      </c>
      <c r="C294" s="392" t="e">
        <f>'A-E'!#REF!</f>
        <v>#REF!</v>
      </c>
      <c r="D294" s="389" t="e">
        <f>#REF!</f>
        <v>#REF!</v>
      </c>
      <c r="G294" s="93"/>
      <c r="H294" s="96"/>
      <c r="I294" s="93"/>
      <c r="J294" s="93"/>
      <c r="K294" s="93"/>
      <c r="L294" s="93"/>
      <c r="M294" s="93"/>
      <c r="O294" s="2"/>
      <c r="P294" s="2"/>
      <c r="Q294" s="2"/>
      <c r="R294" s="2"/>
      <c r="S294" s="2"/>
      <c r="T294" s="2"/>
      <c r="U294" s="2"/>
    </row>
    <row r="295" spans="1:21" ht="12.75">
      <c r="A295" s="34" t="e">
        <f t="shared" si="13"/>
        <v>#REF!</v>
      </c>
      <c r="B295" s="389" t="e">
        <f>'A-E'!#REF!</f>
        <v>#REF!</v>
      </c>
      <c r="C295" s="392" t="e">
        <f>'A-E'!#REF!</f>
        <v>#REF!</v>
      </c>
      <c r="D295" s="389" t="e">
        <f>#REF!</f>
        <v>#REF!</v>
      </c>
      <c r="G295" s="93"/>
      <c r="H295" s="96"/>
      <c r="I295" s="93"/>
      <c r="J295" s="93"/>
      <c r="K295" s="93"/>
      <c r="L295" s="93"/>
      <c r="M295" s="93"/>
      <c r="O295" s="2"/>
      <c r="P295" s="2"/>
      <c r="Q295" s="2"/>
      <c r="R295" s="2"/>
      <c r="S295" s="2"/>
      <c r="T295" s="2"/>
      <c r="U295" s="2"/>
    </row>
    <row r="296" spans="1:21" ht="12.75">
      <c r="A296" s="34" t="e">
        <f t="shared" si="13"/>
        <v>#REF!</v>
      </c>
      <c r="B296" s="389" t="e">
        <f>'A-E'!#REF!</f>
        <v>#REF!</v>
      </c>
      <c r="C296" s="392" t="e">
        <f>'A-E'!#REF!</f>
        <v>#REF!</v>
      </c>
      <c r="D296" s="389" t="e">
        <f>#REF!</f>
        <v>#REF!</v>
      </c>
      <c r="G296" s="93"/>
      <c r="H296" s="96"/>
      <c r="I296" s="93"/>
      <c r="J296" s="93"/>
      <c r="K296" s="93"/>
      <c r="L296" s="93"/>
      <c r="M296" s="93"/>
      <c r="O296" s="2"/>
      <c r="P296" s="2"/>
      <c r="Q296" s="2"/>
      <c r="R296" s="2"/>
      <c r="S296" s="2"/>
      <c r="T296" s="2"/>
      <c r="U296" s="2"/>
    </row>
    <row r="297" spans="1:21" ht="12.75">
      <c r="A297" s="34" t="e">
        <f t="shared" si="13"/>
        <v>#REF!</v>
      </c>
      <c r="B297" s="389" t="e">
        <f>'A-E'!#REF!</f>
        <v>#REF!</v>
      </c>
      <c r="C297" s="392" t="e">
        <f>'A-E'!#REF!</f>
        <v>#REF!</v>
      </c>
      <c r="D297" s="389" t="e">
        <f>#REF!</f>
        <v>#REF!</v>
      </c>
      <c r="G297" s="93"/>
      <c r="H297" s="96"/>
      <c r="I297" s="93"/>
      <c r="J297" s="93"/>
      <c r="K297" s="93"/>
      <c r="L297" s="93"/>
      <c r="M297" s="93"/>
      <c r="O297" s="2"/>
      <c r="P297" s="2"/>
      <c r="Q297" s="2"/>
      <c r="R297" s="2"/>
      <c r="S297" s="2"/>
      <c r="T297" s="2"/>
      <c r="U297" s="2"/>
    </row>
    <row r="298" spans="1:21" ht="12.75">
      <c r="A298" s="34" t="e">
        <f t="shared" si="13"/>
        <v>#REF!</v>
      </c>
      <c r="B298" s="389" t="e">
        <f>'A-E'!#REF!</f>
        <v>#REF!</v>
      </c>
      <c r="C298" s="392" t="e">
        <f>'A-E'!#REF!</f>
        <v>#REF!</v>
      </c>
      <c r="D298" s="389" t="e">
        <f>#REF!</f>
        <v>#REF!</v>
      </c>
      <c r="G298" s="93"/>
      <c r="H298" s="96"/>
      <c r="I298" s="93"/>
      <c r="J298" s="93"/>
      <c r="K298" s="93"/>
      <c r="L298" s="93"/>
      <c r="M298" s="93"/>
      <c r="O298" s="2"/>
      <c r="P298" s="2"/>
      <c r="Q298" s="2"/>
      <c r="R298" s="2"/>
      <c r="S298" s="2"/>
      <c r="T298" s="2"/>
      <c r="U298" s="2"/>
    </row>
    <row r="299" spans="1:21" ht="12.75">
      <c r="A299" s="34" t="e">
        <f t="shared" si="13"/>
        <v>#REF!</v>
      </c>
      <c r="B299" s="389" t="e">
        <f>'A-E'!#REF!</f>
        <v>#REF!</v>
      </c>
      <c r="C299" s="392" t="e">
        <f>'A-E'!#REF!</f>
        <v>#REF!</v>
      </c>
      <c r="D299" s="389" t="e">
        <f>#REF!</f>
        <v>#REF!</v>
      </c>
      <c r="G299" s="93"/>
      <c r="H299" s="96"/>
      <c r="I299" s="93"/>
      <c r="J299" s="93"/>
      <c r="K299" s="93"/>
      <c r="L299" s="93"/>
      <c r="M299" s="93"/>
      <c r="O299" s="2"/>
      <c r="P299" s="2"/>
      <c r="Q299" s="2"/>
      <c r="R299" s="2"/>
      <c r="S299" s="2"/>
      <c r="T299" s="2"/>
      <c r="U299" s="2"/>
    </row>
    <row r="300" spans="1:21" ht="12.75">
      <c r="A300" s="34" t="e">
        <f t="shared" si="13"/>
        <v>#REF!</v>
      </c>
      <c r="B300" s="389" t="e">
        <f>'A-E'!#REF!</f>
        <v>#REF!</v>
      </c>
      <c r="C300" s="392" t="e">
        <f>'A-E'!#REF!</f>
        <v>#REF!</v>
      </c>
      <c r="D300" s="389" t="e">
        <f>#REF!</f>
        <v>#REF!</v>
      </c>
      <c r="G300" s="93"/>
      <c r="H300" s="96"/>
      <c r="I300" s="93"/>
      <c r="J300" s="93"/>
      <c r="K300" s="93"/>
      <c r="L300" s="93"/>
      <c r="M300" s="93"/>
      <c r="O300" s="2"/>
      <c r="P300" s="2"/>
      <c r="Q300" s="2"/>
      <c r="R300" s="2"/>
      <c r="S300" s="2"/>
      <c r="T300" s="2"/>
      <c r="U300" s="2"/>
    </row>
    <row r="301" spans="1:21" ht="12.75">
      <c r="A301" s="34" t="e">
        <f t="shared" si="13"/>
        <v>#REF!</v>
      </c>
      <c r="B301" s="389" t="e">
        <f>'A-E'!#REF!</f>
        <v>#REF!</v>
      </c>
      <c r="C301" s="392" t="e">
        <f>'A-E'!#REF!</f>
        <v>#REF!</v>
      </c>
      <c r="D301" s="389" t="e">
        <f>#REF!</f>
        <v>#REF!</v>
      </c>
      <c r="G301" s="93"/>
      <c r="H301" s="96"/>
      <c r="I301" s="93"/>
      <c r="J301" s="93"/>
      <c r="K301" s="93"/>
      <c r="L301" s="93"/>
      <c r="M301" s="93"/>
      <c r="O301" s="2"/>
      <c r="P301" s="2"/>
      <c r="Q301" s="2"/>
      <c r="R301" s="2"/>
      <c r="S301" s="2"/>
      <c r="T301" s="2"/>
      <c r="U301" s="2"/>
    </row>
    <row r="302" spans="1:21" ht="12.75">
      <c r="A302" s="34" t="e">
        <f t="shared" si="13"/>
        <v>#REF!</v>
      </c>
      <c r="B302" s="389" t="e">
        <f>'A-E'!#REF!</f>
        <v>#REF!</v>
      </c>
      <c r="C302" s="392" t="e">
        <f>'A-E'!#REF!</f>
        <v>#REF!</v>
      </c>
      <c r="D302" s="389" t="e">
        <f>#REF!</f>
        <v>#REF!</v>
      </c>
      <c r="G302" s="93"/>
      <c r="H302" s="96"/>
      <c r="I302" s="93"/>
      <c r="J302" s="93"/>
      <c r="K302" s="93"/>
      <c r="L302" s="93"/>
      <c r="M302" s="93"/>
      <c r="O302" s="2"/>
      <c r="P302" s="2"/>
      <c r="Q302" s="2"/>
      <c r="R302" s="2"/>
      <c r="S302" s="2"/>
      <c r="T302" s="2"/>
      <c r="U302" s="2"/>
    </row>
    <row r="303" spans="1:21" ht="12.75">
      <c r="A303" s="34" t="e">
        <f t="shared" si="13"/>
        <v>#REF!</v>
      </c>
      <c r="B303" s="389" t="e">
        <f>'A-E'!#REF!</f>
        <v>#REF!</v>
      </c>
      <c r="C303" s="392" t="e">
        <f>'A-E'!#REF!</f>
        <v>#REF!</v>
      </c>
      <c r="D303" s="389" t="e">
        <f>#REF!</f>
        <v>#REF!</v>
      </c>
      <c r="G303" s="93"/>
      <c r="H303" s="96"/>
      <c r="I303" s="93"/>
      <c r="J303" s="93"/>
      <c r="K303" s="93"/>
      <c r="L303" s="93"/>
      <c r="M303" s="93"/>
      <c r="O303" s="2"/>
      <c r="P303" s="2"/>
      <c r="Q303" s="2"/>
      <c r="R303" s="2"/>
      <c r="S303" s="2"/>
      <c r="T303" s="2"/>
      <c r="U303" s="2"/>
    </row>
    <row r="304" spans="1:21" ht="12.75">
      <c r="A304" s="35" t="e">
        <f t="shared" si="13"/>
        <v>#REF!</v>
      </c>
      <c r="B304" s="389" t="e">
        <f>'A-E'!#REF!</f>
        <v>#REF!</v>
      </c>
      <c r="C304" s="409" t="e">
        <f>'A-E'!#REF!</f>
        <v>#REF!</v>
      </c>
      <c r="D304" s="389" t="e">
        <f>#REF!</f>
        <v>#REF!</v>
      </c>
      <c r="G304" s="93"/>
      <c r="H304" s="96"/>
      <c r="I304" s="93"/>
      <c r="J304" s="93"/>
      <c r="K304" s="93"/>
      <c r="L304" s="93"/>
      <c r="M304" s="93"/>
      <c r="O304" s="2"/>
      <c r="P304" s="2"/>
      <c r="Q304" s="2"/>
      <c r="R304" s="2"/>
      <c r="S304" s="2"/>
      <c r="T304" s="2"/>
      <c r="U304" s="2"/>
    </row>
    <row r="305" spans="1:21" ht="12.75">
      <c r="A305" s="37" t="e">
        <f t="shared" si="13"/>
        <v>#REF!</v>
      </c>
      <c r="B305" s="292"/>
      <c r="C305" s="329"/>
      <c r="D305" s="329"/>
      <c r="G305" s="93"/>
      <c r="H305" s="96"/>
      <c r="I305" s="93"/>
      <c r="J305" s="93"/>
      <c r="K305" s="93"/>
      <c r="L305" s="93"/>
      <c r="M305" s="93"/>
      <c r="O305" s="2"/>
      <c r="P305" s="2"/>
      <c r="Q305" s="2"/>
      <c r="R305" s="2"/>
      <c r="S305" s="2"/>
      <c r="T305" s="2"/>
      <c r="U305" s="2"/>
    </row>
    <row r="306" spans="1:21" ht="12.75">
      <c r="A306" s="41"/>
      <c r="B306" s="42"/>
      <c r="C306" s="90"/>
      <c r="D306" s="42"/>
      <c r="E306" s="42"/>
      <c r="F306" s="42"/>
      <c r="G306" s="2"/>
      <c r="H306" s="2"/>
      <c r="J306" s="93"/>
      <c r="K306" s="96"/>
      <c r="L306" s="93"/>
      <c r="M306" s="93"/>
      <c r="N306" s="93"/>
      <c r="P306" s="93"/>
      <c r="Q306" s="2"/>
      <c r="R306" s="2"/>
      <c r="S306" s="2"/>
      <c r="T306" s="2"/>
      <c r="U306" s="2"/>
    </row>
    <row r="307" spans="1:21" ht="12.75">
      <c r="A307" s="211"/>
      <c r="B307" s="212" t="s">
        <v>77</v>
      </c>
      <c r="C307" s="25" t="s">
        <v>201</v>
      </c>
      <c r="D307" s="25" t="s">
        <v>204</v>
      </c>
      <c r="G307" s="2"/>
      <c r="H307" s="93"/>
      <c r="I307" s="96"/>
      <c r="J307" s="93"/>
      <c r="K307" s="93"/>
      <c r="L307" s="93"/>
      <c r="M307" s="93"/>
      <c r="N307" s="93"/>
      <c r="O307" s="2"/>
      <c r="P307" s="2"/>
      <c r="Q307" s="2"/>
      <c r="R307" s="2"/>
      <c r="S307" s="2"/>
      <c r="T307" s="2"/>
      <c r="U307" s="2"/>
    </row>
    <row r="308" spans="1:21" ht="12.75">
      <c r="A308" s="14"/>
      <c r="B308" s="29"/>
      <c r="C308" s="42"/>
      <c r="D308" s="161"/>
      <c r="E308" s="90"/>
      <c r="F308" s="90"/>
      <c r="G308" s="29"/>
      <c r="H308" s="42"/>
      <c r="I308" s="161"/>
      <c r="J308" s="2"/>
      <c r="M308" s="93"/>
      <c r="N308" s="96"/>
      <c r="P308" s="93"/>
      <c r="T308" s="2"/>
      <c r="U308" s="2"/>
    </row>
    <row r="309" spans="1:21" ht="12.75">
      <c r="A309" s="41" t="s">
        <v>199</v>
      </c>
      <c r="B309" s="163"/>
      <c r="C309" s="42"/>
      <c r="D309" s="42"/>
      <c r="E309" s="90"/>
      <c r="F309" s="90"/>
      <c r="G309" s="163"/>
      <c r="H309" s="42"/>
      <c r="I309" s="42"/>
      <c r="J309" s="2"/>
      <c r="M309" s="93"/>
      <c r="N309" s="96"/>
      <c r="P309" s="93"/>
      <c r="T309" s="2"/>
      <c r="U309" s="2"/>
    </row>
    <row r="310" spans="1:21" ht="12.75">
      <c r="A310" s="262" t="e">
        <f>A305+1</f>
        <v>#REF!</v>
      </c>
      <c r="B310" s="270">
        <f>'A-E'!D77</f>
        <v>9.5</v>
      </c>
      <c r="C310" s="367"/>
      <c r="D310" s="5"/>
      <c r="E310" s="31" t="e">
        <f>A315+1</f>
        <v>#REF!</v>
      </c>
      <c r="F310" s="270">
        <f>'A-E'!D83</f>
        <v>3.5</v>
      </c>
      <c r="G310" s="2"/>
      <c r="H310" s="2"/>
      <c r="J310" s="93"/>
      <c r="K310" s="96"/>
      <c r="L310" s="93"/>
      <c r="M310" s="93"/>
      <c r="N310" s="93"/>
      <c r="P310" s="93"/>
      <c r="Q310" s="2"/>
      <c r="R310" s="2"/>
      <c r="S310" s="2"/>
      <c r="T310" s="2"/>
      <c r="U310" s="2"/>
    </row>
    <row r="311" spans="1:21" ht="12.75">
      <c r="A311" s="34" t="e">
        <f>A310+1</f>
        <v>#REF!</v>
      </c>
      <c r="B311" s="270">
        <f>'A-E'!D78</f>
        <v>8.5</v>
      </c>
      <c r="C311" s="367"/>
      <c r="D311" s="5"/>
      <c r="E311" s="34" t="e">
        <f>E310+1</f>
        <v>#REF!</v>
      </c>
      <c r="F311" s="270">
        <f>'A-E'!D85</f>
        <v>1.5</v>
      </c>
      <c r="G311" s="2"/>
      <c r="H311" s="2"/>
      <c r="J311" s="93"/>
      <c r="K311" s="96"/>
      <c r="L311" s="93"/>
      <c r="M311" s="93"/>
      <c r="N311" s="93"/>
      <c r="P311" s="93"/>
      <c r="Q311" s="2"/>
      <c r="R311" s="2"/>
      <c r="S311" s="2"/>
      <c r="T311" s="2"/>
      <c r="U311" s="2"/>
    </row>
    <row r="312" spans="1:21" ht="12.75">
      <c r="A312" s="34" t="e">
        <f>A311+1</f>
        <v>#REF!</v>
      </c>
      <c r="B312" s="270">
        <f>'A-E'!D79</f>
        <v>7.5</v>
      </c>
      <c r="C312" s="367"/>
      <c r="D312" s="5"/>
      <c r="E312" s="34" t="e">
        <f>E311+1</f>
        <v>#REF!</v>
      </c>
      <c r="F312" s="270" t="e">
        <f>'A-E'!#REF!</f>
        <v>#REF!</v>
      </c>
      <c r="G312" s="2"/>
      <c r="H312" s="2"/>
      <c r="J312" s="93"/>
      <c r="K312" s="96"/>
      <c r="L312" s="93"/>
      <c r="M312" s="93"/>
      <c r="N312" s="93"/>
      <c r="P312" s="93"/>
      <c r="Q312" s="2"/>
      <c r="R312" s="2"/>
      <c r="S312" s="2"/>
      <c r="T312" s="2"/>
      <c r="U312" s="2"/>
    </row>
    <row r="313" spans="1:21" ht="12.75">
      <c r="A313" s="34" t="e">
        <f>A312+1</f>
        <v>#REF!</v>
      </c>
      <c r="B313" s="270">
        <f>'A-E'!D80</f>
        <v>6.5</v>
      </c>
      <c r="C313" s="367"/>
      <c r="D313" s="5"/>
      <c r="E313" s="34" t="e">
        <f>E312+1</f>
        <v>#REF!</v>
      </c>
      <c r="F313" s="270" t="e">
        <f>'A-E'!#REF!</f>
        <v>#REF!</v>
      </c>
      <c r="G313" s="2"/>
      <c r="H313" s="2"/>
      <c r="J313" s="93"/>
      <c r="K313" s="96"/>
      <c r="L313" s="93"/>
      <c r="M313" s="93"/>
      <c r="N313" s="93"/>
      <c r="P313" s="93"/>
      <c r="Q313" s="2"/>
      <c r="R313" s="2"/>
      <c r="S313" s="2"/>
      <c r="T313" s="2"/>
      <c r="U313" s="2"/>
    </row>
    <row r="314" spans="1:21" ht="12.75">
      <c r="A314" s="54" t="e">
        <f>A312+1</f>
        <v>#REF!</v>
      </c>
      <c r="B314" s="270">
        <f>'A-E'!D81</f>
        <v>5.5</v>
      </c>
      <c r="C314" s="367"/>
      <c r="D314" s="5"/>
      <c r="E314" s="34" t="e">
        <f>E313+1</f>
        <v>#REF!</v>
      </c>
      <c r="F314" s="270">
        <f>'A-E'!D86</f>
        <v>0.5</v>
      </c>
      <c r="G314" s="2"/>
      <c r="H314" s="2"/>
      <c r="J314" s="93"/>
      <c r="K314" s="96"/>
      <c r="L314" s="93"/>
      <c r="M314" s="93"/>
      <c r="N314" s="93"/>
      <c r="P314" s="93"/>
      <c r="Q314" s="2"/>
      <c r="R314" s="2"/>
      <c r="S314" s="2"/>
      <c r="T314" s="2"/>
      <c r="U314" s="2"/>
    </row>
    <row r="315" spans="1:21" ht="12.75">
      <c r="A315" s="54" t="e">
        <f>A313+1</f>
        <v>#REF!</v>
      </c>
      <c r="B315" s="270">
        <f>'A-E'!D82</f>
        <v>4.5</v>
      </c>
      <c r="C315" s="367"/>
      <c r="D315" s="5"/>
      <c r="E315" s="37" t="e">
        <f>E314+1</f>
        <v>#REF!</v>
      </c>
      <c r="F315" s="344"/>
      <c r="G315" s="2"/>
      <c r="H315" s="2"/>
      <c r="J315" s="93"/>
      <c r="K315" s="96"/>
      <c r="L315" s="93"/>
      <c r="M315" s="93"/>
      <c r="N315" s="93"/>
      <c r="P315" s="93"/>
      <c r="Q315" s="2"/>
      <c r="R315" s="2"/>
      <c r="S315" s="2"/>
      <c r="T315" s="2"/>
      <c r="U315" s="2"/>
    </row>
    <row r="316" spans="1:11" ht="12.75">
      <c r="A316" s="162" t="e">
        <f>CONCATENATE("* zie onderbouwing regel 40 laatste rekenstaat ",#REF!,)</f>
        <v>#REF!</v>
      </c>
      <c r="B316" s="132"/>
      <c r="C316" s="328"/>
      <c r="D316" s="345"/>
      <c r="E316" s="328"/>
      <c r="F316" s="5"/>
      <c r="G316" s="165"/>
      <c r="H316" s="87"/>
      <c r="I316" s="87"/>
      <c r="J316" s="87"/>
      <c r="K316" s="87"/>
    </row>
    <row r="317" spans="1:10" ht="12.75">
      <c r="A317" s="166"/>
      <c r="B317" s="163"/>
      <c r="C317" s="163"/>
      <c r="D317" s="163"/>
      <c r="E317" s="164"/>
      <c r="F317" s="165"/>
      <c r="G317" s="165"/>
      <c r="H317" s="119"/>
      <c r="I317" s="119"/>
      <c r="J317" s="2"/>
    </row>
    <row r="318" spans="1:21" ht="12.75">
      <c r="A318" s="41" t="s">
        <v>202</v>
      </c>
      <c r="B318" s="27" t="s">
        <v>203</v>
      </c>
      <c r="D318" s="2"/>
      <c r="G318" s="2"/>
      <c r="H318" s="93"/>
      <c r="I318" s="96"/>
      <c r="J318" s="93"/>
      <c r="K318" s="93"/>
      <c r="L318" s="93"/>
      <c r="M318" s="93"/>
      <c r="N318" s="93"/>
      <c r="O318" s="2"/>
      <c r="P318" s="2"/>
      <c r="Q318" s="2"/>
      <c r="R318" s="2"/>
      <c r="S318" s="2"/>
      <c r="T318" s="2"/>
      <c r="U318" s="2"/>
    </row>
    <row r="319" spans="1:21" ht="12.75">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ht="12.75">
      <c r="A320" s="37" t="e">
        <f>A319+1</f>
        <v>#REF!</v>
      </c>
      <c r="B320" s="191"/>
      <c r="C320" s="192"/>
      <c r="D320" s="295">
        <v>1138502</v>
      </c>
      <c r="G320" s="2"/>
      <c r="H320" s="93"/>
      <c r="I320" s="96"/>
      <c r="J320" s="93"/>
      <c r="K320" s="93"/>
      <c r="L320" s="93"/>
      <c r="M320" s="93"/>
      <c r="N320" s="93"/>
      <c r="O320" s="2"/>
      <c r="P320" s="2"/>
      <c r="Q320" s="2"/>
      <c r="R320" s="2"/>
      <c r="S320" s="2"/>
      <c r="T320" s="2"/>
      <c r="U320" s="2"/>
    </row>
    <row r="321" spans="1:21" ht="12.75">
      <c r="A321" s="37" t="e">
        <f>A320+1</f>
        <v>#REF!</v>
      </c>
      <c r="B321" s="193"/>
      <c r="C321" s="194"/>
      <c r="D321" s="195"/>
      <c r="G321" s="2"/>
      <c r="H321" s="93"/>
      <c r="I321" s="96"/>
      <c r="J321" s="93"/>
      <c r="K321" s="93"/>
      <c r="L321" s="93"/>
      <c r="M321" s="93"/>
      <c r="N321" s="93"/>
      <c r="O321" s="2"/>
      <c r="P321" s="2"/>
      <c r="Q321" s="2"/>
      <c r="R321" s="2"/>
      <c r="S321" s="2"/>
      <c r="T321" s="2"/>
      <c r="U321" s="2"/>
    </row>
    <row r="322" spans="3:10" ht="12.75">
      <c r="C322" s="5"/>
      <c r="D322" s="2"/>
      <c r="G322" s="2"/>
      <c r="H322" s="2"/>
      <c r="J322" s="2"/>
    </row>
    <row r="323" spans="1:21" ht="12.75">
      <c r="A323" s="213"/>
      <c r="B323" s="213"/>
      <c r="C323" s="214" t="s">
        <v>91</v>
      </c>
      <c r="D323" s="215" t="s">
        <v>102</v>
      </c>
      <c r="E323" s="215" t="s">
        <v>103</v>
      </c>
      <c r="F323" s="215" t="s">
        <v>79</v>
      </c>
      <c r="G323" s="411" t="e">
        <f>CONCATENATE("Aflossing ",#REF!)</f>
        <v>#REF!</v>
      </c>
      <c r="H323" s="302"/>
      <c r="I323" s="302"/>
      <c r="J323" s="302"/>
      <c r="K323" s="302"/>
      <c r="L323" s="302"/>
      <c r="M323" s="302"/>
      <c r="N323" s="303"/>
      <c r="O323" s="198" t="s">
        <v>279</v>
      </c>
      <c r="P323" s="93"/>
      <c r="T323" s="2"/>
      <c r="U323" s="2"/>
    </row>
    <row r="324" spans="1:21" ht="12.75">
      <c r="A324" s="216"/>
      <c r="B324" s="216"/>
      <c r="C324" s="217"/>
      <c r="D324" s="217"/>
      <c r="E324" s="217"/>
      <c r="F324" s="218" t="e">
        <f>CONCATENATE("31-12-",#REF!-1," ")</f>
        <v>#REF!</v>
      </c>
      <c r="G324" s="219" t="s">
        <v>104</v>
      </c>
      <c r="H324" s="220" t="s">
        <v>99</v>
      </c>
      <c r="I324" s="411" t="s">
        <v>100</v>
      </c>
      <c r="J324" s="412"/>
      <c r="K324" s="412"/>
      <c r="L324" s="412"/>
      <c r="M324" s="412"/>
      <c r="N324" s="413"/>
      <c r="O324" s="109" t="s">
        <v>280</v>
      </c>
      <c r="P324" s="93"/>
      <c r="Q324" s="2"/>
      <c r="R324" s="2"/>
      <c r="S324" s="2"/>
      <c r="T324" s="2"/>
      <c r="U324" s="2"/>
    </row>
    <row r="325" spans="1:21" ht="12.75">
      <c r="A325" s="169"/>
      <c r="B325" s="169"/>
      <c r="C325" s="92"/>
      <c r="D325" s="92"/>
      <c r="E325" s="92"/>
      <c r="F325" s="92"/>
      <c r="G325" s="92"/>
      <c r="H325" s="92"/>
      <c r="I325" s="92"/>
      <c r="J325" s="91"/>
      <c r="K325" s="92"/>
      <c r="L325" s="92"/>
      <c r="M325" s="92"/>
      <c r="N325" s="92"/>
      <c r="O325" s="92"/>
      <c r="P325" s="93"/>
      <c r="Q325" s="2"/>
      <c r="R325" s="2"/>
      <c r="S325" s="2"/>
      <c r="T325" s="2"/>
      <c r="U325" s="2"/>
    </row>
    <row r="326" spans="1:21" ht="12.75">
      <c r="A326" s="41" t="s">
        <v>206</v>
      </c>
      <c r="B326" s="167"/>
      <c r="C326" s="168"/>
      <c r="D326" s="168"/>
      <c r="E326" s="168"/>
      <c r="F326" s="168"/>
      <c r="G326" s="168"/>
      <c r="H326" s="168"/>
      <c r="I326" s="168"/>
      <c r="J326" s="168"/>
      <c r="K326" s="168"/>
      <c r="L326" s="168"/>
      <c r="M326" s="168"/>
      <c r="N326" s="42"/>
      <c r="P326" s="2"/>
      <c r="Q326" s="2"/>
      <c r="R326" s="2"/>
      <c r="S326" s="2"/>
      <c r="T326" s="2"/>
      <c r="U326" s="2"/>
    </row>
    <row r="327" spans="1:21" ht="12.75">
      <c r="A327" s="31">
        <f>F!A7</f>
        <v>2501</v>
      </c>
      <c r="B327" s="414">
        <f>F!B7</f>
        <v>0</v>
      </c>
      <c r="C327" s="136">
        <f>F!D7</f>
        <v>0</v>
      </c>
      <c r="D327" s="415">
        <f>F!E7</f>
        <v>0</v>
      </c>
      <c r="E327" s="270">
        <f>F!F7</f>
        <v>0</v>
      </c>
      <c r="F327" s="270">
        <f>F!H7</f>
        <v>0</v>
      </c>
      <c r="G327" s="270">
        <f>F!I7</f>
        <v>0</v>
      </c>
      <c r="H327" s="266">
        <f>F!J7</f>
        <v>0</v>
      </c>
      <c r="I327" s="266">
        <f>F!K7</f>
        <v>0</v>
      </c>
      <c r="J327" s="266">
        <f>F!L7</f>
        <v>0</v>
      </c>
      <c r="K327" s="266">
        <f>F!M7</f>
        <v>0</v>
      </c>
      <c r="L327" s="266">
        <f>F!N7</f>
        <v>0</v>
      </c>
      <c r="M327" s="266">
        <f>F!O7</f>
        <v>0</v>
      </c>
      <c r="N327" s="266">
        <f>F!P7</f>
        <v>0</v>
      </c>
      <c r="O327" s="270">
        <f>F!S7</f>
        <v>0</v>
      </c>
      <c r="P327" s="93"/>
      <c r="Q327" s="2"/>
      <c r="R327" s="2"/>
      <c r="S327" s="2"/>
      <c r="T327" s="2"/>
      <c r="U327" s="2"/>
    </row>
    <row r="328" spans="1:21" ht="12.75">
      <c r="A328" s="31">
        <f aca="true" t="shared" si="14" ref="A328:A350">A327+1</f>
        <v>2502</v>
      </c>
      <c r="B328" s="414">
        <f>F!B8</f>
        <v>0</v>
      </c>
      <c r="C328" s="136">
        <f>F!D8</f>
        <v>0</v>
      </c>
      <c r="D328" s="415">
        <f>F!E8</f>
        <v>0</v>
      </c>
      <c r="E328" s="270">
        <f>F!F8</f>
        <v>0</v>
      </c>
      <c r="F328" s="270">
        <f>F!H8</f>
        <v>0</v>
      </c>
      <c r="G328" s="270">
        <f>F!I8</f>
        <v>0</v>
      </c>
      <c r="H328" s="266">
        <f>F!J8</f>
        <v>0</v>
      </c>
      <c r="I328" s="266">
        <f>F!K8</f>
        <v>0</v>
      </c>
      <c r="J328" s="266">
        <f>F!L8</f>
        <v>0</v>
      </c>
      <c r="K328" s="266">
        <f>F!M8</f>
        <v>0</v>
      </c>
      <c r="L328" s="266">
        <f>F!N8</f>
        <v>0</v>
      </c>
      <c r="M328" s="266">
        <f>F!O8</f>
        <v>0</v>
      </c>
      <c r="N328" s="266">
        <f>F!P8</f>
        <v>0</v>
      </c>
      <c r="O328" s="270">
        <f>F!T8</f>
        <v>0</v>
      </c>
      <c r="P328" s="93"/>
      <c r="Q328" s="2"/>
      <c r="R328" s="2"/>
      <c r="S328" s="2"/>
      <c r="T328" s="2"/>
      <c r="U328" s="2"/>
    </row>
    <row r="329" spans="1:21" ht="12.75">
      <c r="A329" s="31">
        <f t="shared" si="14"/>
        <v>2503</v>
      </c>
      <c r="B329" s="414">
        <f>F!B9</f>
        <v>0</v>
      </c>
      <c r="C329" s="136">
        <f>F!D9</f>
        <v>0</v>
      </c>
      <c r="D329" s="415">
        <f>F!E9</f>
        <v>0</v>
      </c>
      <c r="E329" s="270">
        <f>F!F9</f>
        <v>0</v>
      </c>
      <c r="F329" s="270">
        <f>F!H9</f>
        <v>0</v>
      </c>
      <c r="G329" s="270">
        <f>F!I9</f>
        <v>0</v>
      </c>
      <c r="H329" s="266">
        <f>F!J9</f>
        <v>0</v>
      </c>
      <c r="I329" s="266">
        <f>F!K9</f>
        <v>0</v>
      </c>
      <c r="J329" s="266">
        <f>F!L9</f>
        <v>0</v>
      </c>
      <c r="K329" s="266">
        <f>F!M9</f>
        <v>0</v>
      </c>
      <c r="L329" s="266">
        <f>F!N9</f>
        <v>0</v>
      </c>
      <c r="M329" s="266">
        <f>F!O9</f>
        <v>0</v>
      </c>
      <c r="N329" s="266">
        <f>F!P9</f>
        <v>0</v>
      </c>
      <c r="O329" s="270">
        <f>F!T9</f>
        <v>0</v>
      </c>
      <c r="P329" s="93"/>
      <c r="Q329" s="2"/>
      <c r="R329" s="2"/>
      <c r="S329" s="2"/>
      <c r="T329" s="2"/>
      <c r="U329" s="2"/>
    </row>
    <row r="330" spans="1:21" ht="12.75">
      <c r="A330" s="31">
        <f t="shared" si="14"/>
        <v>2504</v>
      </c>
      <c r="B330" s="414">
        <f>F!B10</f>
        <v>0</v>
      </c>
      <c r="C330" s="136">
        <f>F!D10</f>
        <v>0</v>
      </c>
      <c r="D330" s="415">
        <f>F!E10</f>
        <v>0</v>
      </c>
      <c r="E330" s="270">
        <f>F!F10</f>
        <v>0</v>
      </c>
      <c r="F330" s="270">
        <f>F!H10</f>
        <v>0</v>
      </c>
      <c r="G330" s="270">
        <f>F!I10</f>
        <v>0</v>
      </c>
      <c r="H330" s="266">
        <f>F!J10</f>
        <v>0</v>
      </c>
      <c r="I330" s="266">
        <f>F!K10</f>
        <v>0</v>
      </c>
      <c r="J330" s="266">
        <f>F!L10</f>
        <v>0</v>
      </c>
      <c r="K330" s="266">
        <f>F!M10</f>
        <v>0</v>
      </c>
      <c r="L330" s="266">
        <f>F!N10</f>
        <v>0</v>
      </c>
      <c r="M330" s="266">
        <f>F!O10</f>
        <v>0</v>
      </c>
      <c r="N330" s="266">
        <f>F!P10</f>
        <v>0</v>
      </c>
      <c r="O330" s="270">
        <f>F!T10</f>
        <v>0</v>
      </c>
      <c r="P330" s="93"/>
      <c r="Q330" s="2"/>
      <c r="R330" s="2"/>
      <c r="S330" s="2"/>
      <c r="T330" s="2"/>
      <c r="U330" s="2"/>
    </row>
    <row r="331" spans="1:21" ht="12.75">
      <c r="A331" s="31">
        <f t="shared" si="14"/>
        <v>2505</v>
      </c>
      <c r="B331" s="414">
        <f>F!B11</f>
        <v>0</v>
      </c>
      <c r="C331" s="136">
        <f>F!D11</f>
        <v>0</v>
      </c>
      <c r="D331" s="415">
        <f>F!E11</f>
        <v>0</v>
      </c>
      <c r="E331" s="270">
        <f>F!F11</f>
        <v>0</v>
      </c>
      <c r="F331" s="270">
        <f>F!H11</f>
        <v>0</v>
      </c>
      <c r="G331" s="270">
        <f>F!I11</f>
        <v>0</v>
      </c>
      <c r="H331" s="266">
        <f>F!J11</f>
        <v>0</v>
      </c>
      <c r="I331" s="266">
        <f>F!K11</f>
        <v>0</v>
      </c>
      <c r="J331" s="266">
        <f>F!L11</f>
        <v>0</v>
      </c>
      <c r="K331" s="266">
        <f>F!M11</f>
        <v>0</v>
      </c>
      <c r="L331" s="266">
        <f>F!N11</f>
        <v>0</v>
      </c>
      <c r="M331" s="266">
        <f>F!O11</f>
        <v>0</v>
      </c>
      <c r="N331" s="266">
        <f>F!P11</f>
        <v>0</v>
      </c>
      <c r="O331" s="270">
        <f>F!T11</f>
        <v>0</v>
      </c>
      <c r="P331" s="93"/>
      <c r="Q331" s="2"/>
      <c r="R331" s="2"/>
      <c r="S331" s="2"/>
      <c r="T331" s="2"/>
      <c r="U331" s="2"/>
    </row>
    <row r="332" spans="1:21" ht="12.75">
      <c r="A332" s="31">
        <f t="shared" si="14"/>
        <v>2506</v>
      </c>
      <c r="B332" s="414">
        <f>F!B12</f>
        <v>0</v>
      </c>
      <c r="C332" s="136">
        <f>F!D12</f>
        <v>0</v>
      </c>
      <c r="D332" s="415">
        <f>F!E12</f>
        <v>0</v>
      </c>
      <c r="E332" s="270">
        <f>F!F12</f>
        <v>0</v>
      </c>
      <c r="F332" s="270">
        <f>F!H12</f>
        <v>0</v>
      </c>
      <c r="G332" s="270">
        <f>F!I12</f>
        <v>0</v>
      </c>
      <c r="H332" s="266">
        <f>F!J12</f>
        <v>0</v>
      </c>
      <c r="I332" s="266">
        <f>F!K12</f>
        <v>0</v>
      </c>
      <c r="J332" s="266">
        <f>F!L12</f>
        <v>0</v>
      </c>
      <c r="K332" s="266">
        <f>F!M12</f>
        <v>0</v>
      </c>
      <c r="L332" s="266">
        <f>F!N12</f>
        <v>0</v>
      </c>
      <c r="M332" s="266">
        <f>F!O12</f>
        <v>0</v>
      </c>
      <c r="N332" s="266">
        <f>F!P12</f>
        <v>0</v>
      </c>
      <c r="O332" s="270">
        <f>F!T12</f>
        <v>0</v>
      </c>
      <c r="P332" s="93"/>
      <c r="Q332" s="2"/>
      <c r="R332" s="2"/>
      <c r="S332" s="2"/>
      <c r="T332" s="2"/>
      <c r="U332" s="2"/>
    </row>
    <row r="333" spans="1:21" ht="12.75">
      <c r="A333" s="31">
        <f t="shared" si="14"/>
        <v>2507</v>
      </c>
      <c r="B333" s="414">
        <f>F!B13</f>
        <v>0</v>
      </c>
      <c r="C333" s="136">
        <f>F!D13</f>
        <v>0</v>
      </c>
      <c r="D333" s="415">
        <f>F!E13</f>
        <v>0</v>
      </c>
      <c r="E333" s="270">
        <f>F!F13</f>
        <v>0</v>
      </c>
      <c r="F333" s="270">
        <f>F!H13</f>
        <v>0</v>
      </c>
      <c r="G333" s="270">
        <f>F!I13</f>
        <v>0</v>
      </c>
      <c r="H333" s="266">
        <f>F!J13</f>
        <v>0</v>
      </c>
      <c r="I333" s="266">
        <f>F!K13</f>
        <v>0</v>
      </c>
      <c r="J333" s="266">
        <f>F!L13</f>
        <v>0</v>
      </c>
      <c r="K333" s="266">
        <f>F!M13</f>
        <v>0</v>
      </c>
      <c r="L333" s="266">
        <f>F!N13</f>
        <v>0</v>
      </c>
      <c r="M333" s="266">
        <f>F!O13</f>
        <v>0</v>
      </c>
      <c r="N333" s="266">
        <f>F!P13</f>
        <v>0</v>
      </c>
      <c r="O333" s="270">
        <f>F!T13</f>
        <v>0</v>
      </c>
      <c r="P333" s="93"/>
      <c r="Q333" s="2"/>
      <c r="R333" s="2"/>
      <c r="S333" s="2"/>
      <c r="T333" s="2"/>
      <c r="U333" s="2"/>
    </row>
    <row r="334" spans="1:21" ht="12.75">
      <c r="A334" s="31">
        <f t="shared" si="14"/>
        <v>2508</v>
      </c>
      <c r="B334" s="414">
        <f>F!B14</f>
        <v>0</v>
      </c>
      <c r="C334" s="136">
        <f>F!D14</f>
        <v>0</v>
      </c>
      <c r="D334" s="415">
        <f>F!E14</f>
        <v>0</v>
      </c>
      <c r="E334" s="270">
        <f>F!F14</f>
        <v>0</v>
      </c>
      <c r="F334" s="270">
        <f>F!H14</f>
        <v>0</v>
      </c>
      <c r="G334" s="270">
        <f>F!I14</f>
        <v>0</v>
      </c>
      <c r="H334" s="266">
        <f>F!J14</f>
        <v>0</v>
      </c>
      <c r="I334" s="266">
        <f>F!K14</f>
        <v>0</v>
      </c>
      <c r="J334" s="266">
        <f>F!L14</f>
        <v>0</v>
      </c>
      <c r="K334" s="266">
        <f>F!M14</f>
        <v>0</v>
      </c>
      <c r="L334" s="266">
        <f>F!N14</f>
        <v>0</v>
      </c>
      <c r="M334" s="266">
        <f>F!O14</f>
        <v>0</v>
      </c>
      <c r="N334" s="266">
        <f>F!P14</f>
        <v>0</v>
      </c>
      <c r="O334" s="270">
        <f>F!T14</f>
        <v>0</v>
      </c>
      <c r="P334" s="93"/>
      <c r="Q334" s="2"/>
      <c r="R334" s="2"/>
      <c r="S334" s="2"/>
      <c r="T334" s="2"/>
      <c r="U334" s="2"/>
    </row>
    <row r="335" spans="1:21" ht="12.75">
      <c r="A335" s="31">
        <f t="shared" si="14"/>
        <v>2509</v>
      </c>
      <c r="B335" s="414">
        <f>F!B15</f>
        <v>0</v>
      </c>
      <c r="C335" s="136">
        <f>F!D15</f>
        <v>0</v>
      </c>
      <c r="D335" s="415">
        <f>F!E15</f>
        <v>0</v>
      </c>
      <c r="E335" s="270">
        <f>F!F15</f>
        <v>0</v>
      </c>
      <c r="F335" s="270">
        <f>F!H15</f>
        <v>0</v>
      </c>
      <c r="G335" s="270">
        <f>F!I15</f>
        <v>0</v>
      </c>
      <c r="H335" s="266">
        <f>F!J15</f>
        <v>0</v>
      </c>
      <c r="I335" s="266">
        <f>F!K15</f>
        <v>0</v>
      </c>
      <c r="J335" s="266">
        <f>F!L15</f>
        <v>0</v>
      </c>
      <c r="K335" s="266">
        <f>F!M15</f>
        <v>0</v>
      </c>
      <c r="L335" s="266">
        <f>F!N15</f>
        <v>0</v>
      </c>
      <c r="M335" s="266">
        <f>F!O15</f>
        <v>0</v>
      </c>
      <c r="N335" s="266">
        <f>F!P15</f>
        <v>0</v>
      </c>
      <c r="O335" s="270">
        <f>F!T15</f>
        <v>0</v>
      </c>
      <c r="P335" s="93"/>
      <c r="Q335" s="2"/>
      <c r="R335" s="2"/>
      <c r="S335" s="2"/>
      <c r="T335" s="2"/>
      <c r="U335" s="2"/>
    </row>
    <row r="336" spans="1:21" ht="12.75">
      <c r="A336" s="31">
        <f t="shared" si="14"/>
        <v>2510</v>
      </c>
      <c r="B336" s="414">
        <f>F!B16</f>
        <v>0</v>
      </c>
      <c r="C336" s="136">
        <f>F!D16</f>
        <v>0</v>
      </c>
      <c r="D336" s="415">
        <f>F!E16</f>
        <v>0</v>
      </c>
      <c r="E336" s="270">
        <f>F!F16</f>
        <v>0</v>
      </c>
      <c r="F336" s="270">
        <f>F!H16</f>
        <v>0</v>
      </c>
      <c r="G336" s="270">
        <f>F!I16</f>
        <v>0</v>
      </c>
      <c r="H336" s="266">
        <f>F!J16</f>
        <v>0</v>
      </c>
      <c r="I336" s="266">
        <f>F!K16</f>
        <v>0</v>
      </c>
      <c r="J336" s="266">
        <f>F!L16</f>
        <v>0</v>
      </c>
      <c r="K336" s="266">
        <f>F!M16</f>
        <v>0</v>
      </c>
      <c r="L336" s="266">
        <f>F!N16</f>
        <v>0</v>
      </c>
      <c r="M336" s="266">
        <f>F!O16</f>
        <v>0</v>
      </c>
      <c r="N336" s="266">
        <f>F!P16</f>
        <v>0</v>
      </c>
      <c r="O336" s="270">
        <f>F!T16</f>
        <v>0</v>
      </c>
      <c r="P336" s="93"/>
      <c r="Q336" s="2"/>
      <c r="R336" s="2"/>
      <c r="S336" s="2"/>
      <c r="T336" s="2"/>
      <c r="U336" s="2"/>
    </row>
    <row r="337" spans="1:21" ht="12.75">
      <c r="A337" s="31">
        <f t="shared" si="14"/>
        <v>2511</v>
      </c>
      <c r="B337" s="414">
        <f>F!B22</f>
        <v>0</v>
      </c>
      <c r="C337" s="136">
        <f>F!D22</f>
        <v>0</v>
      </c>
      <c r="D337" s="415">
        <f>F!E22</f>
        <v>0</v>
      </c>
      <c r="E337" s="270">
        <f>F!F22</f>
        <v>0</v>
      </c>
      <c r="F337" s="270">
        <f>F!H22</f>
        <v>0</v>
      </c>
      <c r="G337" s="270">
        <f>F!I22</f>
        <v>0</v>
      </c>
      <c r="H337" s="266">
        <f>F!J22</f>
        <v>0</v>
      </c>
      <c r="I337" s="266">
        <f>F!K22</f>
        <v>0</v>
      </c>
      <c r="J337" s="266">
        <f>F!L22</f>
        <v>0</v>
      </c>
      <c r="K337" s="266">
        <f>F!M22</f>
        <v>0</v>
      </c>
      <c r="L337" s="266">
        <f>F!N22</f>
        <v>0</v>
      </c>
      <c r="M337" s="266">
        <f>F!O22</f>
        <v>0</v>
      </c>
      <c r="N337" s="266">
        <f>F!P22</f>
        <v>0</v>
      </c>
      <c r="O337" s="270">
        <f>F!T22</f>
        <v>0</v>
      </c>
      <c r="P337" s="93"/>
      <c r="Q337" s="2"/>
      <c r="R337" s="2"/>
      <c r="S337" s="2"/>
      <c r="T337" s="2"/>
      <c r="U337" s="2"/>
    </row>
    <row r="338" spans="1:21" ht="12.75">
      <c r="A338" s="31">
        <f t="shared" si="14"/>
        <v>2512</v>
      </c>
      <c r="B338" s="414">
        <f>F!B23</f>
        <v>0</v>
      </c>
      <c r="C338" s="136">
        <f>F!D23</f>
        <v>0</v>
      </c>
      <c r="D338" s="415">
        <f>F!E23</f>
        <v>0</v>
      </c>
      <c r="E338" s="270">
        <f>F!F23</f>
        <v>0</v>
      </c>
      <c r="F338" s="270">
        <f>F!H23</f>
        <v>0</v>
      </c>
      <c r="G338" s="270">
        <f>F!I23</f>
        <v>0</v>
      </c>
      <c r="H338" s="266">
        <f>F!J23</f>
        <v>0</v>
      </c>
      <c r="I338" s="266">
        <f>F!K23</f>
        <v>0</v>
      </c>
      <c r="J338" s="266">
        <f>F!L23</f>
        <v>0</v>
      </c>
      <c r="K338" s="266">
        <f>F!M23</f>
        <v>0</v>
      </c>
      <c r="L338" s="266">
        <f>F!N23</f>
        <v>0</v>
      </c>
      <c r="M338" s="266">
        <f>F!O23</f>
        <v>0</v>
      </c>
      <c r="N338" s="266">
        <f>F!P23</f>
        <v>0</v>
      </c>
      <c r="O338" s="270">
        <f>F!T23</f>
        <v>0</v>
      </c>
      <c r="P338" s="93"/>
      <c r="Q338" s="2"/>
      <c r="R338" s="2"/>
      <c r="S338" s="2"/>
      <c r="T338" s="2"/>
      <c r="U338" s="2"/>
    </row>
    <row r="339" spans="1:21" ht="12.75">
      <c r="A339" s="31">
        <f t="shared" si="14"/>
        <v>2513</v>
      </c>
      <c r="B339" s="414">
        <f>F!B24</f>
        <v>0</v>
      </c>
      <c r="C339" s="136">
        <f>F!D24</f>
        <v>0</v>
      </c>
      <c r="D339" s="415">
        <f>F!E24</f>
        <v>0</v>
      </c>
      <c r="E339" s="270">
        <f>F!F24</f>
        <v>0</v>
      </c>
      <c r="F339" s="270">
        <f>F!H24</f>
        <v>0</v>
      </c>
      <c r="G339" s="270">
        <f>F!I24</f>
        <v>0</v>
      </c>
      <c r="H339" s="266">
        <f>F!J24</f>
        <v>0</v>
      </c>
      <c r="I339" s="266">
        <f>F!K24</f>
        <v>0</v>
      </c>
      <c r="J339" s="266">
        <f>F!L24</f>
        <v>0</v>
      </c>
      <c r="K339" s="266">
        <f>F!M24</f>
        <v>0</v>
      </c>
      <c r="L339" s="266">
        <f>F!N24</f>
        <v>0</v>
      </c>
      <c r="M339" s="266">
        <f>F!O24</f>
        <v>0</v>
      </c>
      <c r="N339" s="266">
        <f>F!P24</f>
        <v>0</v>
      </c>
      <c r="O339" s="270">
        <f>F!T24</f>
        <v>0</v>
      </c>
      <c r="P339" s="93"/>
      <c r="Q339" s="2"/>
      <c r="R339" s="2"/>
      <c r="S339" s="2"/>
      <c r="T339" s="2"/>
      <c r="U339" s="2"/>
    </row>
    <row r="340" spans="1:21" ht="12.75">
      <c r="A340" s="31">
        <f t="shared" si="14"/>
        <v>2514</v>
      </c>
      <c r="B340" s="414">
        <f>F!B25</f>
        <v>0</v>
      </c>
      <c r="C340" s="136">
        <f>F!D25</f>
        <v>0</v>
      </c>
      <c r="D340" s="415">
        <f>F!E25</f>
        <v>0</v>
      </c>
      <c r="E340" s="270">
        <f>F!F25</f>
        <v>0</v>
      </c>
      <c r="F340" s="270">
        <f>F!H25</f>
        <v>0</v>
      </c>
      <c r="G340" s="270">
        <f>F!I25</f>
        <v>0</v>
      </c>
      <c r="H340" s="266">
        <f>F!J25</f>
        <v>0</v>
      </c>
      <c r="I340" s="266">
        <f>F!K25</f>
        <v>0</v>
      </c>
      <c r="J340" s="266">
        <f>F!L25</f>
        <v>0</v>
      </c>
      <c r="K340" s="266">
        <f>F!M25</f>
        <v>0</v>
      </c>
      <c r="L340" s="266">
        <f>F!N25</f>
        <v>0</v>
      </c>
      <c r="M340" s="266">
        <f>F!O25</f>
        <v>0</v>
      </c>
      <c r="N340" s="266">
        <f>F!P25</f>
        <v>0</v>
      </c>
      <c r="O340" s="270">
        <f>F!T25</f>
        <v>0</v>
      </c>
      <c r="P340" s="93"/>
      <c r="Q340" s="2"/>
      <c r="R340" s="2"/>
      <c r="S340" s="2"/>
      <c r="T340" s="2"/>
      <c r="U340" s="2"/>
    </row>
    <row r="341" spans="1:21" ht="12.75">
      <c r="A341" s="31">
        <f t="shared" si="14"/>
        <v>2515</v>
      </c>
      <c r="B341" s="414">
        <f>F!B26</f>
        <v>0</v>
      </c>
      <c r="C341" s="136">
        <f>F!D26</f>
        <v>0</v>
      </c>
      <c r="D341" s="415">
        <f>F!E26</f>
        <v>0</v>
      </c>
      <c r="E341" s="270">
        <f>F!F26</f>
        <v>0</v>
      </c>
      <c r="F341" s="270">
        <f>F!H26</f>
        <v>0</v>
      </c>
      <c r="G341" s="270">
        <f>F!I26</f>
        <v>0</v>
      </c>
      <c r="H341" s="266">
        <f>F!J26</f>
        <v>0</v>
      </c>
      <c r="I341" s="266">
        <f>F!K26</f>
        <v>0</v>
      </c>
      <c r="J341" s="266">
        <f>F!L26</f>
        <v>0</v>
      </c>
      <c r="K341" s="266">
        <f>F!M26</f>
        <v>0</v>
      </c>
      <c r="L341" s="266">
        <f>F!N26</f>
        <v>0</v>
      </c>
      <c r="M341" s="266">
        <f>F!O26</f>
        <v>0</v>
      </c>
      <c r="N341" s="266">
        <f>F!P26</f>
        <v>0</v>
      </c>
      <c r="O341" s="270">
        <f>F!T26</f>
        <v>0</v>
      </c>
      <c r="P341" s="93"/>
      <c r="Q341" s="2"/>
      <c r="R341" s="2"/>
      <c r="S341" s="2"/>
      <c r="T341" s="2"/>
      <c r="U341" s="2"/>
    </row>
    <row r="342" spans="1:21" ht="12.75">
      <c r="A342" s="31">
        <f t="shared" si="14"/>
        <v>2516</v>
      </c>
      <c r="B342" s="414">
        <f>F!B27</f>
        <v>0</v>
      </c>
      <c r="C342" s="136">
        <f>F!D27</f>
        <v>0</v>
      </c>
      <c r="D342" s="415">
        <f>F!E27</f>
        <v>0</v>
      </c>
      <c r="E342" s="270">
        <f>F!F27</f>
        <v>0</v>
      </c>
      <c r="F342" s="270">
        <f>F!H27</f>
        <v>0</v>
      </c>
      <c r="G342" s="270">
        <f>F!I27</f>
        <v>0</v>
      </c>
      <c r="H342" s="266">
        <f>F!J27</f>
        <v>0</v>
      </c>
      <c r="I342" s="266">
        <f>F!K27</f>
        <v>0</v>
      </c>
      <c r="J342" s="266">
        <f>F!L27</f>
        <v>0</v>
      </c>
      <c r="K342" s="266">
        <f>F!M27</f>
        <v>0</v>
      </c>
      <c r="L342" s="266">
        <f>F!N27</f>
        <v>0</v>
      </c>
      <c r="M342" s="266">
        <f>F!O27</f>
        <v>0</v>
      </c>
      <c r="N342" s="266">
        <f>F!P27</f>
        <v>0</v>
      </c>
      <c r="O342" s="270">
        <f>F!T27</f>
        <v>0</v>
      </c>
      <c r="P342" s="93"/>
      <c r="Q342" s="2"/>
      <c r="R342" s="2"/>
      <c r="S342" s="2"/>
      <c r="T342" s="2"/>
      <c r="U342" s="2"/>
    </row>
    <row r="343" spans="1:21" ht="12.75">
      <c r="A343" s="31">
        <f t="shared" si="14"/>
        <v>2517</v>
      </c>
      <c r="B343" s="414">
        <f>F!B28</f>
        <v>0</v>
      </c>
      <c r="C343" s="136">
        <f>F!D28</f>
        <v>0</v>
      </c>
      <c r="D343" s="415">
        <f>F!E28</f>
        <v>0</v>
      </c>
      <c r="E343" s="270">
        <f>F!F28</f>
        <v>0</v>
      </c>
      <c r="F343" s="270">
        <f>F!H28</f>
        <v>0</v>
      </c>
      <c r="G343" s="270">
        <f>F!I28</f>
        <v>0</v>
      </c>
      <c r="H343" s="266">
        <f>F!J28</f>
        <v>0</v>
      </c>
      <c r="I343" s="266">
        <f>F!K28</f>
        <v>0</v>
      </c>
      <c r="J343" s="266">
        <f>F!L28</f>
        <v>0</v>
      </c>
      <c r="K343" s="266">
        <f>F!M28</f>
        <v>0</v>
      </c>
      <c r="L343" s="266">
        <f>F!N28</f>
        <v>0</v>
      </c>
      <c r="M343" s="266">
        <f>F!O28</f>
        <v>0</v>
      </c>
      <c r="N343" s="266">
        <f>F!P28</f>
        <v>0</v>
      </c>
      <c r="O343" s="270">
        <f>F!T28</f>
        <v>0</v>
      </c>
      <c r="P343" s="93"/>
      <c r="Q343" s="2"/>
      <c r="R343" s="2"/>
      <c r="S343" s="2"/>
      <c r="T343" s="2"/>
      <c r="U343" s="2"/>
    </row>
    <row r="344" spans="1:21" ht="12.75">
      <c r="A344" s="31">
        <f t="shared" si="14"/>
        <v>2518</v>
      </c>
      <c r="B344" s="414">
        <f>F!B31</f>
        <v>0</v>
      </c>
      <c r="C344" s="136">
        <f>F!D31</f>
        <v>0</v>
      </c>
      <c r="D344" s="415">
        <f>F!E31</f>
        <v>0</v>
      </c>
      <c r="E344" s="270">
        <f>F!F31</f>
        <v>0</v>
      </c>
      <c r="F344" s="270">
        <f>F!H31</f>
        <v>0</v>
      </c>
      <c r="G344" s="270">
        <f>F!I31</f>
        <v>0</v>
      </c>
      <c r="H344" s="266">
        <f>F!J31</f>
        <v>0</v>
      </c>
      <c r="I344" s="266">
        <f>F!K31</f>
        <v>0</v>
      </c>
      <c r="J344" s="266">
        <f>F!L31</f>
        <v>0</v>
      </c>
      <c r="K344" s="266">
        <f>F!M31</f>
        <v>0</v>
      </c>
      <c r="L344" s="266">
        <f>F!N31</f>
        <v>0</v>
      </c>
      <c r="M344" s="266">
        <f>F!O31</f>
        <v>0</v>
      </c>
      <c r="N344" s="266">
        <f>F!P31</f>
        <v>0</v>
      </c>
      <c r="O344" s="270">
        <f>F!T31</f>
        <v>0</v>
      </c>
      <c r="P344" s="93"/>
      <c r="Q344" s="2"/>
      <c r="R344" s="2"/>
      <c r="S344" s="2"/>
      <c r="T344" s="2"/>
      <c r="U344" s="2"/>
    </row>
    <row r="345" spans="1:21" ht="12.75">
      <c r="A345" s="31">
        <f t="shared" si="14"/>
        <v>2519</v>
      </c>
      <c r="B345" s="414">
        <f>F!B32</f>
        <v>0</v>
      </c>
      <c r="C345" s="136">
        <f>F!D32</f>
        <v>0</v>
      </c>
      <c r="D345" s="415">
        <f>F!E32</f>
        <v>0</v>
      </c>
      <c r="E345" s="270">
        <f>F!F32</f>
        <v>0</v>
      </c>
      <c r="F345" s="270">
        <f>F!H32</f>
        <v>0</v>
      </c>
      <c r="G345" s="270">
        <f>F!I32</f>
        <v>0</v>
      </c>
      <c r="H345" s="266">
        <f>F!J32</f>
        <v>0</v>
      </c>
      <c r="I345" s="266">
        <f>F!K32</f>
        <v>0</v>
      </c>
      <c r="J345" s="266">
        <f>F!L32</f>
        <v>0</v>
      </c>
      <c r="K345" s="266">
        <f>F!M32</f>
        <v>0</v>
      </c>
      <c r="L345" s="266">
        <f>F!N32</f>
        <v>0</v>
      </c>
      <c r="M345" s="266">
        <f>F!O32</f>
        <v>0</v>
      </c>
      <c r="N345" s="266">
        <f>F!P32</f>
        <v>0</v>
      </c>
      <c r="O345" s="270">
        <f>F!T32</f>
        <v>0</v>
      </c>
      <c r="P345" s="93"/>
      <c r="Q345" s="2"/>
      <c r="R345" s="2"/>
      <c r="S345" s="2"/>
      <c r="T345" s="2"/>
      <c r="U345" s="2"/>
    </row>
    <row r="346" spans="1:21" ht="12.75">
      <c r="A346" s="31">
        <f t="shared" si="14"/>
        <v>2520</v>
      </c>
      <c r="B346" s="414" t="str">
        <f>F!B33</f>
        <v>Vrije regel voor annuïteitenleningen conform separate specificatie</v>
      </c>
      <c r="C346" s="136">
        <f>F!D33</f>
        <v>0</v>
      </c>
      <c r="D346" s="415">
        <f>F!E33</f>
        <v>0</v>
      </c>
      <c r="E346" s="270">
        <f>F!F33</f>
        <v>0</v>
      </c>
      <c r="F346" s="270">
        <f>F!H33</f>
        <v>0</v>
      </c>
      <c r="G346" s="270">
        <f>F!I33</f>
        <v>0</v>
      </c>
      <c r="H346" s="266">
        <f>F!J33</f>
        <v>0</v>
      </c>
      <c r="I346" s="266">
        <f>F!K33</f>
        <v>0</v>
      </c>
      <c r="J346" s="266">
        <f>F!L33</f>
        <v>0</v>
      </c>
      <c r="K346" s="266">
        <f>F!M33</f>
        <v>0</v>
      </c>
      <c r="L346" s="266">
        <f>F!N33</f>
        <v>0</v>
      </c>
      <c r="M346" s="266">
        <f>F!O33</f>
        <v>0</v>
      </c>
      <c r="N346" s="266">
        <f>F!P33</f>
        <v>0</v>
      </c>
      <c r="O346" s="270">
        <f>F!T33</f>
        <v>0</v>
      </c>
      <c r="P346" s="93"/>
      <c r="Q346" s="2"/>
      <c r="R346" s="2"/>
      <c r="S346" s="2"/>
      <c r="T346" s="2"/>
      <c r="U346" s="2"/>
    </row>
    <row r="347" spans="1:21" ht="12.75">
      <c r="A347" s="37">
        <f t="shared" si="14"/>
        <v>2521</v>
      </c>
      <c r="B347" s="289"/>
      <c r="C347" s="60"/>
      <c r="D347" s="61"/>
      <c r="E347" s="292"/>
      <c r="F347" s="292"/>
      <c r="G347" s="292"/>
      <c r="H347" s="416"/>
      <c r="I347" s="416"/>
      <c r="J347" s="417"/>
      <c r="K347" s="417"/>
      <c r="L347" s="417"/>
      <c r="M347" s="417"/>
      <c r="N347" s="417"/>
      <c r="O347" s="292"/>
      <c r="P347" s="93"/>
      <c r="Q347" s="2"/>
      <c r="R347" s="2"/>
      <c r="S347" s="2"/>
      <c r="T347" s="2"/>
      <c r="U347" s="2"/>
    </row>
    <row r="348" spans="1:21" ht="12.75">
      <c r="A348" s="32">
        <f t="shared" si="14"/>
        <v>2522</v>
      </c>
      <c r="B348" s="288"/>
      <c r="C348" s="170"/>
      <c r="D348" s="170"/>
      <c r="E348" s="170"/>
      <c r="F348" s="170"/>
      <c r="G348" s="170"/>
      <c r="H348" s="170"/>
      <c r="I348" s="170"/>
      <c r="J348" s="170"/>
      <c r="K348" s="170"/>
      <c r="L348" s="170"/>
      <c r="M348" s="170"/>
      <c r="N348" s="170"/>
      <c r="O348" s="90"/>
      <c r="P348" s="93"/>
      <c r="Q348" s="2"/>
      <c r="R348" s="2"/>
      <c r="S348" s="2"/>
      <c r="T348" s="2"/>
      <c r="U348" s="2"/>
    </row>
    <row r="349" spans="1:21" ht="12.75">
      <c r="A349" s="35">
        <f t="shared" si="14"/>
        <v>2523</v>
      </c>
      <c r="B349" s="290"/>
      <c r="C349" s="171"/>
      <c r="D349" s="172"/>
      <c r="E349" s="172"/>
      <c r="F349" s="172"/>
      <c r="G349" s="172"/>
      <c r="H349" s="172"/>
      <c r="I349" s="172"/>
      <c r="J349" s="172"/>
      <c r="K349" s="172"/>
      <c r="L349" s="172"/>
      <c r="M349" s="172"/>
      <c r="N349" s="172"/>
      <c r="O349" s="42"/>
      <c r="P349" s="93"/>
      <c r="Q349" s="2"/>
      <c r="R349" s="2"/>
      <c r="S349" s="2"/>
      <c r="T349" s="2"/>
      <c r="U349" s="2"/>
    </row>
    <row r="350" spans="1:21" ht="12.75">
      <c r="A350" s="37">
        <f t="shared" si="14"/>
        <v>2524</v>
      </c>
      <c r="B350" s="289"/>
      <c r="C350" s="173"/>
      <c r="D350" s="173"/>
      <c r="E350" s="173"/>
      <c r="F350" s="173"/>
      <c r="G350" s="173"/>
      <c r="H350" s="173"/>
      <c r="I350" s="173"/>
      <c r="J350" s="173"/>
      <c r="K350" s="173"/>
      <c r="L350" s="173"/>
      <c r="M350" s="173"/>
      <c r="N350" s="173"/>
      <c r="O350" s="47"/>
      <c r="P350" s="93"/>
      <c r="Q350" s="2"/>
      <c r="R350" s="2"/>
      <c r="S350" s="2"/>
      <c r="T350" s="2"/>
      <c r="U350" s="2"/>
    </row>
    <row r="351" spans="3:17" ht="12.75">
      <c r="C351" s="3"/>
      <c r="D351" s="2"/>
      <c r="G351" s="2"/>
      <c r="H351" s="2"/>
      <c r="J351" s="2"/>
      <c r="O351" s="2"/>
      <c r="P351" s="2"/>
      <c r="Q351" s="2"/>
    </row>
    <row r="352" spans="3:17" ht="12.75">
      <c r="C352" s="3"/>
      <c r="D352" s="2"/>
      <c r="G352" s="2"/>
      <c r="H352" s="2"/>
      <c r="J352" s="2"/>
      <c r="O352" s="2"/>
      <c r="P352" s="2"/>
      <c r="Q352" s="2"/>
    </row>
    <row r="353" spans="1:5" ht="12.75">
      <c r="A353" s="21"/>
      <c r="B353" s="222"/>
      <c r="C353" s="223" t="e">
        <f>CONCATENATE("31-12-",#REF!-1," ")</f>
        <v>#REF!</v>
      </c>
      <c r="D353" s="223" t="e">
        <f>CONCATENATE("31-12-",#REF!," ")</f>
        <v>#REF!</v>
      </c>
      <c r="E353" s="223" t="e">
        <f>CONCATENATE("Gemiddeld ",#REF!," ")</f>
        <v>#REF!</v>
      </c>
    </row>
    <row r="354" spans="1:5" ht="12.75">
      <c r="A354" s="26"/>
      <c r="B354" s="42"/>
      <c r="C354" s="175"/>
      <c r="D354" s="42"/>
      <c r="E354" s="42"/>
    </row>
    <row r="355" spans="1:5" ht="12.75">
      <c r="A355" s="41" t="s">
        <v>207</v>
      </c>
      <c r="B355" s="418" t="s">
        <v>208</v>
      </c>
      <c r="C355" s="168"/>
      <c r="D355" s="168"/>
      <c r="E355" s="42"/>
    </row>
    <row r="356" spans="1:5" ht="12.75">
      <c r="A356" s="31">
        <f>'G-H'!A7</f>
        <v>2701</v>
      </c>
      <c r="B356" s="176"/>
      <c r="C356" s="270">
        <f>'G-H'!C7</f>
        <v>0</v>
      </c>
      <c r="D356" s="270">
        <f>'G-H'!D7</f>
        <v>0</v>
      </c>
      <c r="E356" s="367"/>
    </row>
    <row r="357" spans="1:5" ht="12.75">
      <c r="A357" s="34">
        <f aca="true" t="shared" si="15" ref="A357:A369">A356+1</f>
        <v>2702</v>
      </c>
      <c r="B357" s="176"/>
      <c r="C357" s="270">
        <f>'G-H'!C8</f>
        <v>0</v>
      </c>
      <c r="D357" s="270">
        <f>'G-H'!D8</f>
        <v>0</v>
      </c>
      <c r="E357" s="367"/>
    </row>
    <row r="358" spans="1:5" ht="12.75">
      <c r="A358" s="34">
        <f t="shared" si="15"/>
        <v>2703</v>
      </c>
      <c r="B358" s="176"/>
      <c r="C358" s="270">
        <f>'G-H'!C9</f>
        <v>0</v>
      </c>
      <c r="D358" s="270">
        <f>'G-H'!D9</f>
        <v>0</v>
      </c>
      <c r="E358" s="367"/>
    </row>
    <row r="359" spans="1:5" ht="12.75">
      <c r="A359" s="34">
        <f t="shared" si="15"/>
        <v>2704</v>
      </c>
      <c r="B359" s="176"/>
      <c r="C359" s="270">
        <f>'G-H'!C10</f>
        <v>0</v>
      </c>
      <c r="D359" s="270">
        <f>'G-H'!D10</f>
        <v>0</v>
      </c>
      <c r="E359" s="367"/>
    </row>
    <row r="360" spans="1:5" ht="12.75">
      <c r="A360" s="34">
        <f t="shared" si="15"/>
        <v>2705</v>
      </c>
      <c r="B360" s="176"/>
      <c r="C360" s="270">
        <f>'G-H'!C11</f>
        <v>0</v>
      </c>
      <c r="D360" s="270">
        <f>'G-H'!D11</f>
        <v>0</v>
      </c>
      <c r="E360" s="367"/>
    </row>
    <row r="361" spans="1:5" ht="12.75">
      <c r="A361" s="34">
        <f t="shared" si="15"/>
        <v>2706</v>
      </c>
      <c r="B361" s="176"/>
      <c r="C361" s="270">
        <f>'G-H'!C12</f>
        <v>0</v>
      </c>
      <c r="D361" s="270">
        <f>'G-H'!D12</f>
        <v>0</v>
      </c>
      <c r="E361" s="367"/>
    </row>
    <row r="362" spans="1:5" ht="12.75">
      <c r="A362" s="34">
        <f t="shared" si="15"/>
        <v>2707</v>
      </c>
      <c r="B362" s="176"/>
      <c r="C362" s="270">
        <f>'G-H'!C13</f>
        <v>0</v>
      </c>
      <c r="D362" s="270">
        <f>'G-H'!D13</f>
        <v>0</v>
      </c>
      <c r="E362" s="367"/>
    </row>
    <row r="363" spans="1:5" ht="12.75">
      <c r="A363" s="34">
        <f t="shared" si="15"/>
        <v>2708</v>
      </c>
      <c r="B363" s="176"/>
      <c r="C363" s="270">
        <f>'G-H'!C14</f>
        <v>0</v>
      </c>
      <c r="D363" s="270">
        <f>'G-H'!D14</f>
        <v>0</v>
      </c>
      <c r="E363" s="367"/>
    </row>
    <row r="364" spans="1:5" ht="12.75">
      <c r="A364" s="34">
        <f t="shared" si="15"/>
        <v>2709</v>
      </c>
      <c r="B364" s="176"/>
      <c r="C364" s="270">
        <f>'G-H'!C15</f>
        <v>0</v>
      </c>
      <c r="D364" s="270">
        <f>'G-H'!D15</f>
        <v>0</v>
      </c>
      <c r="E364" s="367"/>
    </row>
    <row r="365" spans="1:5" ht="12.75">
      <c r="A365" s="34">
        <f t="shared" si="15"/>
        <v>2710</v>
      </c>
      <c r="B365" s="176"/>
      <c r="C365" s="270">
        <f>'G-H'!C16</f>
        <v>0</v>
      </c>
      <c r="D365" s="270">
        <f>'G-H'!D16</f>
        <v>0</v>
      </c>
      <c r="E365" s="367"/>
    </row>
    <row r="366" spans="1:5" ht="12.75">
      <c r="A366" s="34">
        <f t="shared" si="15"/>
        <v>2711</v>
      </c>
      <c r="B366" s="176"/>
      <c r="C366" s="270">
        <f>'G-H'!C17</f>
        <v>0</v>
      </c>
      <c r="D366" s="270">
        <f>'G-H'!D17</f>
        <v>0</v>
      </c>
      <c r="E366" s="367"/>
    </row>
    <row r="367" spans="1:5" ht="12.75">
      <c r="A367" s="34">
        <f t="shared" si="15"/>
        <v>2712</v>
      </c>
      <c r="B367" s="176"/>
      <c r="C367" s="270">
        <f>'G-H'!C18</f>
        <v>0</v>
      </c>
      <c r="D367" s="270">
        <f>'G-H'!D18</f>
        <v>0</v>
      </c>
      <c r="E367" s="367"/>
    </row>
    <row r="368" spans="1:5" ht="12.75">
      <c r="A368" s="35">
        <f t="shared" si="15"/>
        <v>2713</v>
      </c>
      <c r="B368" s="177"/>
      <c r="C368" s="419">
        <f>'G-H'!C21</f>
        <v>0</v>
      </c>
      <c r="D368" s="419">
        <f>'G-H'!D21</f>
        <v>0</v>
      </c>
      <c r="E368" s="420"/>
    </row>
    <row r="369" spans="1:5" ht="12.75">
      <c r="A369" s="37">
        <f t="shared" si="15"/>
        <v>2714</v>
      </c>
      <c r="B369" s="38"/>
      <c r="C369" s="292"/>
      <c r="D369" s="292"/>
      <c r="E369" s="292"/>
    </row>
    <row r="370" spans="1:5" ht="12.75">
      <c r="A370" s="41"/>
      <c r="B370" s="42"/>
      <c r="C370" s="42"/>
      <c r="D370" s="42"/>
      <c r="E370" s="42"/>
    </row>
    <row r="371" spans="1:5" ht="12.75">
      <c r="A371" s="42"/>
      <c r="B371" s="95"/>
      <c r="C371" s="95"/>
      <c r="D371" s="42"/>
      <c r="E371" s="221" t="s">
        <v>167</v>
      </c>
    </row>
    <row r="372" spans="1:5" ht="12.75">
      <c r="A372" s="178"/>
      <c r="B372" s="179"/>
      <c r="C372" s="179"/>
      <c r="D372" s="178"/>
      <c r="E372" s="123"/>
    </row>
    <row r="373" spans="1:5" ht="12.75">
      <c r="A373" s="41" t="s">
        <v>209</v>
      </c>
      <c r="B373" s="94" t="e">
        <f>CONCATENATE("Rentekosten ten laste van exploitatieresultaat ",#REF!)</f>
        <v>#REF!</v>
      </c>
      <c r="C373" s="95"/>
      <c r="D373" s="42"/>
      <c r="E373" s="42"/>
    </row>
    <row r="374" spans="1:5" ht="12.75">
      <c r="A374" s="31">
        <f>A369+1</f>
        <v>2715</v>
      </c>
      <c r="B374" s="180"/>
      <c r="C374" s="134"/>
      <c r="D374" s="121"/>
      <c r="E374" s="367"/>
    </row>
    <row r="375" spans="1:5" ht="12.75">
      <c r="A375" s="34">
        <f aca="true" t="shared" si="16" ref="A375:A383">A374+1</f>
        <v>2716</v>
      </c>
      <c r="B375" s="181"/>
      <c r="C375" s="134"/>
      <c r="D375" s="121"/>
      <c r="E375" s="270">
        <f>'G-H'!E31</f>
        <v>0</v>
      </c>
    </row>
    <row r="376" spans="1:5" ht="12.75">
      <c r="A376" s="34">
        <f t="shared" si="16"/>
        <v>2717</v>
      </c>
      <c r="B376" s="180"/>
      <c r="C376" s="134"/>
      <c r="D376" s="121"/>
      <c r="E376" s="270">
        <f>'G-H'!E32</f>
        <v>0</v>
      </c>
    </row>
    <row r="377" spans="1:5" ht="12.75">
      <c r="A377" s="35">
        <f t="shared" si="16"/>
        <v>2718</v>
      </c>
      <c r="B377" s="182"/>
      <c r="C377" s="78"/>
      <c r="D377" s="183"/>
      <c r="E377" s="270">
        <f>'G-H'!E33</f>
        <v>0</v>
      </c>
    </row>
    <row r="378" spans="1:5" ht="12.75">
      <c r="A378" s="37">
        <f t="shared" si="16"/>
        <v>2719</v>
      </c>
      <c r="B378" s="38"/>
      <c r="C378" s="60"/>
      <c r="D378" s="60"/>
      <c r="E378" s="263"/>
    </row>
    <row r="379" spans="1:5" ht="12.75">
      <c r="A379" s="34">
        <f t="shared" si="16"/>
        <v>2720</v>
      </c>
      <c r="B379" s="256"/>
      <c r="C379" s="134"/>
      <c r="D379" s="121"/>
      <c r="E379" s="270">
        <f>'G-H'!E37</f>
        <v>0</v>
      </c>
    </row>
    <row r="380" spans="1:5" ht="12.75">
      <c r="A380" s="34">
        <f t="shared" si="16"/>
        <v>2721</v>
      </c>
      <c r="B380" s="257"/>
      <c r="C380" s="134"/>
      <c r="D380" s="121"/>
      <c r="E380" s="270">
        <f>'G-H'!E38</f>
        <v>0</v>
      </c>
    </row>
    <row r="381" spans="1:5" ht="12.75">
      <c r="A381" s="34">
        <f t="shared" si="16"/>
        <v>2722</v>
      </c>
      <c r="B381" s="258"/>
      <c r="C381" s="191"/>
      <c r="D381" s="255"/>
      <c r="E381" s="270">
        <f>'G-H'!E39</f>
        <v>0</v>
      </c>
    </row>
    <row r="382" spans="1:5" ht="12.75">
      <c r="A382" s="34">
        <f t="shared" si="16"/>
        <v>2723</v>
      </c>
      <c r="B382" s="259"/>
      <c r="C382" s="78"/>
      <c r="D382" s="183"/>
      <c r="E382" s="270">
        <f>'G-H'!E40</f>
        <v>0</v>
      </c>
    </row>
    <row r="383" spans="1:5" ht="12.75">
      <c r="A383" s="37">
        <f t="shared" si="16"/>
        <v>2724</v>
      </c>
      <c r="B383" s="421"/>
      <c r="C383" s="60"/>
      <c r="D383" s="60"/>
      <c r="E383" s="263"/>
    </row>
    <row r="384" spans="1:5" ht="12.75">
      <c r="A384" s="41"/>
      <c r="B384" s="42"/>
      <c r="C384" s="42"/>
      <c r="D384" s="42"/>
      <c r="E384" s="42"/>
    </row>
    <row r="385" spans="4:10" ht="12.75">
      <c r="D385" s="2"/>
      <c r="G385" s="2"/>
      <c r="J385" s="2"/>
    </row>
    <row r="386" spans="4:10" ht="12.75">
      <c r="D386" s="2"/>
      <c r="G386" s="2"/>
      <c r="J386" s="2"/>
    </row>
    <row r="387" spans="1:10" ht="12.75">
      <c r="A387" s="64"/>
      <c r="B387" s="366"/>
      <c r="C387" s="118" t="s">
        <v>122</v>
      </c>
      <c r="D387" s="272" t="e">
        <f>CONCATENATE("Rekenstaat ",#REF!," nr. 1 ")</f>
        <v>#REF!</v>
      </c>
      <c r="E387" s="273"/>
      <c r="F387" s="251" t="s">
        <v>297</v>
      </c>
      <c r="G387" s="245" t="s">
        <v>296</v>
      </c>
      <c r="J387" s="2"/>
    </row>
    <row r="388" spans="1:7" ht="12.75">
      <c r="A388" s="64"/>
      <c r="B388" s="366"/>
      <c r="C388" s="118" t="s">
        <v>122</v>
      </c>
      <c r="D388" s="422" t="s">
        <v>62</v>
      </c>
      <c r="E388" s="246" t="s">
        <v>103</v>
      </c>
      <c r="F388" s="247" t="e">
        <f>CONCATENATE("jaarrekening ",#REF!," ")</f>
        <v>#REF!</v>
      </c>
      <c r="G388" s="247" t="s">
        <v>295</v>
      </c>
    </row>
    <row r="389" spans="1:7" ht="12.75">
      <c r="A389" s="83"/>
      <c r="B389" s="325"/>
      <c r="C389" s="156"/>
      <c r="D389" s="162" t="s">
        <v>94</v>
      </c>
      <c r="E389" s="111"/>
      <c r="F389" s="156"/>
      <c r="G389" s="113"/>
    </row>
    <row r="390" spans="1:7" ht="12.75">
      <c r="A390" s="47" t="s">
        <v>293</v>
      </c>
      <c r="B390" s="14" t="s">
        <v>294</v>
      </c>
      <c r="C390" s="147"/>
      <c r="D390" s="147"/>
      <c r="E390" s="90"/>
      <c r="F390" s="90"/>
      <c r="G390" s="90"/>
    </row>
    <row r="391" spans="1:7" ht="12.75">
      <c r="A391" s="31" t="e">
        <f>#REF!</f>
        <v>#REF!</v>
      </c>
      <c r="B391" s="357"/>
      <c r="C391" s="375"/>
      <c r="D391" s="141"/>
      <c r="E391" s="270" t="e">
        <f>#REF!</f>
        <v>#REF!</v>
      </c>
      <c r="F391" s="423"/>
      <c r="G391" s="309"/>
    </row>
    <row r="392" spans="1:7" ht="12.75">
      <c r="A392" s="34" t="e">
        <f>A391+1</f>
        <v>#REF!</v>
      </c>
      <c r="B392" s="357"/>
      <c r="C392" s="375"/>
      <c r="D392" s="141"/>
      <c r="E392" s="270" t="e">
        <f>#REF!</f>
        <v>#REF!</v>
      </c>
      <c r="F392" s="423"/>
      <c r="G392" s="309"/>
    </row>
    <row r="393" spans="1:7" ht="12.75">
      <c r="A393" s="34" t="e">
        <f>A392+1</f>
        <v>#REF!</v>
      </c>
      <c r="B393" s="357"/>
      <c r="C393" s="375"/>
      <c r="D393" s="141"/>
      <c r="E393" s="270" t="e">
        <f>#REF!</f>
        <v>#REF!</v>
      </c>
      <c r="F393" s="423"/>
      <c r="G393" s="309"/>
    </row>
    <row r="394" spans="1:7" ht="12.75">
      <c r="A394" s="35" t="e">
        <f>A393+1</f>
        <v>#REF!</v>
      </c>
      <c r="B394" s="357"/>
      <c r="C394" s="375"/>
      <c r="D394" s="141"/>
      <c r="E394" s="270" t="e">
        <f>#REF!</f>
        <v>#REF!</v>
      </c>
      <c r="F394" s="423"/>
      <c r="G394" s="309"/>
    </row>
    <row r="395" spans="1:7" ht="12.75">
      <c r="A395" s="54" t="e">
        <f>A393+1</f>
        <v>#REF!</v>
      </c>
      <c r="B395" s="357"/>
      <c r="C395" s="248"/>
      <c r="D395" s="142"/>
      <c r="E395" s="367" t="e">
        <f>E404</f>
        <v>#REF!</v>
      </c>
      <c r="F395" s="423"/>
      <c r="G395" s="309"/>
    </row>
    <row r="396" spans="1:7" ht="12.75">
      <c r="A396" s="37" t="e">
        <f>A395+1</f>
        <v>#REF!</v>
      </c>
      <c r="B396" s="362"/>
      <c r="C396" s="154"/>
      <c r="D396" s="154"/>
      <c r="E396" s="263" t="e">
        <f>SUM(E391:E395)</f>
        <v>#REF!</v>
      </c>
      <c r="F396" s="345"/>
      <c r="G396" s="345"/>
    </row>
    <row r="397" spans="1:7" ht="12.75">
      <c r="A397" s="71"/>
      <c r="B397" s="228"/>
      <c r="C397" s="250"/>
      <c r="D397" s="250"/>
      <c r="E397" s="424"/>
      <c r="F397" s="425"/>
      <c r="G397" s="309"/>
    </row>
    <row r="398" spans="1:7" ht="12.75">
      <c r="A398" s="31" t="e">
        <f>A394+1</f>
        <v>#REF!</v>
      </c>
      <c r="B398" s="357"/>
      <c r="C398" s="375"/>
      <c r="D398" s="142"/>
      <c r="E398" s="270" t="e">
        <f>#REF!</f>
        <v>#REF!</v>
      </c>
      <c r="F398" s="270" t="e">
        <f>#REF!</f>
        <v>#REF!</v>
      </c>
      <c r="G398" s="426"/>
    </row>
    <row r="399" spans="1:7" ht="12.75">
      <c r="A399" s="34" t="e">
        <f>A398+1</f>
        <v>#REF!</v>
      </c>
      <c r="B399" s="357"/>
      <c r="C399" s="375"/>
      <c r="D399" s="142"/>
      <c r="E399" s="270" t="e">
        <f>#REF!</f>
        <v>#REF!</v>
      </c>
      <c r="F399" s="270" t="e">
        <f>#REF!</f>
        <v>#REF!</v>
      </c>
      <c r="G399" s="426"/>
    </row>
    <row r="400" spans="1:7" ht="12.75">
      <c r="A400" s="34" t="e">
        <f>A399+1</f>
        <v>#REF!</v>
      </c>
      <c r="B400" s="357"/>
      <c r="C400" s="375"/>
      <c r="D400" s="142"/>
      <c r="E400" s="270" t="e">
        <f>#REF!</f>
        <v>#REF!</v>
      </c>
      <c r="F400" s="270" t="e">
        <f>#REF!</f>
        <v>#REF!</v>
      </c>
      <c r="G400" s="426"/>
    </row>
    <row r="401" spans="1:7" ht="12.75">
      <c r="A401" s="34" t="e">
        <f>A400+1</f>
        <v>#REF!</v>
      </c>
      <c r="B401" s="357"/>
      <c r="C401" s="375"/>
      <c r="D401" s="142"/>
      <c r="E401" s="270" t="e">
        <f>#REF!</f>
        <v>#REF!</v>
      </c>
      <c r="F401" s="270" t="e">
        <f>#REF!</f>
        <v>#REF!</v>
      </c>
      <c r="G401" s="426"/>
    </row>
    <row r="402" spans="1:7" ht="12.75">
      <c r="A402" s="34" t="e">
        <f>A401+1</f>
        <v>#REF!</v>
      </c>
      <c r="B402" s="357"/>
      <c r="C402" s="375"/>
      <c r="D402" s="142"/>
      <c r="E402" s="270" t="e">
        <f>#REF!</f>
        <v>#REF!</v>
      </c>
      <c r="F402" s="270" t="e">
        <f>#REF!</f>
        <v>#REF!</v>
      </c>
      <c r="G402" s="426"/>
    </row>
    <row r="403" spans="1:7" ht="12.75">
      <c r="A403" s="35" t="e">
        <f>A401+1</f>
        <v>#REF!</v>
      </c>
      <c r="B403" s="240"/>
      <c r="C403" s="248"/>
      <c r="D403" s="142"/>
      <c r="E403" s="270" t="e">
        <f>#REF!</f>
        <v>#REF!</v>
      </c>
      <c r="F403" s="270" t="e">
        <f>#REF!</f>
        <v>#REF!</v>
      </c>
      <c r="G403" s="426"/>
    </row>
    <row r="404" spans="1:7" ht="12.75">
      <c r="A404" s="37" t="e">
        <f>A403+1</f>
        <v>#REF!</v>
      </c>
      <c r="B404" s="362"/>
      <c r="C404" s="154"/>
      <c r="D404" s="154"/>
      <c r="E404" s="263" t="e">
        <f>SUM(E398:E403)</f>
        <v>#REF!</v>
      </c>
      <c r="F404" s="427"/>
      <c r="G404" s="345">
        <f>SUM(G391:G394)</f>
        <v>0</v>
      </c>
    </row>
    <row r="405" spans="1:7" ht="12.75">
      <c r="A405" s="37" t="e">
        <f>A404+1</f>
        <v>#REF!</v>
      </c>
      <c r="B405" s="357"/>
      <c r="C405" s="375"/>
      <c r="D405" s="254"/>
      <c r="E405" s="367"/>
      <c r="F405" s="428"/>
      <c r="G405" s="367"/>
    </row>
    <row r="406" spans="1:7" ht="12.75">
      <c r="A406" s="71"/>
      <c r="B406" s="191"/>
      <c r="C406" s="249"/>
      <c r="D406" s="253"/>
      <c r="E406" s="429"/>
      <c r="F406" s="423"/>
      <c r="G406" s="309"/>
    </row>
    <row r="407" spans="1:7" ht="12.75">
      <c r="A407" s="31" t="e">
        <f>A404+1</f>
        <v>#REF!</v>
      </c>
      <c r="B407" s="357"/>
      <c r="C407" s="375"/>
      <c r="D407" s="142"/>
      <c r="E407" s="270" t="e">
        <f>#REF!</f>
        <v>#REF!</v>
      </c>
      <c r="F407" s="430" t="e">
        <f>#REF!</f>
        <v>#REF!</v>
      </c>
      <c r="G407" s="367"/>
    </row>
    <row r="408" spans="1:7" ht="12.75">
      <c r="A408" s="37" t="e">
        <f>A404+1</f>
        <v>#REF!</v>
      </c>
      <c r="B408" s="357"/>
      <c r="C408" s="375"/>
      <c r="D408" s="252"/>
      <c r="E408" s="270" t="e">
        <f>#REF!</f>
        <v>#REF!</v>
      </c>
      <c r="F408" s="270" t="e">
        <f>#REF!</f>
        <v>#REF!</v>
      </c>
      <c r="G408" s="431"/>
    </row>
    <row r="409" spans="1:7" ht="12.75">
      <c r="A409" s="274"/>
      <c r="B409" s="275"/>
      <c r="C409" s="275"/>
      <c r="D409" s="275"/>
      <c r="E409" s="275"/>
      <c r="F409" s="275"/>
      <c r="G409" s="275"/>
    </row>
    <row r="410" spans="1:7" ht="12.75">
      <c r="A410" s="275"/>
      <c r="B410" s="275"/>
      <c r="C410" s="275"/>
      <c r="D410" s="275"/>
      <c r="E410" s="275"/>
      <c r="F410" s="275"/>
      <c r="G410" s="275"/>
    </row>
  </sheetData>
  <conditionalFormatting sqref="F9:F34 B9:B15 D47 B16:C16 B35:C37 D43 D45 D55 D52:D53 B20:B24 C9:C14 B28:C31 B129:B148">
    <cfRule type="expression" priority="1" dxfId="0" stopIfTrue="1">
      <formula>$F$2=TRUE</formula>
    </cfRule>
  </conditionalFormatting>
  <conditionalFormatting sqref="D51 D44">
    <cfRule type="expression" priority="2" dxfId="1" stopIfTrue="1">
      <formula>$J$2=TRUE</formula>
    </cfRule>
  </conditionalFormatting>
  <conditionalFormatting sqref="H80:I85 B64:F73 H64:I73 G75:I75 B80:F85 D95 G92:H112 H114 C92:D94 G118:H122 B310:B315 F310:F314 B292:C304 D320 E391:E394 E407:F408 E398:F403">
    <cfRule type="expression" priority="3" dxfId="0" stopIfTrue="1">
      <formula>$E$2=TRUE</formula>
    </cfRule>
  </conditionalFormatting>
  <conditionalFormatting sqref="G64:G73 G80:G85 C97">
    <cfRule type="expression" priority="4" dxfId="1" stopIfTrue="1">
      <formula>$I$2=TRUE</formula>
    </cfRule>
  </conditionalFormatting>
  <conditionalFormatting sqref="B327:O346">
    <cfRule type="expression" priority="5" dxfId="0" stopIfTrue="1">
      <formula>$G$2=TRUE</formula>
    </cfRule>
  </conditionalFormatting>
  <conditionalFormatting sqref="F170:F171 F182 F157:F166 C157:C162 F193 F206 E195 F196 F200:F204 F211 D213 C178:E178 F176:F178 C176:E176">
    <cfRule type="expression" priority="6" dxfId="1" stopIfTrue="1">
      <formula>$E$2=TRUE</formula>
    </cfRule>
  </conditionalFormatting>
  <conditionalFormatting sqref="C163:C166 F181 E164:E165 E168:F168 E379:E382 E159:E162 C245:C259 G262 D247:D258 C268:C282 C284:C285 D268 D283 C356:D368 E375:E377 D292:D304">
    <cfRule type="expression" priority="7" dxfId="0" stopIfTrue="1">
      <formula>$C$2=TRUE</formula>
    </cfRule>
  </conditionalFormatting>
  <conditionalFormatting sqref="E405 C193:C196 C211:C213 D224:D235 E395 G405 G407:G408">
    <cfRule type="expression" priority="8" dxfId="1" stopIfTrue="1">
      <formula>$F$2=TRUE</formula>
    </cfRule>
  </conditionalFormatting>
  <conditionalFormatting sqref="E194 D200:E203 C204:E204 C207:F207 D211:E211 D212 E224:E235 C223:C235 D223">
    <cfRule type="expression" priority="9" dxfId="0" stopIfTrue="1">
      <formula>$D$2=TRUE</formula>
    </cfRule>
  </conditionalFormatting>
  <conditionalFormatting sqref="C310:C315 D319">
    <cfRule type="expression" priority="10" dxfId="1" stopIfTrue="1">
      <formula>$H$2=TRUE</formula>
    </cfRule>
  </conditionalFormatting>
  <conditionalFormatting sqref="E356:E368 E374">
    <cfRule type="expression" priority="11" dxfId="1" stopIfTrue="1">
      <formula>$D$2=TRUE</formula>
    </cfRule>
  </conditionalFormatting>
  <conditionalFormatting sqref="E157">
    <cfRule type="expression" priority="12" dxfId="0" stopIfTrue="1">
      <formula>$C$2=TRUE</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Blad18"/>
  <dimension ref="A1:N81"/>
  <sheetViews>
    <sheetView showGridLines="0" zoomScale="86" zoomScaleNormal="86" workbookViewId="0" topLeftCell="A1">
      <selection activeCell="B8" sqref="B8"/>
    </sheetView>
  </sheetViews>
  <sheetFormatPr defaultColWidth="9.140625" defaultRowHeight="12.75"/>
  <cols>
    <col min="1" max="1" width="5.7109375" style="467" customWidth="1"/>
    <col min="2" max="2" width="10.421875" style="456" customWidth="1"/>
    <col min="3" max="3" width="11.7109375" style="456" customWidth="1"/>
    <col min="4" max="4" width="17.7109375" style="456" customWidth="1"/>
    <col min="5" max="6" width="12.7109375" style="456" customWidth="1"/>
    <col min="7" max="8" width="7.00390625" style="456" customWidth="1"/>
    <col min="9" max="10" width="13.421875" style="456" customWidth="1"/>
    <col min="11" max="11" width="9.421875" style="456" customWidth="1"/>
    <col min="12" max="12" width="12.7109375" style="453" customWidth="1"/>
    <col min="13" max="13" width="6.57421875" style="453" customWidth="1"/>
    <col min="14" max="14" width="10.8515625" style="453" customWidth="1"/>
    <col min="15" max="17" width="10.7109375" style="453" customWidth="1"/>
    <col min="18" max="25" width="9.140625" style="453" customWidth="1"/>
    <col min="26" max="26" width="1.7109375" style="453" customWidth="1"/>
    <col min="27" max="16384" width="9.140625" style="453" customWidth="1"/>
  </cols>
  <sheetData>
    <row r="1" spans="1:12" ht="15.75" customHeight="1">
      <c r="A1" s="677"/>
      <c r="B1" s="42"/>
      <c r="C1" s="42"/>
      <c r="D1" s="42"/>
      <c r="E1" s="42"/>
      <c r="F1" s="42"/>
      <c r="G1" s="42"/>
      <c r="H1" s="42"/>
      <c r="I1" s="42"/>
      <c r="J1" s="42"/>
      <c r="K1" s="42"/>
      <c r="L1" s="608"/>
    </row>
    <row r="2" spans="1:13" s="515" customFormat="1" ht="15.75" customHeight="1">
      <c r="A2" s="622" t="str">
        <f>Inhoud!$A$2</f>
        <v>Nacalculatieformulier 2004 GGZ-instellingen</v>
      </c>
      <c r="B2" s="637"/>
      <c r="C2" s="639"/>
      <c r="D2" s="637"/>
      <c r="E2" s="637"/>
      <c r="F2" s="546"/>
      <c r="G2" s="640" t="b">
        <f>Voorblad!E28</f>
        <v>1</v>
      </c>
      <c r="H2" s="640"/>
      <c r="I2" s="639"/>
      <c r="J2" s="639"/>
      <c r="K2" s="622"/>
      <c r="L2" s="546"/>
      <c r="M2" s="1302">
        <f>Instandhouding!M44+1</f>
        <v>18</v>
      </c>
    </row>
    <row r="3" spans="1:12" ht="7.5" customHeight="1">
      <c r="A3" s="677"/>
      <c r="B3" s="42"/>
      <c r="C3" s="42"/>
      <c r="D3" s="42"/>
      <c r="E3" s="42"/>
      <c r="F3" s="42"/>
      <c r="G3" s="42"/>
      <c r="H3" s="42"/>
      <c r="I3" s="42"/>
      <c r="J3" s="42"/>
      <c r="K3" s="42"/>
      <c r="L3" s="608"/>
    </row>
    <row r="4" spans="1:12" ht="7.5" customHeight="1">
      <c r="A4" s="677"/>
      <c r="B4" s="42"/>
      <c r="C4" s="42"/>
      <c r="D4" s="42"/>
      <c r="E4" s="42"/>
      <c r="F4" s="42"/>
      <c r="G4" s="42"/>
      <c r="H4" s="42"/>
      <c r="I4" s="42"/>
      <c r="J4" s="42"/>
      <c r="K4" s="42"/>
      <c r="L4" s="608"/>
    </row>
    <row r="5" spans="1:7" ht="12.75" customHeight="1">
      <c r="A5" s="677" t="s">
        <v>797</v>
      </c>
      <c r="B5" s="702" t="s">
        <v>870</v>
      </c>
      <c r="C5" s="42"/>
      <c r="D5" s="42"/>
      <c r="E5" s="608"/>
      <c r="F5" s="453"/>
      <c r="G5" s="42"/>
    </row>
    <row r="6" spans="1:9" ht="12.75" customHeight="1">
      <c r="A6" s="456"/>
      <c r="B6" s="1140"/>
      <c r="C6" s="1155"/>
      <c r="D6" s="1155"/>
      <c r="E6" s="1141"/>
      <c r="F6" s="1141"/>
      <c r="G6" s="1668" t="s">
        <v>221</v>
      </c>
      <c r="H6" s="1634"/>
      <c r="I6" s="1167" t="s">
        <v>766</v>
      </c>
    </row>
    <row r="7" spans="1:9" ht="12.75" customHeight="1">
      <c r="A7" s="456"/>
      <c r="B7" s="1142"/>
      <c r="C7" s="1143"/>
      <c r="D7" s="1159"/>
      <c r="E7" s="1143"/>
      <c r="F7" s="1143"/>
      <c r="G7" s="1669" t="str">
        <f>CONCATENATE(Voorblad!$E$3-1)</f>
        <v>2003</v>
      </c>
      <c r="H7" s="1670"/>
      <c r="I7" s="1372" t="str">
        <f>CONCATENATE(Voorblad!$E$3)</f>
        <v>2004</v>
      </c>
    </row>
    <row r="8" spans="1:9" ht="12.75" customHeight="1">
      <c r="A8" s="849">
        <f>M2*100+1</f>
        <v>1801</v>
      </c>
      <c r="B8" s="1462"/>
      <c r="C8" s="978"/>
      <c r="D8" s="1463"/>
      <c r="E8" s="1464"/>
      <c r="F8" s="1465"/>
      <c r="G8" s="1671">
        <v>0</v>
      </c>
      <c r="H8" s="1489"/>
      <c r="I8" s="524">
        <v>0</v>
      </c>
    </row>
    <row r="9" spans="1:9" ht="12.75" customHeight="1">
      <c r="A9" s="849">
        <f>A8+1</f>
        <v>1802</v>
      </c>
      <c r="B9" s="1466"/>
      <c r="C9" s="454"/>
      <c r="D9" s="1467"/>
      <c r="E9" s="1463"/>
      <c r="F9" s="1468"/>
      <c r="G9" s="1666">
        <v>0</v>
      </c>
      <c r="H9" s="1652"/>
      <c r="I9" s="524">
        <v>0</v>
      </c>
    </row>
    <row r="10" spans="1:9" ht="12.75" customHeight="1">
      <c r="A10" s="849">
        <f aca="true" t="shared" si="0" ref="A10:A15">A9+1</f>
        <v>1803</v>
      </c>
      <c r="B10" s="1466"/>
      <c r="C10" s="454"/>
      <c r="D10" s="1467"/>
      <c r="E10" s="1463"/>
      <c r="F10" s="1468"/>
      <c r="G10" s="1666">
        <v>0</v>
      </c>
      <c r="H10" s="1652"/>
      <c r="I10" s="524">
        <v>0</v>
      </c>
    </row>
    <row r="11" spans="1:9" ht="12.75" customHeight="1">
      <c r="A11" s="849">
        <f t="shared" si="0"/>
        <v>1804</v>
      </c>
      <c r="B11" s="1466"/>
      <c r="C11" s="454"/>
      <c r="D11" s="1467"/>
      <c r="E11" s="1463"/>
      <c r="F11" s="1468"/>
      <c r="G11" s="1666">
        <v>0</v>
      </c>
      <c r="H11" s="1652"/>
      <c r="I11" s="524">
        <v>0</v>
      </c>
    </row>
    <row r="12" spans="1:9" ht="12.75" customHeight="1">
      <c r="A12" s="849">
        <f t="shared" si="0"/>
        <v>1805</v>
      </c>
      <c r="B12" s="1466"/>
      <c r="C12" s="454"/>
      <c r="D12" s="1467"/>
      <c r="E12" s="1463"/>
      <c r="F12" s="1468"/>
      <c r="G12" s="1666">
        <v>0</v>
      </c>
      <c r="H12" s="1652"/>
      <c r="I12" s="524">
        <v>0</v>
      </c>
    </row>
    <row r="13" spans="1:9" ht="12.75" customHeight="1">
      <c r="A13" s="849">
        <f t="shared" si="0"/>
        <v>1806</v>
      </c>
      <c r="B13" s="1466"/>
      <c r="C13" s="454"/>
      <c r="D13" s="1467"/>
      <c r="E13" s="1463"/>
      <c r="F13" s="1468"/>
      <c r="G13" s="1666">
        <v>0</v>
      </c>
      <c r="H13" s="1652"/>
      <c r="I13" s="524">
        <v>0</v>
      </c>
    </row>
    <row r="14" spans="1:9" ht="12.75" customHeight="1">
      <c r="A14" s="849">
        <f t="shared" si="0"/>
        <v>1807</v>
      </c>
      <c r="B14" s="1466"/>
      <c r="C14" s="454"/>
      <c r="D14" s="1467"/>
      <c r="E14" s="1463"/>
      <c r="F14" s="1468"/>
      <c r="G14" s="1666">
        <v>0</v>
      </c>
      <c r="H14" s="1652"/>
      <c r="I14" s="954">
        <v>0</v>
      </c>
    </row>
    <row r="15" spans="1:9" ht="12.75" customHeight="1">
      <c r="A15" s="849">
        <f t="shared" si="0"/>
        <v>1808</v>
      </c>
      <c r="B15" s="1667" t="str">
        <f>CONCATENATE("Totaal regel ",A8," t/m ",A14)</f>
        <v>Totaal regel 1801 t/m 1807</v>
      </c>
      <c r="C15" s="1597"/>
      <c r="D15" s="1597"/>
      <c r="E15" s="919"/>
      <c r="F15" s="920"/>
      <c r="G15" s="1672">
        <f>SUM(G8:G14)</f>
        <v>0</v>
      </c>
      <c r="H15" s="1531"/>
      <c r="I15" s="955">
        <f>SUM(I8:I14)</f>
        <v>0</v>
      </c>
    </row>
    <row r="16" spans="1:13" ht="12.75" customHeight="1">
      <c r="A16" s="677"/>
      <c r="B16" s="42"/>
      <c r="C16" s="42"/>
      <c r="D16" s="42"/>
      <c r="E16" s="42"/>
      <c r="F16" s="42"/>
      <c r="G16" s="42"/>
      <c r="H16" s="42"/>
      <c r="I16" s="42"/>
      <c r="J16" s="42"/>
      <c r="K16" s="42"/>
      <c r="L16" s="42"/>
      <c r="M16" s="42"/>
    </row>
    <row r="17" spans="1:12" ht="12.75" customHeight="1">
      <c r="A17" s="712"/>
      <c r="C17" s="1119"/>
      <c r="D17" s="1119"/>
      <c r="E17" s="1119"/>
      <c r="F17" s="1119"/>
      <c r="G17" s="1119"/>
      <c r="H17" s="84"/>
      <c r="I17" s="84"/>
      <c r="J17" s="42"/>
      <c r="K17" s="42"/>
      <c r="L17" s="608"/>
    </row>
    <row r="18" spans="1:12" ht="12.75" customHeight="1">
      <c r="A18" s="712"/>
      <c r="B18" s="460" t="s">
        <v>880</v>
      </c>
      <c r="C18" s="1119"/>
      <c r="D18" s="1119"/>
      <c r="E18" s="1119"/>
      <c r="F18" s="1119"/>
      <c r="G18" s="1119"/>
      <c r="H18" s="84"/>
      <c r="I18" s="84"/>
      <c r="J18" s="42"/>
      <c r="K18" s="42"/>
      <c r="L18" s="608"/>
    </row>
    <row r="19" spans="1:12" s="515" customFormat="1" ht="12.75" customHeight="1">
      <c r="A19" s="595" t="s">
        <v>798</v>
      </c>
      <c r="B19" s="690" t="s">
        <v>881</v>
      </c>
      <c r="C19" s="92"/>
      <c r="D19" s="92"/>
      <c r="E19" s="1279">
        <v>1</v>
      </c>
      <c r="F19" s="92"/>
      <c r="G19" s="92"/>
      <c r="H19" s="92"/>
      <c r="I19" s="92"/>
      <c r="J19" s="92"/>
      <c r="K19" s="92"/>
      <c r="L19" s="92"/>
    </row>
    <row r="20" spans="1:12" s="515" customFormat="1" ht="12.75" customHeight="1">
      <c r="A20" s="691"/>
      <c r="B20" s="1583" t="s">
        <v>892</v>
      </c>
      <c r="C20" s="1587"/>
      <c r="D20" s="1587"/>
      <c r="E20" s="1649"/>
      <c r="F20" s="1650"/>
      <c r="G20" s="1662" t="s">
        <v>221</v>
      </c>
      <c r="H20" s="1599"/>
      <c r="I20" s="1121" t="s">
        <v>767</v>
      </c>
      <c r="J20" s="1124" t="s">
        <v>768</v>
      </c>
      <c r="K20" s="1129"/>
      <c r="L20" s="92"/>
    </row>
    <row r="21" spans="1:12" s="451" customFormat="1" ht="12.75" customHeight="1">
      <c r="A21" s="662"/>
      <c r="B21" s="1117" t="s">
        <v>91</v>
      </c>
      <c r="C21" s="1117" t="s">
        <v>556</v>
      </c>
      <c r="D21" s="1651" t="s">
        <v>694</v>
      </c>
      <c r="E21" s="1649"/>
      <c r="F21" s="1650"/>
      <c r="G21" s="1663">
        <v>2003</v>
      </c>
      <c r="H21" s="1664"/>
      <c r="I21" s="1372" t="str">
        <f>CONCATENATE(Voorblad!$E$3)</f>
        <v>2004</v>
      </c>
      <c r="J21" s="1118" t="s">
        <v>769</v>
      </c>
      <c r="K21" s="1129"/>
      <c r="L21" s="92"/>
    </row>
    <row r="22" spans="1:12" ht="12.75" customHeight="1">
      <c r="A22" s="780">
        <f>A15+1</f>
        <v>1809</v>
      </c>
      <c r="B22" s="1011"/>
      <c r="C22" s="1334"/>
      <c r="D22" s="1646"/>
      <c r="E22" s="1647"/>
      <c r="F22" s="1652"/>
      <c r="G22" s="1646"/>
      <c r="H22" s="1652"/>
      <c r="I22" s="1137"/>
      <c r="J22" s="1137"/>
      <c r="K22" s="1130"/>
      <c r="L22" s="92"/>
    </row>
    <row r="23" spans="1:12" ht="12.75" customHeight="1">
      <c r="A23" s="780">
        <f aca="true" t="shared" si="1" ref="A23:A35">A22+1</f>
        <v>1810</v>
      </c>
      <c r="B23" s="839"/>
      <c r="C23" s="1335"/>
      <c r="D23" s="1646"/>
      <c r="E23" s="1647"/>
      <c r="F23" s="1652"/>
      <c r="G23" s="1646"/>
      <c r="H23" s="1652"/>
      <c r="I23" s="1137"/>
      <c r="J23" s="1137"/>
      <c r="K23" s="1130"/>
      <c r="L23" s="92"/>
    </row>
    <row r="24" spans="1:12" ht="12.75" customHeight="1">
      <c r="A24" s="780">
        <f t="shared" si="1"/>
        <v>1811</v>
      </c>
      <c r="B24" s="839"/>
      <c r="C24" s="1335"/>
      <c r="D24" s="1646"/>
      <c r="E24" s="1647"/>
      <c r="F24" s="1652"/>
      <c r="G24" s="1646"/>
      <c r="H24" s="1652"/>
      <c r="I24" s="1137"/>
      <c r="J24" s="1137"/>
      <c r="K24" s="1130"/>
      <c r="L24" s="92"/>
    </row>
    <row r="25" spans="1:12" ht="12.75" customHeight="1">
      <c r="A25" s="780">
        <f t="shared" si="1"/>
        <v>1812</v>
      </c>
      <c r="B25" s="839"/>
      <c r="C25" s="1335"/>
      <c r="D25" s="1646"/>
      <c r="E25" s="1647"/>
      <c r="F25" s="1652"/>
      <c r="G25" s="1646"/>
      <c r="H25" s="1652"/>
      <c r="I25" s="1137"/>
      <c r="J25" s="1137"/>
      <c r="K25" s="1130"/>
      <c r="L25" s="92"/>
    </row>
    <row r="26" spans="1:12" ht="12.75" customHeight="1">
      <c r="A26" s="780">
        <f t="shared" si="1"/>
        <v>1813</v>
      </c>
      <c r="B26" s="839"/>
      <c r="C26" s="1335"/>
      <c r="D26" s="1646"/>
      <c r="E26" s="1647"/>
      <c r="F26" s="1652"/>
      <c r="G26" s="1646"/>
      <c r="H26" s="1652"/>
      <c r="I26" s="1137"/>
      <c r="J26" s="1137"/>
      <c r="K26" s="1130"/>
      <c r="L26" s="92"/>
    </row>
    <row r="27" spans="1:12" ht="12.75" customHeight="1">
      <c r="A27" s="780">
        <f t="shared" si="1"/>
        <v>1814</v>
      </c>
      <c r="B27" s="839"/>
      <c r="C27" s="1335"/>
      <c r="D27" s="1646"/>
      <c r="E27" s="1647"/>
      <c r="F27" s="1652"/>
      <c r="G27" s="1646"/>
      <c r="H27" s="1652"/>
      <c r="I27" s="1137"/>
      <c r="J27" s="1137"/>
      <c r="K27" s="1130"/>
      <c r="L27" s="92"/>
    </row>
    <row r="28" spans="1:12" ht="12.75" customHeight="1">
      <c r="A28" s="780">
        <f t="shared" si="1"/>
        <v>1815</v>
      </c>
      <c r="B28" s="839"/>
      <c r="C28" s="1335"/>
      <c r="D28" s="1646"/>
      <c r="E28" s="1647"/>
      <c r="F28" s="1652"/>
      <c r="G28" s="1646"/>
      <c r="H28" s="1652"/>
      <c r="I28" s="1137"/>
      <c r="J28" s="1137"/>
      <c r="K28" s="1130"/>
      <c r="L28" s="92"/>
    </row>
    <row r="29" spans="1:12" ht="12.75" customHeight="1">
      <c r="A29" s="780">
        <f t="shared" si="1"/>
        <v>1816</v>
      </c>
      <c r="B29" s="839"/>
      <c r="C29" s="1335"/>
      <c r="D29" s="1646"/>
      <c r="E29" s="1647"/>
      <c r="F29" s="1652"/>
      <c r="G29" s="1646"/>
      <c r="H29" s="1652"/>
      <c r="I29" s="1137"/>
      <c r="J29" s="1137"/>
      <c r="K29" s="1130"/>
      <c r="L29" s="92"/>
    </row>
    <row r="30" spans="1:12" ht="12.75" customHeight="1">
      <c r="A30" s="780">
        <f t="shared" si="1"/>
        <v>1817</v>
      </c>
      <c r="B30" s="839"/>
      <c r="C30" s="1335"/>
      <c r="D30" s="1646"/>
      <c r="E30" s="1647"/>
      <c r="F30" s="1652"/>
      <c r="G30" s="1646"/>
      <c r="H30" s="1652"/>
      <c r="I30" s="1137"/>
      <c r="J30" s="1137"/>
      <c r="K30" s="1130"/>
      <c r="L30" s="92"/>
    </row>
    <row r="31" spans="1:12" ht="12.75" customHeight="1">
      <c r="A31" s="780">
        <f t="shared" si="1"/>
        <v>1818</v>
      </c>
      <c r="B31" s="839"/>
      <c r="C31" s="1335"/>
      <c r="D31" s="1646"/>
      <c r="E31" s="1647"/>
      <c r="F31" s="1652"/>
      <c r="G31" s="1646"/>
      <c r="H31" s="1652"/>
      <c r="I31" s="1137"/>
      <c r="J31" s="1137"/>
      <c r="K31" s="1130"/>
      <c r="L31" s="92"/>
    </row>
    <row r="32" spans="1:12" ht="12.75" customHeight="1">
      <c r="A32" s="780">
        <f t="shared" si="1"/>
        <v>1819</v>
      </c>
      <c r="B32" s="839"/>
      <c r="C32" s="1335"/>
      <c r="D32" s="1646"/>
      <c r="E32" s="1647"/>
      <c r="F32" s="1652"/>
      <c r="G32" s="1646"/>
      <c r="H32" s="1652"/>
      <c r="I32" s="1137"/>
      <c r="J32" s="1137"/>
      <c r="K32" s="1130"/>
      <c r="L32" s="92"/>
    </row>
    <row r="33" spans="1:12" ht="12.75" customHeight="1">
      <c r="A33" s="780">
        <f t="shared" si="1"/>
        <v>1820</v>
      </c>
      <c r="B33" s="839"/>
      <c r="C33" s="1335"/>
      <c r="D33" s="1646"/>
      <c r="E33" s="1647"/>
      <c r="F33" s="1652"/>
      <c r="G33" s="1646"/>
      <c r="H33" s="1652"/>
      <c r="I33" s="1137"/>
      <c r="J33" s="1137"/>
      <c r="K33" s="1130"/>
      <c r="L33" s="92"/>
    </row>
    <row r="34" spans="1:12" ht="12.75" customHeight="1">
      <c r="A34" s="780">
        <f t="shared" si="1"/>
        <v>1821</v>
      </c>
      <c r="B34" s="840"/>
      <c r="C34" s="1335"/>
      <c r="D34" s="1646"/>
      <c r="E34" s="1647"/>
      <c r="F34" s="1652"/>
      <c r="G34" s="1646"/>
      <c r="H34" s="1652"/>
      <c r="I34" s="1137"/>
      <c r="J34" s="1137"/>
      <c r="K34" s="1130"/>
      <c r="L34" s="92"/>
    </row>
    <row r="35" spans="1:13" ht="12.75" customHeight="1">
      <c r="A35" s="780">
        <f t="shared" si="1"/>
        <v>1822</v>
      </c>
      <c r="B35" s="1648" t="str">
        <f>CONCATENATE("Totaal regel ",A22," t/m ",A34,)</f>
        <v>Totaal regel 1809 t/m 1821</v>
      </c>
      <c r="C35" s="1597"/>
      <c r="D35" s="1597"/>
      <c r="E35" s="1597"/>
      <c r="F35" s="1531"/>
      <c r="G35" s="1665">
        <f>SUM(G22:H34)</f>
        <v>0</v>
      </c>
      <c r="H35" s="1531"/>
      <c r="I35" s="846">
        <f>SUM(I22:I34)</f>
        <v>0</v>
      </c>
      <c r="J35" s="846">
        <f>SUM(J22:J34)</f>
        <v>0</v>
      </c>
      <c r="K35" s="1131"/>
      <c r="L35" s="92"/>
      <c r="M35" s="92"/>
    </row>
    <row r="36" spans="1:12" ht="12.75" customHeight="1">
      <c r="A36" s="712"/>
      <c r="B36" s="1209" t="s">
        <v>882</v>
      </c>
      <c r="C36" s="1166"/>
      <c r="D36" s="1166"/>
      <c r="E36" s="1166"/>
      <c r="F36" s="1166"/>
      <c r="G36" s="1119"/>
      <c r="H36" s="84"/>
      <c r="I36" s="84"/>
      <c r="J36" s="84"/>
      <c r="K36" s="84"/>
      <c r="L36" s="712"/>
    </row>
    <row r="37" spans="1:12" ht="12.75" customHeight="1">
      <c r="A37" s="712"/>
      <c r="B37" s="1209" t="s">
        <v>891</v>
      </c>
      <c r="C37" s="1166"/>
      <c r="D37" s="1166"/>
      <c r="E37" s="1166"/>
      <c r="F37" s="1166"/>
      <c r="G37" s="1119"/>
      <c r="H37" s="84"/>
      <c r="I37" s="84"/>
      <c r="J37" s="84"/>
      <c r="K37" s="84"/>
      <c r="L37" s="712"/>
    </row>
    <row r="38" spans="1:12" ht="12.75" customHeight="1">
      <c r="A38" s="712"/>
      <c r="B38" s="1336"/>
      <c r="C38" s="1166"/>
      <c r="D38" s="1166"/>
      <c r="E38" s="1166"/>
      <c r="F38" s="1166"/>
      <c r="G38" s="1119"/>
      <c r="H38" s="84"/>
      <c r="I38" s="84"/>
      <c r="J38" s="84"/>
      <c r="K38" s="84"/>
      <c r="L38" s="712"/>
    </row>
    <row r="39" spans="1:12" ht="12.75" customHeight="1">
      <c r="A39" s="712"/>
      <c r="C39" s="1166"/>
      <c r="D39" s="1166"/>
      <c r="E39" s="1166"/>
      <c r="F39" s="1166"/>
      <c r="G39" s="1119"/>
      <c r="H39" s="84"/>
      <c r="I39" s="84"/>
      <c r="J39" s="84"/>
      <c r="K39" s="84"/>
      <c r="L39" s="712"/>
    </row>
    <row r="40" spans="10:12" ht="15.75" customHeight="1">
      <c r="J40" s="84"/>
      <c r="K40" s="42"/>
      <c r="L40" s="608"/>
    </row>
    <row r="41" spans="1:13" ht="15.75" customHeight="1">
      <c r="A41" s="1333" t="str">
        <f>Inhoud!$A$2</f>
        <v>Nacalculatieformulier 2004 GGZ-instellingen</v>
      </c>
      <c r="B41" s="637"/>
      <c r="C41" s="639"/>
      <c r="D41" s="637"/>
      <c r="E41" s="637"/>
      <c r="F41" s="640"/>
      <c r="G41" s="640"/>
      <c r="H41" s="639"/>
      <c r="I41" s="639"/>
      <c r="J41" s="622"/>
      <c r="K41" s="622"/>
      <c r="L41" s="546"/>
      <c r="M41" s="1302">
        <f>M2+1</f>
        <v>19</v>
      </c>
    </row>
    <row r="42" spans="1:12" ht="12.75" customHeight="1">
      <c r="A42" s="14"/>
      <c r="B42" s="460"/>
      <c r="J42" s="84"/>
      <c r="K42" s="84"/>
      <c r="L42" s="712"/>
    </row>
    <row r="43" spans="1:12" ht="12.75" customHeight="1">
      <c r="A43" s="14" t="s">
        <v>799</v>
      </c>
      <c r="B43" s="460" t="s">
        <v>878</v>
      </c>
      <c r="J43" s="84"/>
      <c r="K43" s="84"/>
      <c r="L43" s="712"/>
    </row>
    <row r="44" spans="3:12" ht="12.75" customHeight="1">
      <c r="C44" s="1119"/>
      <c r="D44" s="1119"/>
      <c r="E44" s="1119"/>
      <c r="F44" s="1119"/>
      <c r="G44" s="1119"/>
      <c r="H44" s="84"/>
      <c r="I44" s="84"/>
      <c r="J44" s="84"/>
      <c r="K44" s="84"/>
      <c r="L44" s="712"/>
    </row>
    <row r="45" spans="2:12" ht="12.75" customHeight="1">
      <c r="B45" s="1332" t="s">
        <v>695</v>
      </c>
      <c r="C45" s="1119"/>
      <c r="D45" s="460"/>
      <c r="E45" s="1119"/>
      <c r="F45" s="1119"/>
      <c r="G45" s="1119"/>
      <c r="H45" s="84"/>
      <c r="I45" s="1374" t="s">
        <v>770</v>
      </c>
      <c r="J45" s="84"/>
      <c r="K45" s="84"/>
      <c r="L45" s="712"/>
    </row>
    <row r="46" spans="1:12" ht="12.75" customHeight="1">
      <c r="A46" s="780">
        <f>M41*100+1</f>
        <v>1901</v>
      </c>
      <c r="B46" s="1031" t="s">
        <v>771</v>
      </c>
      <c r="C46" s="1150"/>
      <c r="D46" s="1150"/>
      <c r="E46" s="1150"/>
      <c r="F46" s="1150"/>
      <c r="G46" s="1150"/>
      <c r="H46" s="804"/>
      <c r="I46" s="1373"/>
      <c r="J46" s="84"/>
      <c r="K46" s="84"/>
      <c r="L46" s="712"/>
    </row>
    <row r="47" spans="3:12" ht="12.75" customHeight="1">
      <c r="C47" s="1119"/>
      <c r="D47" s="1119"/>
      <c r="E47" s="1119"/>
      <c r="F47" s="1119"/>
      <c r="G47" s="1119"/>
      <c r="H47" s="84"/>
      <c r="I47" s="84"/>
      <c r="J47" s="84"/>
      <c r="K47" s="84"/>
      <c r="L47" s="712"/>
    </row>
    <row r="48" spans="2:12" ht="12.75" customHeight="1">
      <c r="B48" s="690" t="s">
        <v>802</v>
      </c>
      <c r="C48" s="92"/>
      <c r="D48" s="92"/>
      <c r="E48" s="92"/>
      <c r="F48" s="92"/>
      <c r="G48" s="92"/>
      <c r="H48" s="92"/>
      <c r="I48" s="92"/>
      <c r="J48" s="92"/>
      <c r="K48" s="716"/>
      <c r="L48" s="92"/>
    </row>
    <row r="49" spans="1:12" ht="12.75" customHeight="1">
      <c r="A49" s="691"/>
      <c r="B49" s="1638" t="s">
        <v>692</v>
      </c>
      <c r="C49" s="1660"/>
      <c r="D49" s="1660"/>
      <c r="E49" s="1661"/>
      <c r="F49" s="1591"/>
      <c r="G49" s="1591"/>
      <c r="H49" s="1634"/>
      <c r="I49" s="1121" t="s">
        <v>767</v>
      </c>
      <c r="J49" s="1124" t="s">
        <v>768</v>
      </c>
      <c r="K49" s="1129"/>
      <c r="L49" s="92"/>
    </row>
    <row r="50" spans="1:12" ht="12.75">
      <c r="A50" s="662"/>
      <c r="B50" s="1117" t="s">
        <v>190</v>
      </c>
      <c r="C50" s="1117" t="s">
        <v>556</v>
      </c>
      <c r="D50" s="1651" t="s">
        <v>694</v>
      </c>
      <c r="E50" s="1656"/>
      <c r="F50" s="1657"/>
      <c r="G50" s="1657"/>
      <c r="H50" s="1658"/>
      <c r="I50" s="1372" t="str">
        <f>CONCATENATE(Voorblad!$E$3)</f>
        <v>2004</v>
      </c>
      <c r="J50" s="1118" t="s">
        <v>769</v>
      </c>
      <c r="K50" s="1129"/>
      <c r="L50" s="92"/>
    </row>
    <row r="51" spans="1:14" ht="12.75">
      <c r="A51" s="780">
        <f>A46+1</f>
        <v>1902</v>
      </c>
      <c r="B51" s="839"/>
      <c r="C51" s="485"/>
      <c r="D51" s="1646"/>
      <c r="E51" s="1647"/>
      <c r="F51" s="1659"/>
      <c r="G51" s="1659"/>
      <c r="H51" s="1652"/>
      <c r="I51" s="434"/>
      <c r="J51" s="434"/>
      <c r="K51" s="1130"/>
      <c r="L51" s="92"/>
      <c r="N51" s="953"/>
    </row>
    <row r="52" spans="1:12" ht="12.75">
      <c r="A52" s="780">
        <f aca="true" t="shared" si="2" ref="A52:A59">A51+1</f>
        <v>1903</v>
      </c>
      <c r="B52" s="839"/>
      <c r="C52" s="485"/>
      <c r="D52" s="1646"/>
      <c r="E52" s="1647"/>
      <c r="F52" s="1659"/>
      <c r="G52" s="1659"/>
      <c r="H52" s="1652"/>
      <c r="I52" s="434"/>
      <c r="J52" s="434"/>
      <c r="K52" s="1130"/>
      <c r="L52" s="92"/>
    </row>
    <row r="53" spans="1:12" ht="12.75">
      <c r="A53" s="780">
        <f t="shared" si="2"/>
        <v>1904</v>
      </c>
      <c r="B53" s="839"/>
      <c r="C53" s="485"/>
      <c r="D53" s="1646"/>
      <c r="E53" s="1647"/>
      <c r="F53" s="1659"/>
      <c r="G53" s="1659"/>
      <c r="H53" s="1652"/>
      <c r="I53" s="434"/>
      <c r="J53" s="434"/>
      <c r="K53" s="1130"/>
      <c r="L53" s="92"/>
    </row>
    <row r="54" spans="1:12" ht="12.75">
      <c r="A54" s="780">
        <f t="shared" si="2"/>
        <v>1905</v>
      </c>
      <c r="B54" s="839"/>
      <c r="C54" s="485"/>
      <c r="D54" s="1646"/>
      <c r="E54" s="1647"/>
      <c r="F54" s="1659"/>
      <c r="G54" s="1659"/>
      <c r="H54" s="1652"/>
      <c r="I54" s="434"/>
      <c r="J54" s="434"/>
      <c r="K54" s="1130"/>
      <c r="L54" s="92"/>
    </row>
    <row r="55" spans="1:12" ht="12.75">
      <c r="A55" s="780">
        <f t="shared" si="2"/>
        <v>1906</v>
      </c>
      <c r="B55" s="839"/>
      <c r="C55" s="485"/>
      <c r="D55" s="1646"/>
      <c r="E55" s="1647"/>
      <c r="F55" s="1659"/>
      <c r="G55" s="1659"/>
      <c r="H55" s="1652"/>
      <c r="I55" s="434"/>
      <c r="J55" s="434"/>
      <c r="K55" s="1130"/>
      <c r="L55" s="92"/>
    </row>
    <row r="56" spans="1:12" ht="12.75">
      <c r="A56" s="780">
        <f t="shared" si="2"/>
        <v>1907</v>
      </c>
      <c r="B56" s="839"/>
      <c r="C56" s="485"/>
      <c r="D56" s="1646"/>
      <c r="E56" s="1647"/>
      <c r="F56" s="1659"/>
      <c r="G56" s="1659"/>
      <c r="H56" s="1652"/>
      <c r="I56" s="434"/>
      <c r="J56" s="434"/>
      <c r="K56" s="1130"/>
      <c r="L56" s="92"/>
    </row>
    <row r="57" spans="1:12" ht="12.75">
      <c r="A57" s="780">
        <f t="shared" si="2"/>
        <v>1908</v>
      </c>
      <c r="B57" s="839"/>
      <c r="C57" s="485"/>
      <c r="D57" s="1646"/>
      <c r="E57" s="1647"/>
      <c r="F57" s="1659"/>
      <c r="G57" s="1659"/>
      <c r="H57" s="1652"/>
      <c r="I57" s="434"/>
      <c r="J57" s="434"/>
      <c r="K57" s="1130"/>
      <c r="L57" s="92"/>
    </row>
    <row r="58" spans="1:12" ht="12.75">
      <c r="A58" s="780">
        <f t="shared" si="2"/>
        <v>1909</v>
      </c>
      <c r="B58" s="1123"/>
      <c r="C58" s="485"/>
      <c r="D58" s="1646"/>
      <c r="E58" s="1647"/>
      <c r="F58" s="1659"/>
      <c r="G58" s="1659"/>
      <c r="H58" s="1652"/>
      <c r="I58" s="434"/>
      <c r="J58" s="434"/>
      <c r="K58" s="1130"/>
      <c r="L58" s="92"/>
    </row>
    <row r="59" spans="1:12" ht="12.75">
      <c r="A59" s="780">
        <f t="shared" si="2"/>
        <v>1910</v>
      </c>
      <c r="B59" s="1648" t="str">
        <f>CONCATENATE("Totaal regel ",A51," t/m ",A58,)</f>
        <v>Totaal regel 1902 t/m 1909</v>
      </c>
      <c r="C59" s="1597"/>
      <c r="D59" s="1597"/>
      <c r="E59" s="1597"/>
      <c r="F59" s="1597"/>
      <c r="G59" s="1597"/>
      <c r="H59" s="1531"/>
      <c r="I59" s="847">
        <f>SUM(I51:I58)</f>
        <v>0</v>
      </c>
      <c r="J59" s="847">
        <f>SUM(J51:J58)</f>
        <v>0</v>
      </c>
      <c r="K59" s="1132"/>
      <c r="L59" s="92"/>
    </row>
    <row r="60" spans="11:12" ht="12">
      <c r="K60" s="716"/>
      <c r="L60" s="92"/>
    </row>
    <row r="61" spans="1:12" ht="12">
      <c r="A61" s="14"/>
      <c r="B61" s="690" t="s">
        <v>639</v>
      </c>
      <c r="C61" s="92"/>
      <c r="D61" s="92"/>
      <c r="E61" s="92"/>
      <c r="F61" s="92"/>
      <c r="G61" s="92"/>
      <c r="H61" s="92"/>
      <c r="I61" s="92"/>
      <c r="K61" s="716"/>
      <c r="L61" s="92"/>
    </row>
    <row r="62" spans="1:12" ht="12.75">
      <c r="A62" s="691"/>
      <c r="B62" s="1638" t="s">
        <v>692</v>
      </c>
      <c r="C62" s="1660"/>
      <c r="D62" s="1660"/>
      <c r="E62" s="1661"/>
      <c r="F62" s="1591"/>
      <c r="G62" s="1591"/>
      <c r="H62" s="1634"/>
      <c r="I62" s="1121" t="s">
        <v>767</v>
      </c>
      <c r="J62" s="1124" t="s">
        <v>768</v>
      </c>
      <c r="K62" s="1129"/>
      <c r="L62" s="92"/>
    </row>
    <row r="63" spans="1:12" ht="12.75">
      <c r="A63" s="662"/>
      <c r="B63" s="1651" t="s">
        <v>693</v>
      </c>
      <c r="C63" s="1653"/>
      <c r="D63" s="1651" t="s">
        <v>694</v>
      </c>
      <c r="E63" s="1656"/>
      <c r="F63" s="1657"/>
      <c r="G63" s="1657"/>
      <c r="H63" s="1658"/>
      <c r="I63" s="1372" t="str">
        <f>CONCATENATE(Voorblad!$E$3)</f>
        <v>2004</v>
      </c>
      <c r="J63" s="1118" t="s">
        <v>769</v>
      </c>
      <c r="K63" s="1129"/>
      <c r="L63" s="92"/>
    </row>
    <row r="64" spans="1:12" ht="12.75">
      <c r="A64" s="780">
        <f>A59+1</f>
        <v>1911</v>
      </c>
      <c r="B64" s="1654"/>
      <c r="C64" s="1655"/>
      <c r="D64" s="1646"/>
      <c r="E64" s="1647"/>
      <c r="F64" s="1597"/>
      <c r="G64" s="1597"/>
      <c r="H64" s="1531"/>
      <c r="I64" s="1134">
        <v>0</v>
      </c>
      <c r="J64" s="1134">
        <v>0</v>
      </c>
      <c r="K64" s="1130"/>
      <c r="L64" s="92"/>
    </row>
    <row r="65" spans="1:12" ht="12.75">
      <c r="A65" s="780">
        <f>A64+1</f>
        <v>1912</v>
      </c>
      <c r="B65" s="1654"/>
      <c r="C65" s="1655"/>
      <c r="D65" s="1646"/>
      <c r="E65" s="1647"/>
      <c r="F65" s="1597"/>
      <c r="G65" s="1597"/>
      <c r="H65" s="1531"/>
      <c r="I65" s="1134">
        <v>0</v>
      </c>
      <c r="J65" s="1134">
        <v>0</v>
      </c>
      <c r="K65" s="1130"/>
      <c r="L65" s="92"/>
    </row>
    <row r="66" spans="1:12" ht="12.75">
      <c r="A66" s="780">
        <f aca="true" t="shared" si="3" ref="A66:A72">A65+1</f>
        <v>1913</v>
      </c>
      <c r="B66" s="1654"/>
      <c r="C66" s="1655"/>
      <c r="D66" s="1646"/>
      <c r="E66" s="1647"/>
      <c r="F66" s="1597"/>
      <c r="G66" s="1597"/>
      <c r="H66" s="1531"/>
      <c r="I66" s="1134">
        <v>0</v>
      </c>
      <c r="J66" s="1134">
        <v>0</v>
      </c>
      <c r="K66" s="1130"/>
      <c r="L66" s="92"/>
    </row>
    <row r="67" spans="1:12" ht="12.75">
      <c r="A67" s="780">
        <f t="shared" si="3"/>
        <v>1914</v>
      </c>
      <c r="B67" s="1654"/>
      <c r="C67" s="1655"/>
      <c r="D67" s="1646"/>
      <c r="E67" s="1647"/>
      <c r="F67" s="1597"/>
      <c r="G67" s="1597"/>
      <c r="H67" s="1531"/>
      <c r="I67" s="1134">
        <v>0</v>
      </c>
      <c r="J67" s="1134">
        <v>0</v>
      </c>
      <c r="K67" s="1130"/>
      <c r="L67" s="92"/>
    </row>
    <row r="68" spans="1:12" ht="12.75">
      <c r="A68" s="780">
        <f t="shared" si="3"/>
        <v>1915</v>
      </c>
      <c r="B68" s="1654"/>
      <c r="C68" s="1655"/>
      <c r="D68" s="1646"/>
      <c r="E68" s="1647"/>
      <c r="F68" s="1597"/>
      <c r="G68" s="1597"/>
      <c r="H68" s="1531"/>
      <c r="I68" s="1134">
        <v>0</v>
      </c>
      <c r="J68" s="1134">
        <v>0</v>
      </c>
      <c r="K68" s="1130"/>
      <c r="L68" s="92"/>
    </row>
    <row r="69" spans="1:12" ht="12.75">
      <c r="A69" s="780">
        <f t="shared" si="3"/>
        <v>1916</v>
      </c>
      <c r="B69" s="1654"/>
      <c r="C69" s="1655"/>
      <c r="D69" s="1646"/>
      <c r="E69" s="1647"/>
      <c r="F69" s="1597"/>
      <c r="G69" s="1597"/>
      <c r="H69" s="1531"/>
      <c r="I69" s="1134">
        <v>0</v>
      </c>
      <c r="J69" s="1134">
        <v>0</v>
      </c>
      <c r="K69" s="1130"/>
      <c r="L69" s="92"/>
    </row>
    <row r="70" spans="1:12" ht="12.75">
      <c r="A70" s="780">
        <f t="shared" si="3"/>
        <v>1917</v>
      </c>
      <c r="B70" s="1654"/>
      <c r="C70" s="1655"/>
      <c r="D70" s="1646"/>
      <c r="E70" s="1647"/>
      <c r="F70" s="1597"/>
      <c r="G70" s="1597"/>
      <c r="H70" s="1531"/>
      <c r="I70" s="1134">
        <v>0</v>
      </c>
      <c r="J70" s="1134">
        <v>0</v>
      </c>
      <c r="K70" s="1130"/>
      <c r="L70" s="92"/>
    </row>
    <row r="71" spans="1:12" ht="12.75">
      <c r="A71" s="780">
        <f t="shared" si="3"/>
        <v>1918</v>
      </c>
      <c r="B71" s="1654"/>
      <c r="C71" s="1655"/>
      <c r="D71" s="1646"/>
      <c r="E71" s="1647"/>
      <c r="F71" s="1597"/>
      <c r="G71" s="1597"/>
      <c r="H71" s="1531"/>
      <c r="I71" s="1134">
        <v>0</v>
      </c>
      <c r="J71" s="1134">
        <v>0</v>
      </c>
      <c r="K71" s="1130"/>
      <c r="L71" s="92"/>
    </row>
    <row r="72" spans="1:12" ht="12.75">
      <c r="A72" s="780">
        <f t="shared" si="3"/>
        <v>1919</v>
      </c>
      <c r="B72" s="1648" t="str">
        <f>CONCATENATE("Totaal regel ",A64," t/m ",A71,)</f>
        <v>Totaal regel 1911 t/m 1918</v>
      </c>
      <c r="C72" s="1597"/>
      <c r="D72" s="1597"/>
      <c r="E72" s="1597"/>
      <c r="F72" s="1597"/>
      <c r="G72" s="1597"/>
      <c r="H72" s="1531"/>
      <c r="I72" s="1136">
        <f>SUM(I64:I71)</f>
        <v>0</v>
      </c>
      <c r="J72" s="1136">
        <f>SUM(J64:J71)</f>
        <v>0</v>
      </c>
      <c r="K72" s="1132"/>
      <c r="L72" s="92"/>
    </row>
    <row r="73" spans="1:12" ht="12.75">
      <c r="A73" s="71"/>
      <c r="B73" s="132"/>
      <c r="C73" s="1127"/>
      <c r="D73" s="1127"/>
      <c r="E73" s="1127"/>
      <c r="F73" s="1127"/>
      <c r="G73" s="1127"/>
      <c r="H73" s="1127"/>
      <c r="I73" s="1148"/>
      <c r="J73" s="1148"/>
      <c r="K73" s="1133"/>
      <c r="L73" s="92"/>
    </row>
    <row r="74" spans="1:13" ht="12.75">
      <c r="A74" s="71"/>
      <c r="B74" s="132"/>
      <c r="C74" s="1280"/>
      <c r="D74" s="1280"/>
      <c r="E74" s="1280"/>
      <c r="F74" s="1280"/>
      <c r="G74" s="1280"/>
      <c r="H74" s="1280"/>
      <c r="I74" s="1133"/>
      <c r="J74" s="1133"/>
      <c r="K74"/>
      <c r="L74"/>
      <c r="M74"/>
    </row>
    <row r="75" spans="1:13" ht="12.75">
      <c r="A75" s="14" t="s">
        <v>800</v>
      </c>
      <c r="B75" s="47" t="s">
        <v>879</v>
      </c>
      <c r="K75"/>
      <c r="L75"/>
      <c r="M75"/>
    </row>
    <row r="76" spans="2:10" ht="12">
      <c r="B76" s="1169"/>
      <c r="C76" s="1120"/>
      <c r="D76" s="1120"/>
      <c r="E76" s="1120"/>
      <c r="F76" s="1120"/>
      <c r="G76" s="1120"/>
      <c r="H76" s="1144"/>
      <c r="I76" s="1121" t="s">
        <v>767</v>
      </c>
      <c r="J76" s="1124" t="s">
        <v>768</v>
      </c>
    </row>
    <row r="77" spans="1:10" ht="12">
      <c r="A77" s="712"/>
      <c r="B77" s="1145"/>
      <c r="C77" s="1146"/>
      <c r="D77" s="1146"/>
      <c r="E77" s="1146"/>
      <c r="F77" s="1146"/>
      <c r="G77" s="1146"/>
      <c r="H77" s="1147"/>
      <c r="I77" s="1372" t="str">
        <f>CONCATENATE(Voorblad!$E$3)</f>
        <v>2004</v>
      </c>
      <c r="J77" s="1118" t="s">
        <v>769</v>
      </c>
    </row>
    <row r="78" spans="1:10" ht="12.75">
      <c r="A78" s="780">
        <f>A72+1</f>
        <v>1920</v>
      </c>
      <c r="B78" s="1648" t="str">
        <f>CONCATENATE("Niet geïndexeerd (regel ",A35,")")</f>
        <v>Niet geïndexeerd (regel 1822)</v>
      </c>
      <c r="C78" s="1597"/>
      <c r="D78" s="1597"/>
      <c r="E78" s="1597"/>
      <c r="F78" s="1597"/>
      <c r="G78" s="1597"/>
      <c r="H78" s="1531"/>
      <c r="I78" s="847">
        <f>I35</f>
        <v>0</v>
      </c>
      <c r="J78" s="847">
        <f>J35</f>
        <v>0</v>
      </c>
    </row>
    <row r="79" spans="1:10" ht="12.75">
      <c r="A79" s="780">
        <f>A78+1</f>
        <v>1921</v>
      </c>
      <c r="B79" s="1648" t="str">
        <f>CONCATENATE("Geïndexeerd (regel ",A46," + ",A59," + ",A72,")")</f>
        <v>Geïndexeerd (regel 1901 + 1910 + 1919)</v>
      </c>
      <c r="C79" s="1597"/>
      <c r="D79" s="1597"/>
      <c r="E79" s="1597"/>
      <c r="F79" s="1597"/>
      <c r="G79" s="1597"/>
      <c r="H79" s="1531"/>
      <c r="I79" s="847">
        <f>I46+I59-I72</f>
        <v>0</v>
      </c>
      <c r="J79" s="847">
        <f>I46+J59-J72</f>
        <v>0</v>
      </c>
    </row>
    <row r="80" spans="1:10" ht="12">
      <c r="A80" s="780">
        <f>A79+1</f>
        <v>1922</v>
      </c>
      <c r="B80" s="1149" t="s">
        <v>696</v>
      </c>
      <c r="C80" s="1151"/>
      <c r="D80" s="1151"/>
      <c r="E80" s="1151"/>
      <c r="F80" s="1151"/>
      <c r="G80" s="1151"/>
      <c r="H80" s="804"/>
      <c r="I80" s="1135">
        <f>SUM(I78:I79)</f>
        <v>0</v>
      </c>
      <c r="J80" s="1135">
        <f>SUM(J78:J79)</f>
        <v>0</v>
      </c>
    </row>
    <row r="81" spans="1:9" ht="12">
      <c r="A81" s="780">
        <f>A80+1</f>
        <v>1923</v>
      </c>
      <c r="B81" s="791" t="str">
        <f>CONCATENATE("Totale huur en erfpacht volgens jaarrekening ",Voorblad!$E$3)</f>
        <v>Totale huur en erfpacht volgens jaarrekening 2004</v>
      </c>
      <c r="C81" s="905"/>
      <c r="D81" s="905"/>
      <c r="E81" s="905"/>
      <c r="F81" s="905"/>
      <c r="G81" s="905"/>
      <c r="H81" s="906"/>
      <c r="I81" s="434"/>
    </row>
  </sheetData>
  <sheetProtection password="C281" sheet="1" objects="1" scenarios="1"/>
  <mergeCells count="76">
    <mergeCell ref="G13:H13"/>
    <mergeCell ref="D50:H50"/>
    <mergeCell ref="D51:H51"/>
    <mergeCell ref="G14:H14"/>
    <mergeCell ref="G15:H15"/>
    <mergeCell ref="G31:H31"/>
    <mergeCell ref="G32:H32"/>
    <mergeCell ref="G28:H28"/>
    <mergeCell ref="G29:H29"/>
    <mergeCell ref="G30:H30"/>
    <mergeCell ref="G6:H6"/>
    <mergeCell ref="G7:H7"/>
    <mergeCell ref="G8:H8"/>
    <mergeCell ref="G9:H9"/>
    <mergeCell ref="G10:H10"/>
    <mergeCell ref="G11:H11"/>
    <mergeCell ref="D26:F26"/>
    <mergeCell ref="D27:F27"/>
    <mergeCell ref="B15:D15"/>
    <mergeCell ref="D22:F22"/>
    <mergeCell ref="D23:F23"/>
    <mergeCell ref="D24:F24"/>
    <mergeCell ref="D25:F25"/>
    <mergeCell ref="G12:H12"/>
    <mergeCell ref="B79:H79"/>
    <mergeCell ref="D53:H53"/>
    <mergeCell ref="G33:H33"/>
    <mergeCell ref="D34:F34"/>
    <mergeCell ref="B78:H78"/>
    <mergeCell ref="G34:H34"/>
    <mergeCell ref="G35:H35"/>
    <mergeCell ref="B49:H49"/>
    <mergeCell ref="D52:H52"/>
    <mergeCell ref="D57:H57"/>
    <mergeCell ref="G20:H20"/>
    <mergeCell ref="G21:H21"/>
    <mergeCell ref="G22:H22"/>
    <mergeCell ref="G23:H23"/>
    <mergeCell ref="G26:H26"/>
    <mergeCell ref="D58:H58"/>
    <mergeCell ref="D54:H54"/>
    <mergeCell ref="B64:C64"/>
    <mergeCell ref="D56:H56"/>
    <mergeCell ref="D55:H55"/>
    <mergeCell ref="B62:H62"/>
    <mergeCell ref="B59:H59"/>
    <mergeCell ref="B71:C71"/>
    <mergeCell ref="D63:H63"/>
    <mergeCell ref="D64:H64"/>
    <mergeCell ref="D66:H66"/>
    <mergeCell ref="D67:H67"/>
    <mergeCell ref="D68:H68"/>
    <mergeCell ref="D69:H69"/>
    <mergeCell ref="B66:C66"/>
    <mergeCell ref="B65:C65"/>
    <mergeCell ref="B67:C67"/>
    <mergeCell ref="B69:C69"/>
    <mergeCell ref="D65:H65"/>
    <mergeCell ref="D70:H70"/>
    <mergeCell ref="G24:H24"/>
    <mergeCell ref="G25:H25"/>
    <mergeCell ref="G27:H27"/>
    <mergeCell ref="D30:F30"/>
    <mergeCell ref="D31:F31"/>
    <mergeCell ref="D32:F32"/>
    <mergeCell ref="D33:F33"/>
    <mergeCell ref="D71:H71"/>
    <mergeCell ref="B72:H72"/>
    <mergeCell ref="B20:F20"/>
    <mergeCell ref="D21:F21"/>
    <mergeCell ref="D28:F28"/>
    <mergeCell ref="D29:F29"/>
    <mergeCell ref="B63:C63"/>
    <mergeCell ref="B35:F35"/>
    <mergeCell ref="B70:C70"/>
    <mergeCell ref="B68:C68"/>
  </mergeCells>
  <conditionalFormatting sqref="I81 B8:G14 B51:J58 B22:J34 I8:I14 B64:J71">
    <cfRule type="expression" priority="1" dxfId="2" stopIfTrue="1">
      <formula>$G$2=TRUE</formula>
    </cfRule>
  </conditionalFormatting>
  <conditionalFormatting sqref="M22:N34">
    <cfRule type="expression" priority="2" dxfId="1" stopIfTrue="1">
      <formula>$C$2=TRUE</formula>
    </cfRule>
  </conditionalFormatting>
  <conditionalFormatting sqref="I46">
    <cfRule type="expression" priority="3" dxfId="2" stopIfTrue="1">
      <formula>$G$2=TRUE</formula>
    </cfRule>
  </conditionalFormatting>
  <dataValidations count="1">
    <dataValidation allowBlank="1" showInputMessage="1" showErrorMessage="1" promptTitle="Geactiveerd tot en met 2002" prompt="Als dit jaar instandhouding is uitgevoerd m.b.t. een zelfde meldingsbrief als vorig jaar, hier dan het tot en met bedrag vermelden uit het nacalculatieformulier van vorig jaar." sqref="E64:E71 E51:E58 E22:E34"/>
  </dataValidations>
  <printOptions/>
  <pageMargins left="0.3937007874015748" right="0.3937007874015748" top="0.3937007874015748" bottom="0.3937007874015748" header="0.2362204724409449" footer="0.11811023622047245"/>
  <pageSetup horizontalDpi="300" verticalDpi="300" orientation="landscape" paperSize="9" scale="95" r:id="rId2"/>
  <headerFooter alignWithMargins="0">
    <oddHeader xml:space="preserve">&amp;R&amp;9 </oddHeader>
  </headerFooter>
  <rowBreaks count="1" manualBreakCount="1">
    <brk id="39" max="12" man="1"/>
  </rowBreaks>
  <drawing r:id="rId1"/>
</worksheet>
</file>

<file path=xl/worksheets/sheet11.xml><?xml version="1.0" encoding="utf-8"?>
<worksheet xmlns="http://schemas.openxmlformats.org/spreadsheetml/2006/main" xmlns:r="http://schemas.openxmlformats.org/officeDocument/2006/relationships">
  <sheetPr codeName="Blad11"/>
  <dimension ref="A1:M47"/>
  <sheetViews>
    <sheetView showGridLines="0" zoomScale="86" zoomScaleNormal="86" workbookViewId="0" topLeftCell="A1">
      <selection activeCell="E11" sqref="E11"/>
    </sheetView>
  </sheetViews>
  <sheetFormatPr defaultColWidth="9.140625" defaultRowHeight="12.75"/>
  <cols>
    <col min="1" max="1" width="5.7109375" style="467" customWidth="1"/>
    <col min="2" max="2" width="57.7109375" style="453" customWidth="1"/>
    <col min="3" max="3" width="14.7109375" style="456" customWidth="1"/>
    <col min="4" max="4" width="6.140625" style="489" customWidth="1"/>
    <col min="5" max="7" width="14.7109375" style="453" customWidth="1"/>
    <col min="8" max="8" width="3.8515625" style="453" customWidth="1"/>
    <col min="9" max="9" width="8.421875" style="471" customWidth="1"/>
    <col min="10" max="16384" width="9.140625" style="453" customWidth="1"/>
  </cols>
  <sheetData>
    <row r="1" spans="1:12" ht="15.75" customHeight="1">
      <c r="A1" s="41"/>
      <c r="B1" s="42"/>
      <c r="C1" s="43"/>
      <c r="D1" s="42"/>
      <c r="E1" s="42"/>
      <c r="F1" s="45"/>
      <c r="G1" s="45"/>
      <c r="H1" s="41"/>
      <c r="I1" s="42"/>
      <c r="L1" s="451"/>
    </row>
    <row r="2" spans="1:12" s="515" customFormat="1" ht="15.75" customHeight="1">
      <c r="A2" s="622" t="str">
        <f>Inhoud!$A$2</f>
        <v>Nacalculatieformulier 2004 GGZ-instellingen</v>
      </c>
      <c r="B2" s="637"/>
      <c r="C2" s="546"/>
      <c r="D2" s="640" t="b">
        <f>Voorblad!E28</f>
        <v>1</v>
      </c>
      <c r="E2" s="640"/>
      <c r="F2" s="639"/>
      <c r="G2" s="639"/>
      <c r="H2" s="639"/>
      <c r="I2" s="1302">
        <f>'Overige kap.lasten '!M41+1</f>
        <v>20</v>
      </c>
      <c r="L2" s="516"/>
    </row>
    <row r="3" spans="1:12" ht="12">
      <c r="A3" s="41"/>
      <c r="B3" s="42"/>
      <c r="C3" s="43"/>
      <c r="D3" s="42"/>
      <c r="E3" s="42"/>
      <c r="F3" s="45"/>
      <c r="G3" s="45"/>
      <c r="H3" s="41"/>
      <c r="I3" s="42"/>
      <c r="L3" s="451"/>
    </row>
    <row r="4" spans="1:10" ht="12.75" customHeight="1">
      <c r="A4" s="14" t="s">
        <v>452</v>
      </c>
      <c r="B4" s="95"/>
      <c r="C4" s="387"/>
      <c r="D4" s="95"/>
      <c r="E4" s="90"/>
      <c r="F4" s="627"/>
      <c r="G4" s="627"/>
      <c r="H4" s="95"/>
      <c r="I4" s="95"/>
      <c r="J4" s="451"/>
    </row>
    <row r="5" spans="1:9" ht="7.5" customHeight="1">
      <c r="A5" s="41"/>
      <c r="B5" s="95"/>
      <c r="C5" s="95"/>
      <c r="D5" s="95"/>
      <c r="E5" s="163"/>
      <c r="F5" s="165"/>
      <c r="G5" s="165"/>
      <c r="H5" s="163"/>
      <c r="I5" s="163"/>
    </row>
    <row r="6" spans="1:9" s="603" customFormat="1" ht="12.75" customHeight="1">
      <c r="A6" s="670" t="s">
        <v>184</v>
      </c>
      <c r="B6" s="14" t="s">
        <v>93</v>
      </c>
      <c r="G6"/>
      <c r="H6" s="709"/>
      <c r="I6" s="709"/>
    </row>
    <row r="7" spans="1:13" s="451" customFormat="1" ht="12.75" customHeight="1">
      <c r="A7" s="26"/>
      <c r="B7" s="1210"/>
      <c r="C7" s="1243" t="s">
        <v>179</v>
      </c>
      <c r="D7" s="1673" t="s">
        <v>75</v>
      </c>
      <c r="E7" s="1674"/>
      <c r="F7" s="1124" t="s">
        <v>183</v>
      </c>
      <c r="G7" s="1124" t="s">
        <v>183</v>
      </c>
      <c r="H7" s="26"/>
      <c r="I7" s="132"/>
      <c r="J7" s="479"/>
      <c r="K7" s="592"/>
      <c r="L7" s="592"/>
      <c r="M7" s="470"/>
    </row>
    <row r="8" spans="2:9" ht="12.75" customHeight="1">
      <c r="B8" s="1200"/>
      <c r="C8" s="731" t="s">
        <v>180</v>
      </c>
      <c r="D8" s="710" t="s">
        <v>62</v>
      </c>
      <c r="E8" s="675" t="s">
        <v>103</v>
      </c>
      <c r="F8" s="1195"/>
      <c r="G8" s="1195" t="s">
        <v>893</v>
      </c>
      <c r="H8" s="712"/>
      <c r="I8" s="701"/>
    </row>
    <row r="9" spans="1:9" ht="12.75" customHeight="1">
      <c r="A9" s="780">
        <f>(I2*100)+1</f>
        <v>2001</v>
      </c>
      <c r="B9" s="866" t="str">
        <f>CONCATENATE("Loonkosten nacalculatie productie (regel ",Productie!H137,")")</f>
        <v>Loonkosten nacalculatie productie (regel 1032)</v>
      </c>
      <c r="C9" s="486">
        <f>Productie!L137</f>
        <v>0</v>
      </c>
      <c r="D9" s="142" t="s">
        <v>775</v>
      </c>
      <c r="E9" s="486">
        <f>Productie!L133</f>
        <v>0</v>
      </c>
      <c r="F9" s="486">
        <f>C9-E9</f>
        <v>0</v>
      </c>
      <c r="G9"/>
      <c r="H9" s="712"/>
      <c r="I9" s="1375" t="s">
        <v>460</v>
      </c>
    </row>
    <row r="10" spans="1:9" ht="12.75" customHeight="1">
      <c r="A10" s="780">
        <f>A9+1</f>
        <v>2002</v>
      </c>
      <c r="B10" s="1092" t="str">
        <f>CONCATENATE("Vervoerskosten bij begeleiding in de GGZ ( regel ",Productie!H154,")")</f>
        <v>Vervoerskosten bij begeleiding in de GGZ ( regel 1037)</v>
      </c>
      <c r="C10" s="1080">
        <f>Productie!M154</f>
        <v>0</v>
      </c>
      <c r="D10" s="142" t="s">
        <v>776</v>
      </c>
      <c r="E10" s="1461">
        <f>Productie!L134</f>
        <v>0</v>
      </c>
      <c r="F10" s="486">
        <f>C10-E10</f>
        <v>0</v>
      </c>
      <c r="G10" s="712"/>
      <c r="I10" s="1375" t="s">
        <v>650</v>
      </c>
    </row>
    <row r="11" spans="1:9" ht="12.75" customHeight="1">
      <c r="A11" s="780">
        <f>A10+1</f>
        <v>2003</v>
      </c>
      <c r="B11" s="850" t="str">
        <f>CONCATENATE("Vrij besteedbare aanvullende inkomsten (regel ",Opbrengsten!A84,")")</f>
        <v>Vrij besteedbare aanvullende inkomsten (regel 1222)</v>
      </c>
      <c r="C11" s="486">
        <f>Opbrengsten!G84</f>
        <v>0</v>
      </c>
      <c r="D11" s="141">
        <v>40</v>
      </c>
      <c r="E11" s="502"/>
      <c r="F11" s="486">
        <f>C11-E11</f>
        <v>0</v>
      </c>
      <c r="G11"/>
      <c r="H11" s="714"/>
      <c r="I11" s="1375" t="s">
        <v>537</v>
      </c>
    </row>
    <row r="12" spans="1:9" s="451" customFormat="1" ht="12.75" customHeight="1">
      <c r="A12" s="780">
        <f>A11+1</f>
        <v>2004</v>
      </c>
      <c r="B12" s="681" t="str">
        <f>CONCATENATE("Nacalculeerbare afschrijvingskosten (regel ",Afschrijvingen!A22,")")</f>
        <v>Nacalculeerbare afschrijvingskosten (regel 1313)</v>
      </c>
      <c r="C12" s="507">
        <f>Afschrijvingen!I22</f>
        <v>0</v>
      </c>
      <c r="D12" s="141">
        <v>70</v>
      </c>
      <c r="E12" s="502"/>
      <c r="F12" s="486">
        <f>C12-E12</f>
        <v>0</v>
      </c>
      <c r="G12"/>
      <c r="H12" s="714"/>
      <c r="I12" s="1375" t="s">
        <v>56</v>
      </c>
    </row>
    <row r="13" spans="1:9" s="451" customFormat="1" ht="12.75" customHeight="1">
      <c r="A13" s="780">
        <f aca="true" t="shared" si="0" ref="A13:A28">A12+1</f>
        <v>2005</v>
      </c>
      <c r="B13" s="575" t="str">
        <f>CONCATENATE("Afschrijvingskosten trekkingsrechten (5% van regel ",A37,")")</f>
        <v>Afschrijvingskosten trekkingsrechten (5% van regel 2024)</v>
      </c>
      <c r="C13" s="1246"/>
      <c r="D13" s="189"/>
      <c r="E13" s="481"/>
      <c r="F13" s="486">
        <f>0.05*F37</f>
        <v>0</v>
      </c>
      <c r="G13"/>
      <c r="H13" s="714"/>
      <c r="I13" s="1376"/>
    </row>
    <row r="14" spans="1:9" s="451" customFormat="1" ht="12.75" customHeight="1">
      <c r="A14" s="780">
        <f t="shared" si="0"/>
        <v>2006</v>
      </c>
      <c r="B14" s="681" t="str">
        <f>CONCATENATE("Rentekosten (regel ",'Rentecalc.'!A33,")")</f>
        <v>Rentekosten (regel 2119)</v>
      </c>
      <c r="C14" s="486">
        <f>'Rentecalc.'!E33</f>
        <v>0</v>
      </c>
      <c r="D14" s="141">
        <v>71</v>
      </c>
      <c r="E14" s="434"/>
      <c r="F14" s="486">
        <f>C14-E14</f>
        <v>0</v>
      </c>
      <c r="G14"/>
      <c r="H14" s="679"/>
      <c r="I14" s="1375" t="s">
        <v>57</v>
      </c>
    </row>
    <row r="15" spans="1:9" s="451" customFormat="1" ht="12.75" customHeight="1">
      <c r="A15" s="780">
        <f t="shared" si="0"/>
        <v>2007</v>
      </c>
      <c r="B15" s="866" t="str">
        <f>CONCATENATE("Doorberekende kapitaalslasten (-/- regel ",'Overige kap.lasten '!A15,")")</f>
        <v>Doorberekende kapitaalslasten (-/- regel 1808)</v>
      </c>
      <c r="C15" s="1013">
        <f>'Overige kap.lasten '!I15</f>
        <v>0</v>
      </c>
      <c r="D15" s="141">
        <v>73</v>
      </c>
      <c r="E15" s="605">
        <v>0</v>
      </c>
      <c r="F15" s="491">
        <f>C15-E15</f>
        <v>0</v>
      </c>
      <c r="G15"/>
      <c r="H15" s="714"/>
      <c r="I15" s="1375" t="s">
        <v>58</v>
      </c>
    </row>
    <row r="16" spans="1:9" s="451" customFormat="1" ht="12.75" customHeight="1">
      <c r="A16" s="780">
        <f t="shared" si="0"/>
        <v>2008</v>
      </c>
      <c r="B16" s="681" t="str">
        <f>CONCATENATE("Niet geïndexeerde huur (regel ",'Overige kap.lasten '!A78,")")</f>
        <v>Niet geïndexeerde huur (regel 1920)</v>
      </c>
      <c r="C16" s="507">
        <f>'Overige kap.lasten '!I78</f>
        <v>0</v>
      </c>
      <c r="D16" s="142" t="s">
        <v>894</v>
      </c>
      <c r="E16" s="434"/>
      <c r="F16" s="486">
        <f>C16-E16</f>
        <v>0</v>
      </c>
      <c r="G16"/>
      <c r="H16" s="714"/>
      <c r="I16" s="1375" t="s">
        <v>557</v>
      </c>
    </row>
    <row r="17" spans="1:9" s="451" customFormat="1" ht="12.75" customHeight="1">
      <c r="A17" s="780">
        <f t="shared" si="0"/>
        <v>2009</v>
      </c>
      <c r="B17" s="681" t="str">
        <f>CONCATENATE("Geïndexeerde huur (regel ",'Overige kap.lasten '!A79,")")</f>
        <v>Geïndexeerde huur (regel 1921)</v>
      </c>
      <c r="C17" s="507">
        <f>'Overige kap.lasten '!I79</f>
        <v>0</v>
      </c>
      <c r="D17" s="142" t="s">
        <v>894</v>
      </c>
      <c r="E17" s="486">
        <f>'Overige kap.lasten '!I46</f>
        <v>0</v>
      </c>
      <c r="F17" s="486">
        <f>C17-E17</f>
        <v>0</v>
      </c>
      <c r="G17" s="964">
        <f>ROUND(F17/1.0096,0)</f>
        <v>0</v>
      </c>
      <c r="H17" s="714"/>
      <c r="I17" s="1375" t="s">
        <v>651</v>
      </c>
    </row>
    <row r="18" spans="1:9" s="451" customFormat="1" ht="12.75" customHeight="1">
      <c r="A18" s="780">
        <f t="shared" si="0"/>
        <v>2010</v>
      </c>
      <c r="B18" s="681" t="s">
        <v>92</v>
      </c>
      <c r="C18" s="962">
        <v>0</v>
      </c>
      <c r="D18" s="141">
        <v>74</v>
      </c>
      <c r="E18" s="502"/>
      <c r="F18" s="486">
        <f>C18-E18</f>
        <v>0</v>
      </c>
      <c r="G18"/>
      <c r="H18" s="714"/>
      <c r="I18" s="1375" t="s">
        <v>61</v>
      </c>
    </row>
    <row r="19" spans="1:9" s="451" customFormat="1" ht="12.75" customHeight="1">
      <c r="A19" s="780">
        <f t="shared" si="0"/>
        <v>2011</v>
      </c>
      <c r="B19" s="796" t="s">
        <v>803</v>
      </c>
      <c r="C19" s="1246"/>
      <c r="D19" s="1247"/>
      <c r="E19" s="481"/>
      <c r="F19" s="867"/>
      <c r="G19"/>
      <c r="H19" s="714"/>
      <c r="I19" s="1377"/>
    </row>
    <row r="20" spans="1:9" s="471" customFormat="1" ht="12.75" customHeight="1">
      <c r="A20" s="780">
        <f t="shared" si="0"/>
        <v>2012</v>
      </c>
      <c r="B20" s="963" t="str">
        <f>CONCATENATE("Mutatie aanvaardbare kosten (regel ",A9," t/m ",A19,")")</f>
        <v>Mutatie aanvaardbare kosten (regel 2001 t/m 2011)</v>
      </c>
      <c r="C20" s="1249"/>
      <c r="D20" s="1250"/>
      <c r="E20" s="1251"/>
      <c r="F20" s="985">
        <f>SUM(F9:F14)-F15+SUM(F16:F19)</f>
        <v>0</v>
      </c>
      <c r="G20"/>
      <c r="H20"/>
      <c r="I20" s="1377"/>
    </row>
    <row r="21" spans="1:9" s="451" customFormat="1" ht="12.75" customHeight="1">
      <c r="A21" s="780">
        <f t="shared" si="0"/>
        <v>2013</v>
      </c>
      <c r="B21" s="574" t="str">
        <f>CONCATENATE("Aanvaardbare kosten op kasbasis volgens rekenstaat ",Voorblad!$E$3,)</f>
        <v>Aanvaardbare kosten op kasbasis volgens rekenstaat 2004</v>
      </c>
      <c r="C21" s="490"/>
      <c r="D21" s="189"/>
      <c r="E21" s="1248"/>
      <c r="F21" s="1009"/>
      <c r="G21"/>
      <c r="H21" s="715"/>
      <c r="I21" s="1377"/>
    </row>
    <row r="22" spans="1:11" s="471" customFormat="1" ht="12.75" customHeight="1">
      <c r="A22" s="780">
        <f t="shared" si="0"/>
        <v>2014</v>
      </c>
      <c r="B22" s="963" t="str">
        <f>CONCATENATE("Totaal aanvaardbare kosten ",Voorblad!E3," (regel ",A20," + ",A21,")")</f>
        <v>Totaal aanvaardbare kosten 2004 (regel 2012 + 2013)</v>
      </c>
      <c r="C22" s="1249"/>
      <c r="D22" s="1250"/>
      <c r="E22" s="1251"/>
      <c r="F22" s="806">
        <f>F20+F21</f>
        <v>0</v>
      </c>
      <c r="G22"/>
      <c r="H22" s="715"/>
      <c r="I22" s="1377"/>
      <c r="K22"/>
    </row>
    <row r="23" spans="1:11" s="471" customFormat="1" ht="12.75" customHeight="1">
      <c r="A23" s="780">
        <f t="shared" si="0"/>
        <v>2015</v>
      </c>
      <c r="B23" s="1245" t="s">
        <v>933</v>
      </c>
      <c r="C23" s="1246"/>
      <c r="D23" s="189"/>
      <c r="E23" s="1248"/>
      <c r="F23" s="1010"/>
      <c r="G23"/>
      <c r="H23" s="715"/>
      <c r="I23" s="1377"/>
      <c r="K23"/>
    </row>
    <row r="24" spans="1:9" s="471" customFormat="1" ht="12.75" customHeight="1">
      <c r="A24" s="780">
        <f t="shared" si="0"/>
        <v>2016</v>
      </c>
      <c r="B24" s="795" t="s">
        <v>432</v>
      </c>
      <c r="C24" s="1249"/>
      <c r="D24" s="1250"/>
      <c r="E24" s="1251"/>
      <c r="F24" s="980">
        <f>F22-F23</f>
        <v>0</v>
      </c>
      <c r="G24"/>
      <c r="H24" s="715"/>
      <c r="I24" s="1377"/>
    </row>
    <row r="25" spans="1:9" s="471" customFormat="1" ht="12.75" customHeight="1">
      <c r="A25" s="780">
        <f t="shared" si="0"/>
        <v>2017</v>
      </c>
      <c r="B25" s="574" t="str">
        <f>CONCATENATE("Aanvaardbare kosten volgens laatste rekenstaat excl. aanvullende inkomsten. (regel ",A21,"- regel ",A11,")")</f>
        <v>Aanvaardbare kosten volgens laatste rekenstaat excl. aanvullende inkomsten. (regel 2013- regel 2003)</v>
      </c>
      <c r="C25" s="1102"/>
      <c r="D25" s="1103"/>
      <c r="E25" s="1104"/>
      <c r="F25" s="868">
        <f>F21-E11</f>
        <v>0</v>
      </c>
      <c r="G25"/>
      <c r="H25" s="715"/>
      <c r="I25" s="1377"/>
    </row>
    <row r="26" spans="1:9" s="471" customFormat="1" ht="12.75" customHeight="1">
      <c r="A26" s="780">
        <f t="shared" si="0"/>
        <v>2018</v>
      </c>
      <c r="B26" s="797" t="str">
        <f>CONCATENATE("Doorwerking niet-geïndexeerde huur in ",Voorblad!E3+1," (regel ",'Overige kap.lasten '!A78,", structureel minus kasbasis)")</f>
        <v>Doorwerking niet-geïndexeerde huur in 2005 (regel 1920, structureel minus kasbasis)</v>
      </c>
      <c r="C26" s="1253"/>
      <c r="D26" s="1254"/>
      <c r="E26" s="1255"/>
      <c r="F26" s="868">
        <f>'Overige kap.lasten '!J78-'Overige kap.lasten '!I78</f>
        <v>0</v>
      </c>
      <c r="G26"/>
      <c r="H26" s="715"/>
      <c r="I26" s="1375" t="s">
        <v>557</v>
      </c>
    </row>
    <row r="27" spans="1:10" s="471" customFormat="1" ht="12.75" customHeight="1">
      <c r="A27" s="780">
        <f t="shared" si="0"/>
        <v>2019</v>
      </c>
      <c r="B27" s="797" t="str">
        <f>CONCATENATE("Doorwerking geïndexeerde huur in ",Voorblad!E3+1," (regel ",'Overige kap.lasten '!A79,", structureel minus kasbasis)")</f>
        <v>Doorwerking geïndexeerde huur in 2005 (regel 1921, structureel minus kasbasis)</v>
      </c>
      <c r="C27" s="1246"/>
      <c r="D27" s="666"/>
      <c r="E27" s="1111"/>
      <c r="F27" s="964">
        <f>'Overige kap.lasten '!J79-'Overige kap.lasten '!I79</f>
        <v>0</v>
      </c>
      <c r="G27" s="964">
        <f>ROUND(F27/1.0096,0)</f>
        <v>0</v>
      </c>
      <c r="H27" s="715"/>
      <c r="I27" s="1375" t="s">
        <v>651</v>
      </c>
      <c r="J27" s="451"/>
    </row>
    <row r="28" spans="1:9" s="451" customFormat="1" ht="12.75" customHeight="1">
      <c r="A28" s="780">
        <f t="shared" si="0"/>
        <v>2020</v>
      </c>
      <c r="B28" s="681" t="s">
        <v>710</v>
      </c>
      <c r="C28" s="1252"/>
      <c r="D28" s="489"/>
      <c r="E28" s="483"/>
      <c r="F28" s="483"/>
      <c r="G28"/>
      <c r="H28" s="662"/>
      <c r="I28" s="1376"/>
    </row>
    <row r="29" spans="1:9" s="515" customFormat="1" ht="12.75" customHeight="1">
      <c r="A29" s="635"/>
      <c r="B29" s="711" t="s">
        <v>711</v>
      </c>
      <c r="G29"/>
      <c r="H29" s="716"/>
      <c r="I29" s="1376"/>
    </row>
    <row r="30" spans="1:9" s="515" customFormat="1" ht="6" customHeight="1">
      <c r="A30" s="635"/>
      <c r="B30" s="713"/>
      <c r="G30"/>
      <c r="H30" s="716"/>
      <c r="I30" s="1376"/>
    </row>
    <row r="31" spans="1:9" s="515" customFormat="1" ht="12.75" customHeight="1">
      <c r="A31" s="670" t="s">
        <v>210</v>
      </c>
      <c r="B31" s="14" t="s">
        <v>97</v>
      </c>
      <c r="G31"/>
      <c r="H31" s="716"/>
      <c r="I31" s="1376"/>
    </row>
    <row r="32" spans="2:9" ht="12.75" customHeight="1">
      <c r="B32" s="1242"/>
      <c r="C32" s="1243" t="s">
        <v>185</v>
      </c>
      <c r="D32" s="1673" t="s">
        <v>75</v>
      </c>
      <c r="E32" s="1674"/>
      <c r="F32" s="1124" t="s">
        <v>183</v>
      </c>
      <c r="G32"/>
      <c r="H32" s="716"/>
      <c r="I32" s="1376"/>
    </row>
    <row r="33" spans="2:9" ht="12.75" customHeight="1">
      <c r="B33" s="1200"/>
      <c r="C33" s="1244"/>
      <c r="D33" s="710" t="s">
        <v>62</v>
      </c>
      <c r="E33" s="675" t="s">
        <v>103</v>
      </c>
      <c r="F33" s="1195"/>
      <c r="G33"/>
      <c r="H33" s="662"/>
      <c r="I33" s="1376"/>
    </row>
    <row r="34" spans="1:9" ht="12.75" customHeight="1">
      <c r="A34" s="780">
        <f>A28+1</f>
        <v>2021</v>
      </c>
      <c r="B34" s="866" t="str">
        <f>CONCATENATE("Investeringen jaarlijkse instandhouding ",Voorblad!E3," (regels ",Instandhouding!A38," en ",Instandhouding!A34,")")</f>
        <v>Investeringen jaarlijkse instandhouding 2004 (regels 1628 en 1624)</v>
      </c>
      <c r="C34" s="604">
        <f>Instandhouding!E38</f>
        <v>0</v>
      </c>
      <c r="D34" s="142" t="s">
        <v>895</v>
      </c>
      <c r="E34" s="606">
        <f>Instandhouding!E34</f>
        <v>0</v>
      </c>
      <c r="F34" s="491">
        <f>C34-E34</f>
        <v>0</v>
      </c>
      <c r="G34"/>
      <c r="H34" s="712"/>
      <c r="I34" s="1375" t="str">
        <f>CONCATENATE("IJ",RIGHT(Voorblad!E3,2))</f>
        <v>IJ04</v>
      </c>
    </row>
    <row r="35" spans="1:9" ht="12.75" customHeight="1">
      <c r="A35" s="780">
        <f>A34+1</f>
        <v>2022</v>
      </c>
      <c r="B35" s="681" t="str">
        <f>CONCATENATE("Inbrengverplichting ",Voorblad!E3," (regel ",Instandhouding!A35,")")</f>
        <v>Inbrengverplichting 2004 (regel 1625)</v>
      </c>
      <c r="C35" s="956"/>
      <c r="D35" s="957"/>
      <c r="E35" s="958"/>
      <c r="F35" s="491">
        <f>Instandhouding!F35</f>
        <v>0</v>
      </c>
      <c r="G35"/>
      <c r="H35" s="712"/>
      <c r="I35" s="1375" t="str">
        <f>CONCATENATE("IV",RIGHT(Voorblad!E3,2))</f>
        <v>IV04</v>
      </c>
    </row>
    <row r="36" spans="1:9" ht="12.75" customHeight="1">
      <c r="A36" s="780">
        <f>A35+1</f>
        <v>2023</v>
      </c>
      <c r="B36" s="681" t="str">
        <f>CONCATENATE("Nog te verwerken inbrengverplichting ","(regel ",Instandhouding!A59,")")</f>
        <v>Nog te verwerken inbrengverplichting (regel 1710)</v>
      </c>
      <c r="C36" s="959"/>
      <c r="D36" s="960"/>
      <c r="E36" s="961"/>
      <c r="F36" s="491">
        <f>Instandhouding!I59</f>
        <v>0</v>
      </c>
      <c r="G36"/>
      <c r="H36" s="712"/>
      <c r="I36" s="1375" t="s">
        <v>538</v>
      </c>
    </row>
    <row r="37" spans="1:9" ht="12.75" customHeight="1">
      <c r="A37" s="780">
        <f>A36+1</f>
        <v>2024</v>
      </c>
      <c r="B37" s="681" t="str">
        <f>CONCATENATE("Investeringen incidentele instandhouding ","(regels ",Instandhouding!A38," en ",Instandhouding!A34,")")</f>
        <v>Investeringen incidentele instandhouding (regels 1628 en 1624)</v>
      </c>
      <c r="C37" s="604">
        <f>Instandhouding!F38</f>
        <v>0</v>
      </c>
      <c r="D37" s="142" t="s">
        <v>896</v>
      </c>
      <c r="E37" s="607">
        <f>Instandhouding!F34</f>
        <v>0</v>
      </c>
      <c r="F37" s="491">
        <f>C37-E37</f>
        <v>0</v>
      </c>
      <c r="G37"/>
      <c r="H37" s="712"/>
      <c r="I37" s="1375" t="str">
        <f>CONCATENATE("IT",RIGHT(Voorblad!E3,2))</f>
        <v>IT04</v>
      </c>
    </row>
    <row r="38" spans="1:9" ht="6" customHeight="1">
      <c r="A38" s="14"/>
      <c r="B38" s="662"/>
      <c r="C38" s="492"/>
      <c r="D38" s="493"/>
      <c r="E38" s="494"/>
      <c r="F38" s="494"/>
      <c r="G38"/>
      <c r="H38" s="712"/>
      <c r="I38" s="1376"/>
    </row>
    <row r="39" spans="1:9" ht="12.75" customHeight="1">
      <c r="A39" s="670" t="s">
        <v>211</v>
      </c>
      <c r="B39" s="677" t="s">
        <v>212</v>
      </c>
      <c r="C39" s="495"/>
      <c r="D39" s="453"/>
      <c r="F39" s="496"/>
      <c r="G39"/>
      <c r="H39" s="568"/>
      <c r="I39" s="1376"/>
    </row>
    <row r="40" spans="1:9" ht="12.75" customHeight="1">
      <c r="A40" s="780">
        <f>A37+1</f>
        <v>2025</v>
      </c>
      <c r="B40" s="575" t="str">
        <f>CONCATENATE("Opbrengstregistratie volgens laatste rekenstaat lopend jaar (kolom ",Voorblad!E3,") regel ´verrekend in opbrengsten´")</f>
        <v>Opbrengstregistratie volgens laatste rekenstaat lopend jaar (kolom 2004) regel ´verrekend in opbrengsten´</v>
      </c>
      <c r="C40" s="497"/>
      <c r="D40" s="498"/>
      <c r="E40" s="499"/>
      <c r="F40" s="502"/>
      <c r="G40"/>
      <c r="H40" s="712"/>
      <c r="I40" s="1376"/>
    </row>
    <row r="41" spans="1:9" ht="12.75" customHeight="1">
      <c r="A41" s="780">
        <f>A40+1</f>
        <v>2026</v>
      </c>
      <c r="B41" s="575" t="str">
        <f>CONCATENATE("Totaal aanvullende inkomsten (regel ",Opbrengsten!A84," )")</f>
        <v>Totaal aanvullende inkomsten (regel 1222 )</v>
      </c>
      <c r="C41" s="486">
        <f>Opbrengsten!F84+Opbrengsten!G84</f>
        <v>0</v>
      </c>
      <c r="D41" s="1044">
        <v>112</v>
      </c>
      <c r="E41" s="502"/>
      <c r="F41" s="486">
        <f>C41-E41</f>
        <v>0</v>
      </c>
      <c r="G41"/>
      <c r="H41" s="712"/>
      <c r="I41" s="1375" t="s">
        <v>539</v>
      </c>
    </row>
    <row r="42" spans="1:9" ht="12.75" customHeight="1">
      <c r="A42" s="780">
        <f>A41+1</f>
        <v>2027</v>
      </c>
      <c r="B42" s="796" t="str">
        <f>CONCATENATE("Werkelijke opbrengst (regel ",Opbrengsten!H53,")")</f>
        <v>Werkelijke opbrengst (regel 1226)</v>
      </c>
      <c r="C42" s="497"/>
      <c r="D42" s="498"/>
      <c r="E42" s="499"/>
      <c r="F42" s="843">
        <f>Opbrengsten!M53</f>
        <v>0</v>
      </c>
      <c r="G42"/>
      <c r="H42" s="712"/>
      <c r="I42" s="1378" t="s">
        <v>709</v>
      </c>
    </row>
    <row r="43" spans="1:9" ht="12.75" customHeight="1">
      <c r="A43" s="780">
        <f>A42+1</f>
        <v>2028</v>
      </c>
      <c r="B43" s="795" t="str">
        <f>CONCATENATE("Tijdelijke toeslag/aftrek (regel ",A40," + ",A41," -/- ",A42,")")</f>
        <v>Tijdelijke toeslag/aftrek (regel 2025 + 2026 -/- 2027)</v>
      </c>
      <c r="C43" s="869"/>
      <c r="D43" s="870"/>
      <c r="E43" s="871"/>
      <c r="F43" s="785">
        <f>F40+C41-F42</f>
        <v>0</v>
      </c>
      <c r="G43"/>
      <c r="H43" s="567"/>
      <c r="I43" s="1378" t="s">
        <v>709</v>
      </c>
    </row>
    <row r="44" spans="1:9" ht="8.25" customHeight="1">
      <c r="A44" s="677"/>
      <c r="B44" s="608"/>
      <c r="C44" s="489"/>
      <c r="D44" s="456"/>
      <c r="G44"/>
      <c r="H44" s="608"/>
      <c r="I44" s="670"/>
    </row>
    <row r="45" spans="1:9" ht="12.75" customHeight="1">
      <c r="A45" s="780">
        <f>A43+1</f>
        <v>2029</v>
      </c>
      <c r="B45" s="795" t="str">
        <f>CONCATENATE("Totaal nog te verrekenen in tarieven (regel ",Mutaties!A20," + ",Mutaties!A43,")")</f>
        <v>Totaal nog te verrekenen in tarieven (regel 2012 + 2028)</v>
      </c>
      <c r="C45" s="869"/>
      <c r="D45" s="870"/>
      <c r="E45" s="871"/>
      <c r="F45" s="785">
        <f>F20+F43</f>
        <v>0</v>
      </c>
      <c r="G45"/>
      <c r="H45" s="608"/>
      <c r="I45" s="670"/>
    </row>
    <row r="46" ht="12.75" customHeight="1">
      <c r="G46"/>
    </row>
    <row r="47" ht="12.75" customHeight="1">
      <c r="G47"/>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password="C281" sheet="1" objects="1" scenarios="1"/>
  <mergeCells count="2">
    <mergeCell ref="D7:E7"/>
    <mergeCell ref="D32:E32"/>
  </mergeCells>
  <conditionalFormatting sqref="C10 F10">
    <cfRule type="expression" priority="1" dxfId="5" stopIfTrue="1">
      <formula>$E$2=TRUE</formula>
    </cfRule>
  </conditionalFormatting>
  <conditionalFormatting sqref="H46">
    <cfRule type="expression" priority="2" dxfId="1" stopIfTrue="1">
      <formula>$F$2=TRUE</formula>
    </cfRule>
  </conditionalFormatting>
  <conditionalFormatting sqref="F19 E18 E14:E16 F21 F23 C28 F40 E41 E11:E12">
    <cfRule type="expression" priority="3" dxfId="2" stopIfTrue="1">
      <formula>$D$2=TRUE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2"/>
  <headerFooter alignWithMargins="0">
    <oddFooter>&amp;C&amp;"Arial,Vet"&amp;8
</oddFooter>
  </headerFooter>
  <drawing r:id="rId1"/>
</worksheet>
</file>

<file path=xl/worksheets/sheet12.xml><?xml version="1.0" encoding="utf-8"?>
<worksheet xmlns="http://schemas.openxmlformats.org/spreadsheetml/2006/main" xmlns:r="http://schemas.openxmlformats.org/officeDocument/2006/relationships">
  <sheetPr codeName="Blad12"/>
  <dimension ref="A1:L41"/>
  <sheetViews>
    <sheetView showGridLines="0" zoomScale="86" zoomScaleNormal="86" workbookViewId="0" topLeftCell="A1">
      <selection activeCell="C7" sqref="C7"/>
    </sheetView>
  </sheetViews>
  <sheetFormatPr defaultColWidth="9.140625" defaultRowHeight="12.75"/>
  <cols>
    <col min="1" max="1" width="5.7109375" style="467" customWidth="1"/>
    <col min="2" max="2" width="25.7109375" style="453" customWidth="1"/>
    <col min="3" max="3" width="43.8515625" style="489" customWidth="1"/>
    <col min="4" max="4" width="16.7109375" style="456" customWidth="1"/>
    <col min="5" max="5" width="16.7109375" style="453" customWidth="1"/>
    <col min="6" max="6" width="12.421875" style="453" customWidth="1"/>
    <col min="7" max="7" width="15.8515625" style="453" customWidth="1"/>
    <col min="8" max="8" width="3.421875" style="453" customWidth="1"/>
    <col min="9" max="9" width="9.00390625" style="471" bestFit="1" customWidth="1"/>
    <col min="10" max="16384" width="9.140625" style="453" customWidth="1"/>
  </cols>
  <sheetData>
    <row r="1" spans="1:12" ht="15.75" customHeight="1">
      <c r="A1" s="41"/>
      <c r="B1" s="42"/>
      <c r="C1" s="42"/>
      <c r="D1" s="43"/>
      <c r="E1" s="42"/>
      <c r="F1" s="42"/>
      <c r="G1" s="45"/>
      <c r="H1" s="455"/>
      <c r="I1" s="456"/>
      <c r="L1" s="451"/>
    </row>
    <row r="2" spans="1:12" s="515" customFormat="1" ht="15.75" customHeight="1">
      <c r="A2" s="622" t="str">
        <f>Inhoud!$A$2</f>
        <v>Nacalculatieformulier 2004 GGZ-instellingen</v>
      </c>
      <c r="B2" s="637"/>
      <c r="C2" s="639"/>
      <c r="D2" s="640" t="b">
        <f>Voorblad!E28</f>
        <v>1</v>
      </c>
      <c r="E2" s="640"/>
      <c r="F2" s="640"/>
      <c r="G2" s="546"/>
      <c r="H2" s="1302">
        <f>Mutaties!I2+1</f>
        <v>21</v>
      </c>
      <c r="L2" s="516"/>
    </row>
    <row r="3" spans="1:12" ht="12">
      <c r="A3" s="41"/>
      <c r="B3" s="42"/>
      <c r="C3" s="42"/>
      <c r="D3" s="43"/>
      <c r="E3" s="42"/>
      <c r="F3" s="42"/>
      <c r="G3" s="45"/>
      <c r="H3" s="455"/>
      <c r="I3" s="456"/>
      <c r="L3" s="451"/>
    </row>
    <row r="4" spans="2:10" ht="12.75" customHeight="1">
      <c r="B4" s="95"/>
      <c r="C4" s="95"/>
      <c r="D4" s="387"/>
      <c r="E4" s="90"/>
      <c r="F4" s="90"/>
      <c r="G4" s="627"/>
      <c r="H4" s="501"/>
      <c r="I4" s="501"/>
      <c r="J4" s="451"/>
    </row>
    <row r="5" spans="1:9" ht="12.75" customHeight="1">
      <c r="A5" s="41"/>
      <c r="B5" s="95"/>
      <c r="C5" s="95"/>
      <c r="D5" s="95"/>
      <c r="E5" s="163"/>
      <c r="F5" s="163"/>
      <c r="G5" s="165"/>
      <c r="H5" s="511"/>
      <c r="I5" s="511"/>
    </row>
    <row r="6" spans="1:9" ht="12.75" customHeight="1">
      <c r="A6" s="14" t="s">
        <v>562</v>
      </c>
      <c r="B6"/>
      <c r="C6"/>
      <c r="D6"/>
      <c r="E6"/>
      <c r="F6"/>
      <c r="G6"/>
      <c r="H6" s="477"/>
      <c r="I6" s="488"/>
    </row>
    <row r="7" spans="1:9" s="496" customFormat="1" ht="12.75" customHeight="1">
      <c r="A7"/>
      <c r="B7"/>
      <c r="C7"/>
      <c r="D7"/>
      <c r="E7"/>
      <c r="F7"/>
      <c r="G7"/>
      <c r="H7" s="477"/>
      <c r="I7" s="488"/>
    </row>
    <row r="8" spans="1:7" ht="12.75" customHeight="1">
      <c r="A8" s="26"/>
      <c r="B8" s="132"/>
      <c r="C8"/>
      <c r="G8"/>
    </row>
    <row r="9" spans="1:7" ht="12.75" customHeight="1">
      <c r="A9" s="677"/>
      <c r="B9" s="1213"/>
      <c r="C9" s="1214"/>
      <c r="D9" s="1163"/>
      <c r="E9" s="480" t="s">
        <v>167</v>
      </c>
      <c r="F9"/>
      <c r="G9"/>
    </row>
    <row r="10" spans="1:7" ht="12.75" customHeight="1">
      <c r="A10" s="780">
        <f>(H2*100)+1</f>
        <v>2101</v>
      </c>
      <c r="B10" s="797" t="str">
        <f>CONCATENATE('A-E'!B6," (regel ",'A-E'!A23," bijlage ",LEFT('A-E'!A6,1),")")</f>
        <v>Boekwaarde investeringen waarvoor vergunning is verleend (regel 2215 bijlage A)</v>
      </c>
      <c r="C10" s="1211"/>
      <c r="D10" s="1212" t="s">
        <v>177</v>
      </c>
      <c r="E10" s="432">
        <f>'A-E'!G23</f>
        <v>0</v>
      </c>
      <c r="F10"/>
      <c r="G10"/>
    </row>
    <row r="11" spans="1:7" ht="12.75" customHeight="1">
      <c r="A11" s="793">
        <f>A10+1</f>
        <v>2102</v>
      </c>
      <c r="B11" s="575" t="str">
        <f>CONCATENATE('A-E'!B50," (regel ",'A-E'!A67," bijlage ",LEFT('A-E'!A50,1),")")</f>
        <v>Onderhanden bouwprojecten  met WZV vergunning (geen investeringen meldingsregeling) (regel 2314 bijlage B)</v>
      </c>
      <c r="C11" s="575"/>
      <c r="D11" s="681"/>
      <c r="E11" s="432">
        <f>'A-E'!G67</f>
        <v>0</v>
      </c>
      <c r="F11"/>
      <c r="G11"/>
    </row>
    <row r="12" spans="1:7" ht="12.75" customHeight="1">
      <c r="A12" s="793">
        <f>A11+1</f>
        <v>2103</v>
      </c>
      <c r="B12" s="575" t="str">
        <f>CONCATENATE('A-E'!B96," (regel ",'A-E'!A116," bijlage ",LEFT('A-E'!A96,1),")")</f>
        <v>Werkelijke boekwaarde instandhoudingsinvesteringen (inclusief onderhanden werk) (regel 2418 bijlage C)</v>
      </c>
      <c r="C12" s="575"/>
      <c r="D12" s="681"/>
      <c r="E12" s="432">
        <f>'A-E'!G116</f>
        <v>0</v>
      </c>
      <c r="F12"/>
      <c r="G12"/>
    </row>
    <row r="13" spans="1:7" ht="12.75" customHeight="1">
      <c r="A13" s="793">
        <f>A12+1</f>
        <v>2104</v>
      </c>
      <c r="B13" s="575" t="str">
        <f>CONCATENATE('A-E'!B74," (regel ",'A-E'!A87," bijlage ",LEFT('A-E'!A74,1),")")</f>
        <v>Normatieve boekwaarde medische en overige inventarissen (regel 2326 bijlage D)</v>
      </c>
      <c r="C13" s="575"/>
      <c r="D13" s="681"/>
      <c r="E13" s="432">
        <f>'A-E'!E87</f>
        <v>0</v>
      </c>
      <c r="F13"/>
      <c r="G13"/>
    </row>
    <row r="14" spans="1:7" ht="12.75" customHeight="1">
      <c r="A14" s="793">
        <f>A13+1</f>
        <v>2105</v>
      </c>
      <c r="B14" s="796" t="str">
        <f>CONCATENATE('A-E'!B131," (regel ",'A-E'!A136," bijlage ",LEFT('A-E'!A131,1),")")</f>
        <v>Normatief werkkapitaal (regel 2425 bijlage E)</v>
      </c>
      <c r="C14" s="668"/>
      <c r="D14" s="863"/>
      <c r="E14" s="853">
        <f>'A-E'!G136</f>
        <v>0</v>
      </c>
      <c r="F14"/>
      <c r="G14"/>
    </row>
    <row r="15" spans="1:7" ht="12.75" customHeight="1">
      <c r="A15" s="793">
        <f>A14+1</f>
        <v>2106</v>
      </c>
      <c r="B15" s="861" t="str">
        <f>CONCATENATE("Totaal in aanmerking te nemen activa (regel ",A10," t/m ",A14,")")</f>
        <v>Totaal in aanmerking te nemen activa (regel 2101 t/m 2105)</v>
      </c>
      <c r="C15" s="875"/>
      <c r="D15" s="852"/>
      <c r="E15" s="854">
        <f>SUM(E10:E14)</f>
        <v>0</v>
      </c>
      <c r="F15"/>
      <c r="G15"/>
    </row>
    <row r="16" spans="1:7" ht="12.75" customHeight="1">
      <c r="A16" s="703"/>
      <c r="B16" s="662"/>
      <c r="C16" s="706"/>
      <c r="D16" s="706"/>
      <c r="E16" s="483"/>
      <c r="F16"/>
      <c r="G16"/>
    </row>
    <row r="17" spans="1:7" ht="12.75" customHeight="1">
      <c r="A17" s="793">
        <f>A15+1</f>
        <v>2107</v>
      </c>
      <c r="B17" s="575" t="str">
        <f>CONCATENATE(F!B4," (regel ",F!A37," bijlage ",LEFT(F!A4,1),")")</f>
        <v>Langlopende leningen (incl. langlopende leasecontracten) (regel 2531 bijlage F)</v>
      </c>
      <c r="C17" s="967"/>
      <c r="D17" s="705" t="s">
        <v>178</v>
      </c>
      <c r="E17" s="432">
        <f>F!R37</f>
        <v>0</v>
      </c>
      <c r="F17"/>
      <c r="G17"/>
    </row>
    <row r="18" spans="1:7" ht="12.75" customHeight="1">
      <c r="A18" s="793">
        <f>A17+1</f>
        <v>2108</v>
      </c>
      <c r="B18" s="1025" t="str">
        <f>CONCATENATE('G-H'!B5," (regel ",'G-H'!A25," bijlage ",LEFT('G-H'!A5,1),")")</f>
        <v>Eigen vermogen (regel 2719 bijlage G)</v>
      </c>
      <c r="C18" s="796"/>
      <c r="D18" s="850"/>
      <c r="E18" s="853">
        <f>'G-H'!E25</f>
        <v>0</v>
      </c>
      <c r="F18"/>
      <c r="G18"/>
    </row>
    <row r="19" spans="1:7" ht="12.75" customHeight="1">
      <c r="A19" s="793">
        <f>A18+1</f>
        <v>2109</v>
      </c>
      <c r="B19" s="851" t="str">
        <f>CONCATENATE("Totaal in aanmerking te nemen passiva (regel ",A17," + ",A18,")")</f>
        <v>Totaal in aanmerking te nemen passiva (regel 2107 + 2108)</v>
      </c>
      <c r="C19" s="865"/>
      <c r="D19" s="852"/>
      <c r="E19" s="862">
        <f>E17+E18</f>
        <v>0</v>
      </c>
      <c r="F19"/>
      <c r="G19"/>
    </row>
    <row r="20" spans="1:7" ht="12.75" customHeight="1">
      <c r="A20" s="662"/>
      <c r="B20" s="662"/>
      <c r="C20" s="706"/>
      <c r="D20" s="706"/>
      <c r="E20" s="483"/>
      <c r="F20"/>
      <c r="G20"/>
    </row>
    <row r="21" spans="1:7" ht="12.75" customHeight="1">
      <c r="A21" s="793">
        <f>A19+1</f>
        <v>2110</v>
      </c>
      <c r="B21" s="795" t="str">
        <f>CONCATENATE("Verschil tussen activa en passiva (regel ",A15," -/- ",A19,")")</f>
        <v>Verschil tussen activa en passiva (regel 2106 -/- 2109)</v>
      </c>
      <c r="C21" s="865"/>
      <c r="D21" s="852"/>
      <c r="E21" s="854">
        <f>E15-E19</f>
        <v>0</v>
      </c>
      <c r="F21"/>
      <c r="G21"/>
    </row>
    <row r="22" spans="1:7" ht="12.75" customHeight="1">
      <c r="A22" s="793">
        <f>A21+1</f>
        <v>2111</v>
      </c>
      <c r="B22" s="712" t="s">
        <v>536</v>
      </c>
      <c r="C22" s="864"/>
      <c r="D22" s="864"/>
      <c r="E22" s="929">
        <f>80%*(E10+SUM(E12:E14)-E18)</f>
        <v>0</v>
      </c>
      <c r="F22"/>
      <c r="G22"/>
    </row>
    <row r="23" spans="1:7" ht="12.75" customHeight="1">
      <c r="A23" s="793">
        <f>A22+1</f>
        <v>2112</v>
      </c>
      <c r="B23" s="794" t="s">
        <v>444</v>
      </c>
      <c r="C23" s="865"/>
      <c r="D23" s="852"/>
      <c r="E23" s="1330">
        <f>IF(E22&gt;E17,E22-E17,0)</f>
        <v>0</v>
      </c>
      <c r="F23"/>
      <c r="G23"/>
    </row>
    <row r="24" spans="1:7" ht="12.75">
      <c r="A24" s="608"/>
      <c r="B24" s="608"/>
      <c r="C24" s="662"/>
      <c r="D24" s="608"/>
      <c r="F24"/>
      <c r="G24"/>
    </row>
    <row r="25" spans="1:6" ht="12.75">
      <c r="A25" s="793">
        <f>A23+1</f>
        <v>2113</v>
      </c>
      <c r="B25" s="575" t="str">
        <f>CONCATENATE('G-H'!B28," (regel ",'G-H'!A34," bijlage ",LEFT('G-H'!A28,1),")")</f>
        <v>Rentekosten langlopende leningen (regel 2724 bijlage H)</v>
      </c>
      <c r="C25" s="967"/>
      <c r="D25" s="705" t="s">
        <v>161</v>
      </c>
      <c r="E25" s="432">
        <f>'G-H'!E34</f>
        <v>0</v>
      </c>
      <c r="F25"/>
    </row>
    <row r="26" spans="1:6" ht="12.75">
      <c r="A26" s="793">
        <f>A25+1</f>
        <v>2114</v>
      </c>
      <c r="B26" s="575" t="str">
        <f>CONCATENATE("Normrente over verschil activa en passiva (",IF(E37=0,"---",E37*100),"% van regel ",A21,")")</f>
        <v>Normrente over verschil activa en passiva (2,83% van regel 2110)</v>
      </c>
      <c r="C26" s="575"/>
      <c r="D26" s="681"/>
      <c r="E26" s="432">
        <f>ROUND(E37*E21,0)</f>
        <v>0</v>
      </c>
      <c r="F26"/>
    </row>
    <row r="27" spans="1:6" ht="12.75">
      <c r="A27" s="793">
        <f>A26+1</f>
        <v>2115</v>
      </c>
      <c r="B27" s="796" t="str">
        <f>CONCATENATE("Rentekorting 1,5% over regel ",A23,)</f>
        <v>Rentekorting 1,5% over regel 2112</v>
      </c>
      <c r="C27" s="796"/>
      <c r="D27" s="850"/>
      <c r="E27" s="853">
        <f>ROUND(-0.015*E23,0)</f>
        <v>0</v>
      </c>
      <c r="F27"/>
    </row>
    <row r="28" spans="1:6" ht="12.75">
      <c r="A28" s="793">
        <f>A27+1</f>
        <v>2116</v>
      </c>
      <c r="B28" s="1025" t="str">
        <f>CONCATENATE("Inflatievergoeding over eigen vermogen ",E38*100,"% over regel ",'G-H'!A25," bijlage ",LEFT('G-H'!A5,1)," (exclusief instandhoudingsreserve)")</f>
        <v>Inflatievergoeding over eigen vermogen 0,78% over regel 2719 bijlage G (exclusief instandhoudingsreserve)</v>
      </c>
      <c r="C28" s="796"/>
      <c r="D28" s="850"/>
      <c r="E28" s="1079">
        <f>ROUND(IF(('G-H'!E25-'G-H'!E10)&gt;0,E38*('G-H'!E25-'G-H'!E10),0),0)</f>
        <v>0</v>
      </c>
      <c r="F28"/>
    </row>
    <row r="29" spans="1:6" ht="12.75">
      <c r="A29" s="793">
        <f>A28+1</f>
        <v>2117</v>
      </c>
      <c r="B29" s="851" t="str">
        <f>CONCATENATE("Totaal aanvaardbare rentekosten (regel ",A25," tot en met ",A28,")")</f>
        <v>Totaal aanvaardbare rentekosten (regel 2113 tot en met 2116)</v>
      </c>
      <c r="C29" s="865"/>
      <c r="D29" s="852"/>
      <c r="E29" s="854">
        <f>SUM(E25:E28)</f>
        <v>0</v>
      </c>
      <c r="F29"/>
    </row>
    <row r="30" ht="12.75">
      <c r="F30"/>
    </row>
    <row r="31" spans="1:6" ht="12.75">
      <c r="A31" s="793">
        <f>A29+1</f>
        <v>2118</v>
      </c>
      <c r="B31" s="851" t="s">
        <v>886</v>
      </c>
      <c r="C31" s="865"/>
      <c r="D31" s="852"/>
      <c r="E31" s="1285" t="s">
        <v>507</v>
      </c>
      <c r="F31"/>
    </row>
    <row r="32" ht="12.75">
      <c r="F32"/>
    </row>
    <row r="33" spans="1:6" ht="12.75">
      <c r="A33" s="793">
        <f>A31+1</f>
        <v>2119</v>
      </c>
      <c r="B33" s="983" t="s">
        <v>930</v>
      </c>
      <c r="C33" s="865"/>
      <c r="D33" s="852"/>
      <c r="E33" s="854">
        <f>IF(E31="ja",0,E29)</f>
        <v>0</v>
      </c>
      <c r="F33"/>
    </row>
    <row r="35" ht="12">
      <c r="B35" s="471" t="s">
        <v>864</v>
      </c>
    </row>
    <row r="36" spans="2:5" ht="12">
      <c r="B36" s="1319"/>
      <c r="C36" s="1320"/>
      <c r="D36" s="1163"/>
      <c r="E36" s="1321" t="s">
        <v>66</v>
      </c>
    </row>
    <row r="37" spans="1:5" ht="13.5">
      <c r="A37" s="793">
        <f>A33+1</f>
        <v>2120</v>
      </c>
      <c r="B37" s="1312" t="s">
        <v>862</v>
      </c>
      <c r="C37" s="1313"/>
      <c r="D37" s="1314"/>
      <c r="E37" s="1322">
        <v>0.0283</v>
      </c>
    </row>
    <row r="38" spans="1:5" ht="13.5">
      <c r="A38" s="793">
        <f>A37+1</f>
        <v>2121</v>
      </c>
      <c r="B38" s="1309" t="s">
        <v>863</v>
      </c>
      <c r="C38" s="1310"/>
      <c r="D38" s="1311"/>
      <c r="E38" s="1322">
        <v>0.0078</v>
      </c>
    </row>
    <row r="39" spans="2:5" ht="13.5">
      <c r="B39" s="1315" t="s">
        <v>548</v>
      </c>
      <c r="C39" s="1316"/>
      <c r="D39" s="1256"/>
      <c r="E39" s="1317"/>
    </row>
    <row r="40" ht="12">
      <c r="B40" s="451" t="s">
        <v>549</v>
      </c>
    </row>
    <row r="41" ht="13.5">
      <c r="B41" s="1318" t="s">
        <v>865</v>
      </c>
    </row>
  </sheetData>
  <sheetProtection password="C281" sheet="1" objects="1" scenarios="1"/>
  <conditionalFormatting sqref="E31">
    <cfRule type="expression" priority="1" dxfId="2" stopIfTrue="1">
      <formula>$D$2=TRUE</formula>
    </cfRule>
  </conditionalFormatting>
  <conditionalFormatting sqref="H9:H13">
    <cfRule type="expression" priority="2" dxfId="1" stopIfTrue="1">
      <formula>$H$2=TRUE</formula>
    </cfRule>
  </conditionalFormatting>
  <dataValidations count="1">
    <dataValidation type="list" allowBlank="1" showInputMessage="1" showErrorMessage="1" sqref="E31">
      <formula1>"ja,nee,"</formula1>
    </dataValidation>
  </dataValidations>
  <printOptions/>
  <pageMargins left="0.3937007874015748" right="0.3937007874015748" top="0.3937007874015748" bottom="0.3937007874015748" header="0.5118110236220472" footer="0.5118110236220472"/>
  <pageSetup horizontalDpi="300" verticalDpi="300" orientation="landscape" paperSize="9" scale="95" r:id="rId2"/>
  <headerFooter alignWithMargins="0">
    <oddFooter>&amp;C&amp;"Arial,Vet"&amp;8
</oddFooter>
  </headerFooter>
  <drawing r:id="rId1"/>
</worksheet>
</file>

<file path=xl/worksheets/sheet13.xml><?xml version="1.0" encoding="utf-8"?>
<worksheet xmlns="http://schemas.openxmlformats.org/spreadsheetml/2006/main" xmlns:r="http://schemas.openxmlformats.org/officeDocument/2006/relationships">
  <sheetPr codeName="Blad13"/>
  <dimension ref="A1:J166"/>
  <sheetViews>
    <sheetView showGridLines="0" zoomScale="86" zoomScaleNormal="86" workbookViewId="0" topLeftCell="A1">
      <selection activeCell="C9" sqref="C9"/>
    </sheetView>
  </sheetViews>
  <sheetFormatPr defaultColWidth="9.140625" defaultRowHeight="12.75"/>
  <cols>
    <col min="1" max="1" width="5.7109375" style="467" customWidth="1"/>
    <col min="2" max="2" width="46.7109375" style="453" customWidth="1"/>
    <col min="3" max="6" width="17.7109375" style="456" customWidth="1"/>
    <col min="7" max="7" width="17.7109375" style="453" customWidth="1"/>
    <col min="8" max="8" width="13.00390625" style="453" customWidth="1"/>
    <col min="9" max="9" width="10.7109375" style="453" customWidth="1"/>
    <col min="10" max="10" width="10.7109375" style="451" customWidth="1"/>
    <col min="11" max="15" width="10.7109375" style="453" customWidth="1"/>
    <col min="16" max="23" width="9.140625" style="453" customWidth="1"/>
    <col min="24" max="24" width="1.7109375" style="453" customWidth="1"/>
    <col min="25" max="16384" width="9.140625" style="453" customWidth="1"/>
  </cols>
  <sheetData>
    <row r="1" spans="1:7" ht="15.75" customHeight="1">
      <c r="A1" s="677"/>
      <c r="B1" s="608"/>
      <c r="C1" s="42"/>
      <c r="D1" s="42"/>
      <c r="E1" s="42"/>
      <c r="F1" s="42"/>
      <c r="G1" s="608"/>
    </row>
    <row r="2" spans="1:10" s="515" customFormat="1" ht="15.75" customHeight="1">
      <c r="A2" s="622" t="str">
        <f>CONCATENATE("Bijlage ",LEFT(A6,1)," bij het nacalculatieformulier ",Voorblad!$E$3," ",Voorblad!$A$5)</f>
        <v>Bijlage A bij het nacalculatieformulier 2004 GGZ-instellingen</v>
      </c>
      <c r="B2" s="637"/>
      <c r="C2" s="639"/>
      <c r="D2" s="639"/>
      <c r="E2" s="640" t="b">
        <f>Voorblad!E28</f>
        <v>1</v>
      </c>
      <c r="F2" s="640"/>
      <c r="G2" s="1302">
        <f>'Rentecalc.'!H2+1</f>
        <v>22</v>
      </c>
      <c r="J2" s="516"/>
    </row>
    <row r="3" spans="1:7" ht="12.75" customHeight="1">
      <c r="A3" s="677"/>
      <c r="B3" s="608"/>
      <c r="C3" s="42"/>
      <c r="D3" s="42"/>
      <c r="E3" s="42"/>
      <c r="F3" s="42"/>
      <c r="G3" s="608"/>
    </row>
    <row r="4" spans="1:7" ht="12.75" customHeight="1">
      <c r="A4" s="14" t="s">
        <v>563</v>
      </c>
      <c r="B4" s="608"/>
      <c r="C4" s="42"/>
      <c r="D4" s="42"/>
      <c r="E4" s="42"/>
      <c r="F4" s="42"/>
      <c r="G4" s="608"/>
    </row>
    <row r="5" spans="1:7" ht="12.75" customHeight="1">
      <c r="A5" s="677"/>
      <c r="B5" s="608"/>
      <c r="C5" s="42"/>
      <c r="D5" s="42"/>
      <c r="E5" s="42"/>
      <c r="F5" s="42"/>
      <c r="G5" s="608"/>
    </row>
    <row r="6" spans="1:2" s="515" customFormat="1" ht="12.75" customHeight="1">
      <c r="A6" s="14" t="s">
        <v>194</v>
      </c>
      <c r="B6" s="682" t="s">
        <v>214</v>
      </c>
    </row>
    <row r="7" spans="1:7" s="515" customFormat="1" ht="12" customHeight="1">
      <c r="A7" s="632"/>
      <c r="B7" s="1192"/>
      <c r="C7" s="653" t="s">
        <v>187</v>
      </c>
      <c r="D7" s="1329" t="s">
        <v>718</v>
      </c>
      <c r="E7" s="730" t="s">
        <v>116</v>
      </c>
      <c r="F7" s="1638" t="s">
        <v>76</v>
      </c>
      <c r="G7" s="1675"/>
    </row>
    <row r="8" spans="1:7" s="451" customFormat="1" ht="12" customHeight="1">
      <c r="A8" s="718"/>
      <c r="B8" s="1193"/>
      <c r="C8" s="676"/>
      <c r="D8" s="676"/>
      <c r="E8" s="676"/>
      <c r="F8" s="719" t="s">
        <v>108</v>
      </c>
      <c r="G8" s="1117" t="s">
        <v>103</v>
      </c>
    </row>
    <row r="9" spans="1:10" ht="12" customHeight="1">
      <c r="A9" s="780">
        <f>(100*G2)+1</f>
        <v>2201</v>
      </c>
      <c r="B9" s="1191" t="str">
        <f>CONCATENATE("Stand per 31-12-",Voorblad!E3-1)</f>
        <v>Stand per 31-12-2003</v>
      </c>
      <c r="C9" s="502"/>
      <c r="D9" s="505">
        <v>0</v>
      </c>
      <c r="E9" s="504">
        <f>C9-D9</f>
        <v>0</v>
      </c>
      <c r="F9" s="972">
        <v>1</v>
      </c>
      <c r="G9" s="486">
        <f>E9*F9</f>
        <v>0</v>
      </c>
      <c r="J9" s="453"/>
    </row>
    <row r="10" spans="1:10" ht="12" customHeight="1">
      <c r="A10" s="780">
        <f aca="true" t="shared" si="0" ref="A10:A25">A9+1</f>
        <v>2202</v>
      </c>
      <c r="B10" s="680" t="str">
        <f>CONCATENATE("Geheel afgeschreven in ",Voorblad!E3-1)</f>
        <v>Geheel afgeschreven in 2003</v>
      </c>
      <c r="C10" s="503">
        <v>0</v>
      </c>
      <c r="D10" s="502"/>
      <c r="E10" s="504">
        <f>C10-D10</f>
        <v>0</v>
      </c>
      <c r="F10" s="968"/>
      <c r="G10" s="486"/>
      <c r="J10" s="453"/>
    </row>
    <row r="11" spans="1:10" ht="12" customHeight="1">
      <c r="A11" s="780">
        <f t="shared" si="0"/>
        <v>2203</v>
      </c>
      <c r="B11" s="680" t="s">
        <v>902</v>
      </c>
      <c r="C11" s="502"/>
      <c r="D11" s="505">
        <v>0</v>
      </c>
      <c r="E11" s="504">
        <f aca="true" t="shared" si="1" ref="E11:E22">C11-D11</f>
        <v>0</v>
      </c>
      <c r="F11" s="972">
        <v>0.9583</v>
      </c>
      <c r="G11" s="486">
        <f aca="true" t="shared" si="2" ref="G11:G22">E11*F11</f>
        <v>0</v>
      </c>
      <c r="J11" s="453"/>
    </row>
    <row r="12" spans="1:10" ht="12" customHeight="1">
      <c r="A12" s="780">
        <f t="shared" si="0"/>
        <v>2204</v>
      </c>
      <c r="B12" s="680" t="s">
        <v>903</v>
      </c>
      <c r="C12" s="502"/>
      <c r="D12" s="505">
        <v>0</v>
      </c>
      <c r="E12" s="504">
        <f t="shared" si="1"/>
        <v>0</v>
      </c>
      <c r="F12" s="972">
        <v>0.875</v>
      </c>
      <c r="G12" s="486">
        <f t="shared" si="2"/>
        <v>0</v>
      </c>
      <c r="J12" s="453"/>
    </row>
    <row r="13" spans="1:10" ht="12" customHeight="1">
      <c r="A13" s="780">
        <f t="shared" si="0"/>
        <v>2205</v>
      </c>
      <c r="B13" s="680" t="s">
        <v>904</v>
      </c>
      <c r="C13" s="502"/>
      <c r="D13" s="505">
        <v>0</v>
      </c>
      <c r="E13" s="504">
        <f t="shared" si="1"/>
        <v>0</v>
      </c>
      <c r="F13" s="972">
        <v>0.7917</v>
      </c>
      <c r="G13" s="486">
        <f t="shared" si="2"/>
        <v>0</v>
      </c>
      <c r="J13" s="453"/>
    </row>
    <row r="14" spans="1:10" ht="12" customHeight="1">
      <c r="A14" s="780">
        <f t="shared" si="0"/>
        <v>2206</v>
      </c>
      <c r="B14" s="680" t="s">
        <v>905</v>
      </c>
      <c r="C14" s="502"/>
      <c r="D14" s="505">
        <v>0</v>
      </c>
      <c r="E14" s="504">
        <f t="shared" si="1"/>
        <v>0</v>
      </c>
      <c r="F14" s="972">
        <v>0.7083</v>
      </c>
      <c r="G14" s="486">
        <f t="shared" si="2"/>
        <v>0</v>
      </c>
      <c r="J14" s="453"/>
    </row>
    <row r="15" spans="1:10" ht="12" customHeight="1">
      <c r="A15" s="780">
        <f t="shared" si="0"/>
        <v>2207</v>
      </c>
      <c r="B15" s="680" t="s">
        <v>906</v>
      </c>
      <c r="C15" s="502"/>
      <c r="D15" s="505">
        <v>0</v>
      </c>
      <c r="E15" s="504">
        <f t="shared" si="1"/>
        <v>0</v>
      </c>
      <c r="F15" s="972">
        <v>0.625</v>
      </c>
      <c r="G15" s="486">
        <f t="shared" si="2"/>
        <v>0</v>
      </c>
      <c r="J15" s="453"/>
    </row>
    <row r="16" spans="1:10" ht="12" customHeight="1">
      <c r="A16" s="780">
        <f t="shared" si="0"/>
        <v>2208</v>
      </c>
      <c r="B16" s="680" t="s">
        <v>907</v>
      </c>
      <c r="C16" s="502"/>
      <c r="D16" s="505">
        <v>0</v>
      </c>
      <c r="E16" s="504">
        <f t="shared" si="1"/>
        <v>0</v>
      </c>
      <c r="F16" s="972">
        <v>0.5417</v>
      </c>
      <c r="G16" s="486">
        <f t="shared" si="2"/>
        <v>0</v>
      </c>
      <c r="J16" s="453"/>
    </row>
    <row r="17" spans="1:10" ht="12" customHeight="1">
      <c r="A17" s="780">
        <f t="shared" si="0"/>
        <v>2209</v>
      </c>
      <c r="B17" s="680" t="s">
        <v>908</v>
      </c>
      <c r="C17" s="502"/>
      <c r="D17" s="505">
        <v>0</v>
      </c>
      <c r="E17" s="504">
        <f t="shared" si="1"/>
        <v>0</v>
      </c>
      <c r="F17" s="972">
        <v>0.4583</v>
      </c>
      <c r="G17" s="486">
        <f t="shared" si="2"/>
        <v>0</v>
      </c>
      <c r="J17" s="453"/>
    </row>
    <row r="18" spans="1:10" ht="12" customHeight="1">
      <c r="A18" s="780">
        <f t="shared" si="0"/>
        <v>2210</v>
      </c>
      <c r="B18" s="680" t="s">
        <v>909</v>
      </c>
      <c r="C18" s="502"/>
      <c r="D18" s="505">
        <v>0</v>
      </c>
      <c r="E18" s="504">
        <f t="shared" si="1"/>
        <v>0</v>
      </c>
      <c r="F18" s="972">
        <v>0.375</v>
      </c>
      <c r="G18" s="486">
        <f t="shared" si="2"/>
        <v>0</v>
      </c>
      <c r="J18" s="453"/>
    </row>
    <row r="19" spans="1:10" ht="12" customHeight="1">
      <c r="A19" s="780">
        <f t="shared" si="0"/>
        <v>2211</v>
      </c>
      <c r="B19" s="680" t="s">
        <v>910</v>
      </c>
      <c r="C19" s="502"/>
      <c r="D19" s="505">
        <v>0</v>
      </c>
      <c r="E19" s="504">
        <f t="shared" si="1"/>
        <v>0</v>
      </c>
      <c r="F19" s="972">
        <v>0.2917</v>
      </c>
      <c r="G19" s="486">
        <f t="shared" si="2"/>
        <v>0</v>
      </c>
      <c r="J19" s="453"/>
    </row>
    <row r="20" spans="1:10" ht="12" customHeight="1">
      <c r="A20" s="780">
        <f t="shared" si="0"/>
        <v>2212</v>
      </c>
      <c r="B20" s="680" t="s">
        <v>911</v>
      </c>
      <c r="C20" s="502"/>
      <c r="D20" s="505">
        <v>0</v>
      </c>
      <c r="E20" s="504">
        <f t="shared" si="1"/>
        <v>0</v>
      </c>
      <c r="F20" s="972">
        <v>0.2083</v>
      </c>
      <c r="G20" s="486">
        <f t="shared" si="2"/>
        <v>0</v>
      </c>
      <c r="J20" s="453"/>
    </row>
    <row r="21" spans="1:10" ht="12" customHeight="1">
      <c r="A21" s="780">
        <f t="shared" si="0"/>
        <v>2213</v>
      </c>
      <c r="B21" s="680" t="s">
        <v>912</v>
      </c>
      <c r="C21" s="502"/>
      <c r="D21" s="505">
        <v>0</v>
      </c>
      <c r="E21" s="504">
        <f t="shared" si="1"/>
        <v>0</v>
      </c>
      <c r="F21" s="972">
        <v>0.125</v>
      </c>
      <c r="G21" s="486">
        <f t="shared" si="2"/>
        <v>0</v>
      </c>
      <c r="J21" s="453"/>
    </row>
    <row r="22" spans="1:10" ht="12" customHeight="1">
      <c r="A22" s="780">
        <f t="shared" si="0"/>
        <v>2214</v>
      </c>
      <c r="B22" s="721" t="s">
        <v>913</v>
      </c>
      <c r="C22" s="800"/>
      <c r="D22" s="973">
        <v>0</v>
      </c>
      <c r="E22" s="974">
        <f t="shared" si="1"/>
        <v>0</v>
      </c>
      <c r="F22" s="975">
        <v>0.0417</v>
      </c>
      <c r="G22" s="843">
        <f t="shared" si="2"/>
        <v>0</v>
      </c>
      <c r="J22" s="453"/>
    </row>
    <row r="23" spans="1:7" ht="12" customHeight="1">
      <c r="A23" s="780">
        <f t="shared" si="0"/>
        <v>2215</v>
      </c>
      <c r="B23" s="835" t="str">
        <f>CONCATENATE("Stand per 31-12-",Voorblad!$E$3," (",A9," t/m ",A22,")")</f>
        <v>Stand per 31-12-2004 (2201 t/m 2214)</v>
      </c>
      <c r="C23" s="845">
        <f>C9-C10+SUM(C11:C22)</f>
        <v>0</v>
      </c>
      <c r="D23" s="930">
        <f>D9-D10+SUM(D11:D22)</f>
        <v>0</v>
      </c>
      <c r="E23" s="873">
        <f>SUM(E9:E22)</f>
        <v>0</v>
      </c>
      <c r="F23" s="874"/>
      <c r="G23" s="785">
        <f>SUM(G9:G22)</f>
        <v>0</v>
      </c>
    </row>
    <row r="24" spans="1:9" s="471" customFormat="1" ht="12" customHeight="1">
      <c r="A24" s="780">
        <f t="shared" si="0"/>
        <v>2216</v>
      </c>
      <c r="B24" s="881" t="str">
        <f>CONCATENATE("Overzicht afschrijvingen (regel ",Afschrijvingen!A22,")")</f>
        <v>Overzicht afschrijvingen (regel 1313)</v>
      </c>
      <c r="C24" s="882">
        <f>Afschrijvingen!J22</f>
        <v>0</v>
      </c>
      <c r="D24"/>
      <c r="E24" s="882">
        <f>Afschrijvingen!K22</f>
        <v>0</v>
      </c>
      <c r="I24" s="478"/>
    </row>
    <row r="25" spans="1:5" ht="12" customHeight="1">
      <c r="A25" s="780">
        <f t="shared" si="0"/>
        <v>2217</v>
      </c>
      <c r="B25" s="835" t="s">
        <v>417</v>
      </c>
      <c r="C25" s="883">
        <f>C23-C24</f>
        <v>0</v>
      </c>
      <c r="D25"/>
      <c r="E25" s="884">
        <f>E23-E24</f>
        <v>0</v>
      </c>
    </row>
    <row r="26" spans="1:7" ht="12">
      <c r="A26" s="608" t="str">
        <f>CONCATENATE("* Afschrijvingen  ",Voorblad!E3," exclusief niet-nacalculeerbare afschrijvingen ")</f>
        <v>* Afschrijvingen  2004 exclusief niet-nacalculeerbare afschrijvingen </v>
      </c>
      <c r="F26" s="579"/>
      <c r="G26" s="748"/>
    </row>
    <row r="27" spans="1:7" ht="12">
      <c r="A27" s="608"/>
      <c r="F27" s="579"/>
      <c r="G27" s="748"/>
    </row>
    <row r="28" spans="1:7" ht="12">
      <c r="A28" s="670" t="s">
        <v>50</v>
      </c>
      <c r="F28" s="579"/>
      <c r="G28" s="748"/>
    </row>
    <row r="29" spans="1:8" ht="12">
      <c r="A29" s="748"/>
      <c r="B29" s="748"/>
      <c r="C29" s="579"/>
      <c r="D29" s="579"/>
      <c r="E29" s="579"/>
      <c r="F29" s="579"/>
      <c r="G29" s="748"/>
      <c r="H29" s="748"/>
    </row>
    <row r="30" spans="1:8" ht="12">
      <c r="A30" s="748"/>
      <c r="B30" s="748"/>
      <c r="C30" s="579"/>
      <c r="D30" s="579"/>
      <c r="E30" s="579"/>
      <c r="F30" s="579"/>
      <c r="G30" s="748"/>
      <c r="H30" s="748"/>
    </row>
    <row r="31" spans="1:8" ht="12">
      <c r="A31" s="748"/>
      <c r="B31" s="748"/>
      <c r="C31" s="579"/>
      <c r="D31" s="579"/>
      <c r="E31" s="579"/>
      <c r="F31" s="579"/>
      <c r="G31" s="748"/>
      <c r="H31" s="748"/>
    </row>
    <row r="32" spans="1:8" ht="12">
      <c r="A32" s="748"/>
      <c r="B32" s="748"/>
      <c r="C32" s="579"/>
      <c r="D32" s="579"/>
      <c r="E32" s="579"/>
      <c r="F32" s="579"/>
      <c r="G32" s="748"/>
      <c r="H32" s="748"/>
    </row>
    <row r="33" spans="1:8" ht="12">
      <c r="A33" s="748"/>
      <c r="B33" s="748"/>
      <c r="C33" s="579"/>
      <c r="D33" s="579"/>
      <c r="E33" s="579"/>
      <c r="F33" s="579"/>
      <c r="G33" s="748"/>
      <c r="H33" s="748"/>
    </row>
    <row r="34" spans="1:8" ht="12">
      <c r="A34" s="748"/>
      <c r="B34" s="748"/>
      <c r="C34" s="579"/>
      <c r="D34" s="579"/>
      <c r="E34" s="579"/>
      <c r="F34" s="579"/>
      <c r="G34" s="748"/>
      <c r="H34" s="748"/>
    </row>
    <row r="35" spans="1:8" ht="12">
      <c r="A35" s="748"/>
      <c r="B35" s="748"/>
      <c r="C35" s="579"/>
      <c r="D35" s="579"/>
      <c r="E35" s="579"/>
      <c r="F35" s="579"/>
      <c r="G35" s="748"/>
      <c r="H35" s="748"/>
    </row>
    <row r="36" spans="1:8" ht="12">
      <c r="A36" s="748"/>
      <c r="B36" s="748"/>
      <c r="C36" s="579"/>
      <c r="D36" s="579"/>
      <c r="E36" s="579"/>
      <c r="F36" s="579"/>
      <c r="G36" s="748"/>
      <c r="H36" s="748"/>
    </row>
    <row r="37" spans="1:8" ht="12">
      <c r="A37" s="748"/>
      <c r="B37" s="748"/>
      <c r="C37" s="579"/>
      <c r="D37" s="579"/>
      <c r="E37" s="579"/>
      <c r="F37" s="579"/>
      <c r="G37" s="748"/>
      <c r="H37" s="748"/>
    </row>
    <row r="38" spans="1:8" ht="12">
      <c r="A38" s="748"/>
      <c r="B38" s="748"/>
      <c r="C38" s="579"/>
      <c r="D38" s="579"/>
      <c r="E38" s="579"/>
      <c r="F38" s="579"/>
      <c r="G38" s="748"/>
      <c r="H38" s="748"/>
    </row>
    <row r="39" spans="1:8" ht="12">
      <c r="A39" s="748"/>
      <c r="B39" s="748"/>
      <c r="C39" s="579"/>
      <c r="D39" s="579"/>
      <c r="E39" s="579"/>
      <c r="F39" s="579"/>
      <c r="G39" s="748"/>
      <c r="H39" s="748"/>
    </row>
    <row r="40" spans="1:8" ht="12">
      <c r="A40" s="748"/>
      <c r="B40" s="748"/>
      <c r="C40" s="579"/>
      <c r="D40" s="579"/>
      <c r="E40" s="579"/>
      <c r="F40" s="579"/>
      <c r="G40" s="748"/>
      <c r="H40" s="748"/>
    </row>
    <row r="41" spans="1:8" ht="12">
      <c r="A41" s="748"/>
      <c r="B41" s="748"/>
      <c r="C41" s="579"/>
      <c r="D41" s="579"/>
      <c r="E41" s="579"/>
      <c r="F41" s="579"/>
      <c r="G41" s="748"/>
      <c r="H41" s="748"/>
    </row>
    <row r="42" spans="1:8" ht="12">
      <c r="A42" s="748"/>
      <c r="B42" s="748"/>
      <c r="C42" s="579"/>
      <c r="D42" s="579"/>
      <c r="E42" s="579"/>
      <c r="F42" s="579"/>
      <c r="G42" s="748"/>
      <c r="H42" s="748"/>
    </row>
    <row r="43" spans="1:8" ht="12">
      <c r="A43" s="748"/>
      <c r="B43" s="748"/>
      <c r="C43" s="579"/>
      <c r="D43" s="579"/>
      <c r="E43" s="579"/>
      <c r="F43" s="579"/>
      <c r="G43" s="748"/>
      <c r="H43" s="748"/>
    </row>
    <row r="44" spans="1:8" ht="12">
      <c r="A44" s="748"/>
      <c r="B44" s="748"/>
      <c r="C44" s="579"/>
      <c r="D44" s="579"/>
      <c r="E44" s="579"/>
      <c r="F44" s="579"/>
      <c r="G44" s="748"/>
      <c r="H44" s="748"/>
    </row>
    <row r="45" spans="1:8" ht="12">
      <c r="A45" s="748"/>
      <c r="B45" s="748"/>
      <c r="C45" s="579"/>
      <c r="D45" s="579"/>
      <c r="E45" s="579"/>
      <c r="F45" s="579"/>
      <c r="G45" s="748"/>
      <c r="H45" s="748"/>
    </row>
    <row r="46" spans="1:7" ht="12">
      <c r="A46" s="608"/>
      <c r="F46" s="579"/>
      <c r="G46" s="748"/>
    </row>
    <row r="47" spans="1:7" ht="15.75" customHeight="1">
      <c r="A47" s="677"/>
      <c r="B47" s="608"/>
      <c r="C47" s="42"/>
      <c r="D47" s="42"/>
      <c r="E47" s="42"/>
      <c r="F47" s="42"/>
      <c r="G47" s="608"/>
    </row>
    <row r="48" spans="1:7" ht="15.75" customHeight="1">
      <c r="A48" s="622" t="str">
        <f>CONCATENATE("Bijlage ",LEFT(A53,1)," en ",LEFT(A74,1)," bij het nacalculatieformulier ",Voorblad!$E$3," ",Voorblad!$A$5)</f>
        <v>Bijlage  en D bij het nacalculatieformulier 2004 GGZ-instellingen</v>
      </c>
      <c r="B48" s="637"/>
      <c r="C48" s="639"/>
      <c r="D48" s="639"/>
      <c r="E48" s="640">
        <f>Voorblad!E82</f>
        <v>0</v>
      </c>
      <c r="F48" s="640"/>
      <c r="G48" s="1302">
        <f>G2+1</f>
        <v>23</v>
      </c>
    </row>
    <row r="49" spans="1:7" ht="12">
      <c r="A49" s="608"/>
      <c r="F49" s="579"/>
      <c r="G49" s="748"/>
    </row>
    <row r="50" spans="1:3" ht="12" customHeight="1">
      <c r="A50" s="14" t="s">
        <v>195</v>
      </c>
      <c r="B50" s="720" t="s">
        <v>558</v>
      </c>
      <c r="C50" s="907"/>
    </row>
    <row r="51" spans="1:7" ht="12" customHeight="1">
      <c r="A51" s="632"/>
      <c r="B51" s="1192"/>
      <c r="C51" s="730" t="s">
        <v>916</v>
      </c>
      <c r="D51" s="730" t="s">
        <v>121</v>
      </c>
      <c r="E51" s="1662" t="s">
        <v>79</v>
      </c>
      <c r="F51" s="1676"/>
      <c r="G51" s="1677"/>
    </row>
    <row r="52" spans="1:7" ht="12" customHeight="1">
      <c r="A52" s="718"/>
      <c r="B52" s="1197"/>
      <c r="C52" s="1194" t="s">
        <v>929</v>
      </c>
      <c r="D52" s="1194" t="s">
        <v>114</v>
      </c>
      <c r="E52" s="1678"/>
      <c r="F52" s="1679"/>
      <c r="G52" s="1680"/>
    </row>
    <row r="53" spans="1:7" ht="12" customHeight="1">
      <c r="A53" s="14"/>
      <c r="B53" s="1193"/>
      <c r="C53" s="1195" t="s">
        <v>115</v>
      </c>
      <c r="D53" s="1195" t="s">
        <v>119</v>
      </c>
      <c r="E53" s="719" t="s">
        <v>914</v>
      </c>
      <c r="F53" s="719" t="s">
        <v>915</v>
      </c>
      <c r="G53" s="1117" t="s">
        <v>103</v>
      </c>
    </row>
    <row r="54" spans="1:7" ht="12" customHeight="1">
      <c r="A54" s="780">
        <f>(100*G48)+1</f>
        <v>2301</v>
      </c>
      <c r="B54" s="1191" t="str">
        <f>CONCATENATE("Stand per 31-12-",Voorblad!E3-1)</f>
        <v>Stand per 31-12-2003</v>
      </c>
      <c r="C54" s="502"/>
      <c r="D54"/>
      <c r="E54" s="976">
        <v>1</v>
      </c>
      <c r="F54" s="969"/>
      <c r="G54" s="486">
        <f>C54*E54</f>
        <v>0</v>
      </c>
    </row>
    <row r="55" spans="1:7" ht="12" customHeight="1">
      <c r="A55" s="780">
        <f>A54+1</f>
        <v>2302</v>
      </c>
      <c r="B55" s="680" t="s">
        <v>917</v>
      </c>
      <c r="C55" s="502"/>
      <c r="D55" s="505">
        <v>0</v>
      </c>
      <c r="E55" s="976">
        <f>10.5/12</f>
        <v>0.875</v>
      </c>
      <c r="F55" s="976">
        <v>0.9583</v>
      </c>
      <c r="G55" s="486">
        <f>C55*E55-D55*F55</f>
        <v>0</v>
      </c>
    </row>
    <row r="56" spans="1:7" ht="12" customHeight="1">
      <c r="A56" s="780">
        <f aca="true" t="shared" si="3" ref="A56:A67">A55+1</f>
        <v>2303</v>
      </c>
      <c r="B56" s="680" t="s">
        <v>918</v>
      </c>
      <c r="C56" s="502"/>
      <c r="D56" s="505">
        <v>0</v>
      </c>
      <c r="E56" s="976">
        <f>9.5/12</f>
        <v>0.7916666666666666</v>
      </c>
      <c r="F56" s="976">
        <v>0.875</v>
      </c>
      <c r="G56" s="486">
        <f aca="true" t="shared" si="4" ref="G56:G66">C56*E56-D56*F56</f>
        <v>0</v>
      </c>
    </row>
    <row r="57" spans="1:7" ht="12" customHeight="1">
      <c r="A57" s="780">
        <f t="shared" si="3"/>
        <v>2304</v>
      </c>
      <c r="B57" s="680" t="s">
        <v>919</v>
      </c>
      <c r="C57" s="502"/>
      <c r="D57" s="505">
        <v>0</v>
      </c>
      <c r="E57" s="976">
        <f>8.5/12</f>
        <v>0.7083333333333334</v>
      </c>
      <c r="F57" s="976">
        <v>0.7917</v>
      </c>
      <c r="G57" s="486">
        <f t="shared" si="4"/>
        <v>0</v>
      </c>
    </row>
    <row r="58" spans="1:7" ht="12" customHeight="1">
      <c r="A58" s="780">
        <f t="shared" si="3"/>
        <v>2305</v>
      </c>
      <c r="B58" s="680" t="s">
        <v>920</v>
      </c>
      <c r="C58" s="502"/>
      <c r="D58" s="505">
        <v>0</v>
      </c>
      <c r="E58" s="976">
        <f>7.5/12</f>
        <v>0.625</v>
      </c>
      <c r="F58" s="976">
        <v>0.7083</v>
      </c>
      <c r="G58" s="486">
        <f t="shared" si="4"/>
        <v>0</v>
      </c>
    </row>
    <row r="59" spans="1:7" ht="12" customHeight="1">
      <c r="A59" s="780">
        <f t="shared" si="3"/>
        <v>2306</v>
      </c>
      <c r="B59" s="680" t="s">
        <v>921</v>
      </c>
      <c r="C59" s="502"/>
      <c r="D59" s="505">
        <v>0</v>
      </c>
      <c r="E59" s="976">
        <f>6.5/12</f>
        <v>0.5416666666666666</v>
      </c>
      <c r="F59" s="976">
        <v>0.625</v>
      </c>
      <c r="G59" s="486">
        <f t="shared" si="4"/>
        <v>0</v>
      </c>
    </row>
    <row r="60" spans="1:7" ht="12" customHeight="1">
      <c r="A60" s="780">
        <f t="shared" si="3"/>
        <v>2307</v>
      </c>
      <c r="B60" s="680" t="s">
        <v>922</v>
      </c>
      <c r="C60" s="502"/>
      <c r="D60" s="505">
        <v>0</v>
      </c>
      <c r="E60" s="976">
        <f>5.5/12</f>
        <v>0.4583333333333333</v>
      </c>
      <c r="F60" s="976">
        <v>0.5417</v>
      </c>
      <c r="G60" s="486">
        <f t="shared" si="4"/>
        <v>0</v>
      </c>
    </row>
    <row r="61" spans="1:7" ht="12" customHeight="1">
      <c r="A61" s="780">
        <f t="shared" si="3"/>
        <v>2308</v>
      </c>
      <c r="B61" s="680" t="s">
        <v>923</v>
      </c>
      <c r="C61" s="502"/>
      <c r="D61" s="505">
        <v>0</v>
      </c>
      <c r="E61" s="976">
        <f>4.5/12</f>
        <v>0.375</v>
      </c>
      <c r="F61" s="976">
        <v>0.4583</v>
      </c>
      <c r="G61" s="486">
        <f t="shared" si="4"/>
        <v>0</v>
      </c>
    </row>
    <row r="62" spans="1:7" ht="12" customHeight="1">
      <c r="A62" s="780">
        <f t="shared" si="3"/>
        <v>2309</v>
      </c>
      <c r="B62" s="680" t="s">
        <v>924</v>
      </c>
      <c r="C62" s="502"/>
      <c r="D62" s="505">
        <v>0</v>
      </c>
      <c r="E62" s="976">
        <f>3.5/12</f>
        <v>0.2916666666666667</v>
      </c>
      <c r="F62" s="976">
        <v>0.375</v>
      </c>
      <c r="G62" s="486">
        <f t="shared" si="4"/>
        <v>0</v>
      </c>
    </row>
    <row r="63" spans="1:7" ht="12" customHeight="1">
      <c r="A63" s="780">
        <f t="shared" si="3"/>
        <v>2310</v>
      </c>
      <c r="B63" s="680" t="s">
        <v>925</v>
      </c>
      <c r="C63" s="502"/>
      <c r="D63" s="505">
        <v>0</v>
      </c>
      <c r="E63" s="976">
        <f>2.5/12</f>
        <v>0.20833333333333334</v>
      </c>
      <c r="F63" s="976">
        <v>0.2917</v>
      </c>
      <c r="G63" s="486">
        <f t="shared" si="4"/>
        <v>0</v>
      </c>
    </row>
    <row r="64" spans="1:7" ht="12" customHeight="1">
      <c r="A64" s="780">
        <f t="shared" si="3"/>
        <v>2311</v>
      </c>
      <c r="B64" s="680" t="s">
        <v>926</v>
      </c>
      <c r="C64" s="502"/>
      <c r="D64" s="505">
        <v>0</v>
      </c>
      <c r="E64" s="976">
        <f>1.5/12</f>
        <v>0.125</v>
      </c>
      <c r="F64" s="976">
        <v>0.2083</v>
      </c>
      <c r="G64" s="486">
        <f t="shared" si="4"/>
        <v>0</v>
      </c>
    </row>
    <row r="65" spans="1:7" ht="12" customHeight="1">
      <c r="A65" s="780">
        <f t="shared" si="3"/>
        <v>2312</v>
      </c>
      <c r="B65" s="680" t="s">
        <v>927</v>
      </c>
      <c r="C65" s="502"/>
      <c r="D65" s="505">
        <v>0</v>
      </c>
      <c r="E65" s="976">
        <f>0.5/12</f>
        <v>0.041666666666666664</v>
      </c>
      <c r="F65" s="976">
        <v>0.125</v>
      </c>
      <c r="G65" s="486">
        <f t="shared" si="4"/>
        <v>0</v>
      </c>
    </row>
    <row r="66" spans="1:7" ht="12" customHeight="1">
      <c r="A66" s="780">
        <f t="shared" si="3"/>
        <v>2313</v>
      </c>
      <c r="B66" s="680" t="s">
        <v>928</v>
      </c>
      <c r="C66" s="502"/>
      <c r="D66" s="505">
        <v>0</v>
      </c>
      <c r="E66" s="977">
        <f>-0.5/12</f>
        <v>-0.041666666666666664</v>
      </c>
      <c r="F66" s="976">
        <v>0.0417</v>
      </c>
      <c r="G66" s="486">
        <f t="shared" si="4"/>
        <v>0</v>
      </c>
    </row>
    <row r="67" spans="1:7" ht="12" customHeight="1">
      <c r="A67" s="780">
        <f t="shared" si="3"/>
        <v>2314</v>
      </c>
      <c r="B67" s="835" t="str">
        <f>CONCATENATE("Stand per 31-12-",Voorblad!$E$3," (",A54," t/m ",A66,")")</f>
        <v>Stand per 31-12-2004 (2301 t/m 2313)</v>
      </c>
      <c r="C67" s="806">
        <f>SUM(C54:C66)</f>
        <v>0</v>
      </c>
      <c r="D67" s="930">
        <f>SUM(D55:D66)</f>
        <v>0</v>
      </c>
      <c r="E67"/>
      <c r="F67"/>
      <c r="G67" s="806">
        <f>SUM(G54:G66)</f>
        <v>0</v>
      </c>
    </row>
    <row r="68" spans="1:5" ht="12" customHeight="1">
      <c r="A68" s="780">
        <f>A67+1</f>
        <v>2315</v>
      </c>
      <c r="B68" s="835" t="str">
        <f>CONCATENATE("Saldo per 31-12-",Voorblad!$E$3,)</f>
        <v>Saldo per 31-12-2004</v>
      </c>
      <c r="C68" s="806">
        <f>C67-D67</f>
        <v>0</v>
      </c>
      <c r="D68"/>
      <c r="E68" s="472"/>
    </row>
    <row r="69" spans="1:5" ht="12">
      <c r="A69" s="484"/>
      <c r="B69" s="451"/>
      <c r="C69" s="472"/>
      <c r="D69" s="472"/>
      <c r="E69" s="472"/>
    </row>
    <row r="70" spans="1:6" ht="12">
      <c r="A70" s="453"/>
      <c r="C70" s="453"/>
      <c r="D70" s="453"/>
      <c r="E70" s="453"/>
      <c r="F70" s="453"/>
    </row>
    <row r="71" spans="1:6" ht="12">
      <c r="A71" s="453"/>
      <c r="C71" s="453"/>
      <c r="D71" s="453"/>
      <c r="E71" s="453"/>
      <c r="F71" s="453"/>
    </row>
    <row r="72" spans="1:6" ht="12" customHeight="1">
      <c r="A72" s="453"/>
      <c r="C72" s="453"/>
      <c r="D72" s="453"/>
      <c r="E72" s="453"/>
      <c r="F72" s="453"/>
    </row>
    <row r="73" spans="1:6" ht="12" customHeight="1">
      <c r="A73" s="729"/>
      <c r="B73" s="608"/>
      <c r="F73" s="453"/>
    </row>
    <row r="74" spans="1:6" ht="12" customHeight="1">
      <c r="A74" s="41" t="s">
        <v>198</v>
      </c>
      <c r="B74" s="47" t="s">
        <v>200</v>
      </c>
      <c r="F74" s="453"/>
    </row>
    <row r="75" spans="1:6" ht="12" customHeight="1">
      <c r="A75" s="14"/>
      <c r="B75" s="1199"/>
      <c r="C75" s="730" t="s">
        <v>434</v>
      </c>
      <c r="D75" s="730" t="s">
        <v>77</v>
      </c>
      <c r="E75" s="730" t="s">
        <v>434</v>
      </c>
      <c r="F75" s="453"/>
    </row>
    <row r="76" spans="2:6" ht="12" customHeight="1">
      <c r="B76" s="1200"/>
      <c r="C76" s="731" t="s">
        <v>435</v>
      </c>
      <c r="D76" s="731"/>
      <c r="E76" s="731" t="s">
        <v>436</v>
      </c>
      <c r="F76" s="453"/>
    </row>
    <row r="77" spans="1:6" ht="12" customHeight="1">
      <c r="A77" s="780">
        <f>A68+1</f>
        <v>2316</v>
      </c>
      <c r="B77" s="1198">
        <f>Voorblad!E$3</f>
        <v>2004</v>
      </c>
      <c r="C77" s="434"/>
      <c r="D77" s="512">
        <v>9.5</v>
      </c>
      <c r="E77" s="486">
        <f aca="true" t="shared" si="5" ref="E77:E86">C77*D77</f>
        <v>0</v>
      </c>
      <c r="F77" s="453"/>
    </row>
    <row r="78" spans="1:6" ht="12" customHeight="1">
      <c r="A78" s="780">
        <f>A77+1</f>
        <v>2317</v>
      </c>
      <c r="B78" s="189">
        <f>Voorblad!E$3-1</f>
        <v>2003</v>
      </c>
      <c r="C78" s="434"/>
      <c r="D78" s="512">
        <v>8.5</v>
      </c>
      <c r="E78" s="486">
        <f t="shared" si="5"/>
        <v>0</v>
      </c>
      <c r="F78" s="453"/>
    </row>
    <row r="79" spans="1:6" ht="12" customHeight="1">
      <c r="A79" s="780">
        <f>A78+1</f>
        <v>2318</v>
      </c>
      <c r="B79" s="189">
        <f>Voorblad!E$3-2</f>
        <v>2002</v>
      </c>
      <c r="C79" s="434"/>
      <c r="D79" s="512">
        <v>7.5</v>
      </c>
      <c r="E79" s="486">
        <f t="shared" si="5"/>
        <v>0</v>
      </c>
      <c r="F79" s="453"/>
    </row>
    <row r="80" spans="1:6" ht="12" customHeight="1">
      <c r="A80" s="780">
        <f>A79+1</f>
        <v>2319</v>
      </c>
      <c r="B80" s="189">
        <f>Voorblad!E$3-3</f>
        <v>2001</v>
      </c>
      <c r="C80" s="434"/>
      <c r="D80" s="512">
        <v>6.5</v>
      </c>
      <c r="E80" s="486">
        <f t="shared" si="5"/>
        <v>0</v>
      </c>
      <c r="F80" s="453"/>
    </row>
    <row r="81" spans="1:6" ht="12" customHeight="1">
      <c r="A81" s="780">
        <f aca="true" t="shared" si="6" ref="A81:A86">A80+1</f>
        <v>2320</v>
      </c>
      <c r="B81" s="189">
        <f>Voorblad!E$3-4</f>
        <v>2000</v>
      </c>
      <c r="C81" s="434"/>
      <c r="D81" s="512">
        <v>5.5</v>
      </c>
      <c r="E81" s="486">
        <f t="shared" si="5"/>
        <v>0</v>
      </c>
      <c r="F81" s="453"/>
    </row>
    <row r="82" spans="1:6" ht="12" customHeight="1">
      <c r="A82" s="780">
        <f t="shared" si="6"/>
        <v>2321</v>
      </c>
      <c r="B82" s="189">
        <f>Voorblad!E$3-5</f>
        <v>1999</v>
      </c>
      <c r="C82" s="434"/>
      <c r="D82" s="512">
        <v>4.5</v>
      </c>
      <c r="E82" s="486">
        <f t="shared" si="5"/>
        <v>0</v>
      </c>
      <c r="F82" s="453"/>
    </row>
    <row r="83" spans="1:6" ht="12" customHeight="1">
      <c r="A83" s="780">
        <f t="shared" si="6"/>
        <v>2322</v>
      </c>
      <c r="B83" s="189">
        <f>Voorblad!E$3-6</f>
        <v>1998</v>
      </c>
      <c r="C83" s="434"/>
      <c r="D83" s="512">
        <v>3.5</v>
      </c>
      <c r="E83" s="486">
        <f t="shared" si="5"/>
        <v>0</v>
      </c>
      <c r="F83" s="453"/>
    </row>
    <row r="84" spans="1:6" ht="12" customHeight="1">
      <c r="A84" s="780">
        <f t="shared" si="6"/>
        <v>2323</v>
      </c>
      <c r="B84" s="189">
        <f>Voorblad!E$3-7</f>
        <v>1997</v>
      </c>
      <c r="C84" s="434"/>
      <c r="D84" s="512">
        <v>2.5</v>
      </c>
      <c r="E84" s="486">
        <f t="shared" si="5"/>
        <v>0</v>
      </c>
      <c r="F84" s="453"/>
    </row>
    <row r="85" spans="1:6" ht="12" customHeight="1">
      <c r="A85" s="780">
        <f t="shared" si="6"/>
        <v>2324</v>
      </c>
      <c r="B85" s="189">
        <f>Voorblad!E$3-8</f>
        <v>1996</v>
      </c>
      <c r="C85" s="434"/>
      <c r="D85" s="512">
        <v>1.5</v>
      </c>
      <c r="E85" s="486">
        <f t="shared" si="5"/>
        <v>0</v>
      </c>
      <c r="F85" s="453"/>
    </row>
    <row r="86" spans="1:6" ht="12" customHeight="1">
      <c r="A86" s="780">
        <f t="shared" si="6"/>
        <v>2325</v>
      </c>
      <c r="B86" s="253">
        <f>Voorblad!E$3-9</f>
        <v>1995</v>
      </c>
      <c r="C86" s="783"/>
      <c r="D86" s="880">
        <v>0.5</v>
      </c>
      <c r="E86" s="843">
        <f t="shared" si="5"/>
        <v>0</v>
      </c>
      <c r="F86" s="453"/>
    </row>
    <row r="87" spans="1:6" ht="12" customHeight="1">
      <c r="A87" s="780">
        <f>A86+1</f>
        <v>2326</v>
      </c>
      <c r="B87" s="835" t="str">
        <f>CONCATENATE("Totaal (regel ",A77," t/m ",A86,")")</f>
        <v>Totaal (regel 2316 t/m 2325)</v>
      </c>
      <c r="C87" s="806">
        <f>SUM(C77:C86)</f>
        <v>0</v>
      </c>
      <c r="D87" s="806"/>
      <c r="E87" s="806">
        <f>SUM(E77:E86)</f>
        <v>0</v>
      </c>
      <c r="F87" s="453"/>
    </row>
    <row r="88" spans="1:6" ht="12" customHeight="1">
      <c r="A88" s="453"/>
      <c r="C88" s="453"/>
      <c r="D88" s="453"/>
      <c r="E88" s="453"/>
      <c r="F88" s="453"/>
    </row>
    <row r="89" spans="2:6" ht="12" customHeight="1">
      <c r="B89" s="166" t="str">
        <f>CONCATENATE("* zie onderbouwing regel 62 laatste rekenstaat ",Voorblad!E3,)</f>
        <v>* zie onderbouwing regel 62 laatste rekenstaat 2004</v>
      </c>
      <c r="C89" s="453"/>
      <c r="D89" s="453"/>
      <c r="E89" s="453"/>
      <c r="F89" s="453"/>
    </row>
    <row r="90" spans="1:6" ht="12" customHeight="1">
      <c r="A90" s="453"/>
      <c r="C90" s="453"/>
      <c r="D90" s="453"/>
      <c r="E90" s="453"/>
      <c r="F90" s="453"/>
    </row>
    <row r="91" spans="1:6" ht="12" customHeight="1">
      <c r="A91" s="453"/>
      <c r="C91" s="453"/>
      <c r="D91" s="453"/>
      <c r="E91" s="453"/>
      <c r="F91" s="453"/>
    </row>
    <row r="92" ht="15.75" customHeight="1">
      <c r="A92" s="931"/>
    </row>
    <row r="93" spans="1:7" ht="15.75" customHeight="1">
      <c r="A93" s="622" t="str">
        <f>CONCATENATE("Bijlage ",LEFT(A96,1)," en ",LEFT(A131,1)," bij het nacalculatieformulier ",Voorblad!$E$3," ",Voorblad!$A$5)</f>
        <v>Bijlage C en E bij het nacalculatieformulier 2004 GGZ-instellingen</v>
      </c>
      <c r="B93" s="637"/>
      <c r="C93" s="639"/>
      <c r="D93" s="639"/>
      <c r="E93" s="640" t="b">
        <f>Voorblad!E28</f>
        <v>1</v>
      </c>
      <c r="F93" s="640">
        <f>Voorblad!J28</f>
        <v>0</v>
      </c>
      <c r="G93" s="1302">
        <f>G48+1</f>
        <v>24</v>
      </c>
    </row>
    <row r="94" spans="1:7" ht="12.75">
      <c r="A94" s="677"/>
      <c r="B94" s="704"/>
      <c r="C94" s="704"/>
      <c r="D94" s="704"/>
      <c r="E94"/>
      <c r="F94" s="627"/>
      <c r="G94" s="704"/>
    </row>
    <row r="95" spans="1:3" ht="12">
      <c r="A95" s="632"/>
      <c r="B95" s="1196"/>
      <c r="C95" s="472"/>
    </row>
    <row r="96" spans="1:3" ht="12">
      <c r="A96" s="14" t="s">
        <v>196</v>
      </c>
      <c r="B96" s="682" t="s">
        <v>559</v>
      </c>
      <c r="C96" s="907"/>
    </row>
    <row r="97" spans="1:7" ht="12">
      <c r="A97" s="718"/>
      <c r="B97" s="1201"/>
      <c r="C97" s="653" t="s">
        <v>187</v>
      </c>
      <c r="D97" s="653" t="s">
        <v>188</v>
      </c>
      <c r="E97" s="688" t="s">
        <v>116</v>
      </c>
      <c r="F97" s="1639" t="s">
        <v>76</v>
      </c>
      <c r="G97" s="1675"/>
    </row>
    <row r="98" spans="2:7" ht="12">
      <c r="B98" s="1200"/>
      <c r="C98" s="676"/>
      <c r="D98" s="722"/>
      <c r="E98" s="676"/>
      <c r="F98" s="723" t="s">
        <v>108</v>
      </c>
      <c r="G98" s="1117" t="s">
        <v>103</v>
      </c>
    </row>
    <row r="99" spans="1:7" ht="12" customHeight="1">
      <c r="A99" s="780">
        <f>G93*100+1</f>
        <v>2401</v>
      </c>
      <c r="B99" s="1191" t="str">
        <f>CONCATENATE("Geactiveerd per 31-12-",Voorblad!E3-1)</f>
        <v>Geactiveerd per 31-12-2003</v>
      </c>
      <c r="C99" s="502"/>
      <c r="D99" s="503">
        <v>0</v>
      </c>
      <c r="E99" s="507">
        <f>C99-D99</f>
        <v>0</v>
      </c>
      <c r="F99" s="724">
        <v>1</v>
      </c>
      <c r="G99" s="486">
        <f>E99*F99</f>
        <v>0</v>
      </c>
    </row>
    <row r="100" spans="1:7" ht="12" customHeight="1">
      <c r="A100" s="780">
        <f aca="true" t="shared" si="7" ref="A100:A118">A99+1</f>
        <v>2402</v>
      </c>
      <c r="B100" s="680" t="str">
        <f>CONCATENATE("Geheel afgeschreven in ",Voorblad!E3-1)</f>
        <v>Geheel afgeschreven in 2003</v>
      </c>
      <c r="C100" s="503">
        <v>0</v>
      </c>
      <c r="D100" s="502"/>
      <c r="E100" s="504">
        <f>C100-D100</f>
        <v>0</v>
      </c>
      <c r="F100" s="724"/>
      <c r="G100" s="486"/>
    </row>
    <row r="101" spans="1:7" ht="12" customHeight="1">
      <c r="A101" s="780">
        <f t="shared" si="7"/>
        <v>2403</v>
      </c>
      <c r="B101" s="680" t="str">
        <f>CONCATENATE("Onderhanden werk per  31-12-",Voorblad!E3-1)</f>
        <v>Onderhanden werk per  31-12-2003</v>
      </c>
      <c r="C101" s="502"/>
      <c r="D101"/>
      <c r="E101" s="507">
        <f>C101</f>
        <v>0</v>
      </c>
      <c r="F101" s="724">
        <v>1</v>
      </c>
      <c r="G101" s="486">
        <f>E101*F101</f>
        <v>0</v>
      </c>
    </row>
    <row r="102" spans="1:7" ht="12" customHeight="1">
      <c r="A102" s="780">
        <f t="shared" si="7"/>
        <v>2404</v>
      </c>
      <c r="B102" s="680" t="s">
        <v>937</v>
      </c>
      <c r="C102" s="502"/>
      <c r="D102"/>
      <c r="E102" s="507">
        <f aca="true" t="shared" si="8" ref="E102:E112">C102</f>
        <v>0</v>
      </c>
      <c r="F102" s="976">
        <f>10.5/12</f>
        <v>0.875</v>
      </c>
      <c r="G102" s="486">
        <f aca="true" t="shared" si="9" ref="G102:G113">E102*F102</f>
        <v>0</v>
      </c>
    </row>
    <row r="103" spans="1:7" ht="12" customHeight="1">
      <c r="A103" s="780">
        <f t="shared" si="7"/>
        <v>2405</v>
      </c>
      <c r="B103" s="680" t="s">
        <v>938</v>
      </c>
      <c r="C103" s="502"/>
      <c r="D103"/>
      <c r="E103" s="507">
        <f t="shared" si="8"/>
        <v>0</v>
      </c>
      <c r="F103" s="976">
        <f>9.5/12</f>
        <v>0.7916666666666666</v>
      </c>
      <c r="G103" s="486">
        <f t="shared" si="9"/>
        <v>0</v>
      </c>
    </row>
    <row r="104" spans="1:7" ht="12" customHeight="1">
      <c r="A104" s="780">
        <f t="shared" si="7"/>
        <v>2406</v>
      </c>
      <c r="B104" s="680" t="s">
        <v>939</v>
      </c>
      <c r="C104" s="502"/>
      <c r="D104"/>
      <c r="E104" s="507">
        <f t="shared" si="8"/>
        <v>0</v>
      </c>
      <c r="F104" s="976">
        <f>8.5/12</f>
        <v>0.7083333333333334</v>
      </c>
      <c r="G104" s="486">
        <f t="shared" si="9"/>
        <v>0</v>
      </c>
    </row>
    <row r="105" spans="1:7" ht="12" customHeight="1">
      <c r="A105" s="780">
        <f t="shared" si="7"/>
        <v>2407</v>
      </c>
      <c r="B105" s="680" t="s">
        <v>0</v>
      </c>
      <c r="C105" s="502"/>
      <c r="D105"/>
      <c r="E105" s="507">
        <f t="shared" si="8"/>
        <v>0</v>
      </c>
      <c r="F105" s="976">
        <f>7.5/12</f>
        <v>0.625</v>
      </c>
      <c r="G105" s="486">
        <f t="shared" si="9"/>
        <v>0</v>
      </c>
    </row>
    <row r="106" spans="1:7" ht="12" customHeight="1">
      <c r="A106" s="780">
        <f t="shared" si="7"/>
        <v>2408</v>
      </c>
      <c r="B106" s="680" t="s">
        <v>1</v>
      </c>
      <c r="C106" s="502"/>
      <c r="D106"/>
      <c r="E106" s="507">
        <f t="shared" si="8"/>
        <v>0</v>
      </c>
      <c r="F106" s="976">
        <f>6.5/12</f>
        <v>0.5416666666666666</v>
      </c>
      <c r="G106" s="486">
        <f t="shared" si="9"/>
        <v>0</v>
      </c>
    </row>
    <row r="107" spans="1:7" ht="12" customHeight="1">
      <c r="A107" s="780">
        <f t="shared" si="7"/>
        <v>2409</v>
      </c>
      <c r="B107" s="680" t="s">
        <v>2</v>
      </c>
      <c r="C107" s="502"/>
      <c r="D107"/>
      <c r="E107" s="507">
        <f t="shared" si="8"/>
        <v>0</v>
      </c>
      <c r="F107" s="976">
        <f>5.5/12</f>
        <v>0.4583333333333333</v>
      </c>
      <c r="G107" s="486">
        <f t="shared" si="9"/>
        <v>0</v>
      </c>
    </row>
    <row r="108" spans="1:7" ht="12" customHeight="1">
      <c r="A108" s="780">
        <f t="shared" si="7"/>
        <v>2410</v>
      </c>
      <c r="B108" s="680" t="s">
        <v>3</v>
      </c>
      <c r="C108" s="502"/>
      <c r="D108"/>
      <c r="E108" s="507">
        <f t="shared" si="8"/>
        <v>0</v>
      </c>
      <c r="F108" s="976">
        <f>4.5/12</f>
        <v>0.375</v>
      </c>
      <c r="G108" s="486">
        <f t="shared" si="9"/>
        <v>0</v>
      </c>
    </row>
    <row r="109" spans="1:7" ht="12" customHeight="1">
      <c r="A109" s="780">
        <f t="shared" si="7"/>
        <v>2411</v>
      </c>
      <c r="B109" s="680" t="s">
        <v>4</v>
      </c>
      <c r="C109" s="502"/>
      <c r="D109"/>
      <c r="E109" s="507">
        <f t="shared" si="8"/>
        <v>0</v>
      </c>
      <c r="F109" s="976">
        <f>3.5/12</f>
        <v>0.2916666666666667</v>
      </c>
      <c r="G109" s="486">
        <f t="shared" si="9"/>
        <v>0</v>
      </c>
    </row>
    <row r="110" spans="1:7" ht="12" customHeight="1">
      <c r="A110" s="780">
        <f t="shared" si="7"/>
        <v>2412</v>
      </c>
      <c r="B110" s="680" t="s">
        <v>5</v>
      </c>
      <c r="C110" s="502"/>
      <c r="D110"/>
      <c r="E110" s="507">
        <f t="shared" si="8"/>
        <v>0</v>
      </c>
      <c r="F110" s="976">
        <f>2.5/12</f>
        <v>0.20833333333333334</v>
      </c>
      <c r="G110" s="486">
        <f t="shared" si="9"/>
        <v>0</v>
      </c>
    </row>
    <row r="111" spans="1:7" ht="12" customHeight="1">
      <c r="A111" s="780">
        <f t="shared" si="7"/>
        <v>2413</v>
      </c>
      <c r="B111" s="680" t="s">
        <v>6</v>
      </c>
      <c r="C111" s="502"/>
      <c r="D111"/>
      <c r="E111" s="507">
        <f t="shared" si="8"/>
        <v>0</v>
      </c>
      <c r="F111" s="976">
        <f>1.5/12</f>
        <v>0.125</v>
      </c>
      <c r="G111" s="486">
        <f t="shared" si="9"/>
        <v>0</v>
      </c>
    </row>
    <row r="112" spans="1:10" ht="12.75">
      <c r="A112" s="780">
        <f t="shared" si="7"/>
        <v>2414</v>
      </c>
      <c r="B112" s="680" t="s">
        <v>7</v>
      </c>
      <c r="C112" s="502"/>
      <c r="D112"/>
      <c r="E112" s="507">
        <f t="shared" si="8"/>
        <v>0</v>
      </c>
      <c r="F112" s="976">
        <f>0.5/12</f>
        <v>0.041666666666666664</v>
      </c>
      <c r="G112" s="486">
        <f t="shared" si="9"/>
        <v>0</v>
      </c>
      <c r="I112" s="451"/>
      <c r="J112" s="453"/>
    </row>
    <row r="113" spans="1:10" ht="12.75">
      <c r="A113" s="780">
        <f t="shared" si="7"/>
        <v>2415</v>
      </c>
      <c r="B113" s="680" t="s">
        <v>8</v>
      </c>
      <c r="C113" s="502"/>
      <c r="D113"/>
      <c r="E113" s="507">
        <f>C113</f>
        <v>0</v>
      </c>
      <c r="F113" s="977">
        <f>-0.5/12</f>
        <v>-0.041666666666666664</v>
      </c>
      <c r="G113" s="486">
        <f t="shared" si="9"/>
        <v>0</v>
      </c>
      <c r="I113" s="585"/>
      <c r="J113" s="585"/>
    </row>
    <row r="114" spans="1:10" ht="12.75">
      <c r="A114" s="780">
        <f t="shared" si="7"/>
        <v>2416</v>
      </c>
      <c r="B114" s="680" t="str">
        <f>CONCATENATE("Afschrijving ",Voorblad!E3)</f>
        <v>Afschrijving 2004</v>
      </c>
      <c r="C114"/>
      <c r="D114" s="503">
        <v>0</v>
      </c>
      <c r="E114" s="508">
        <f>D114</f>
        <v>0</v>
      </c>
      <c r="F114" s="724">
        <v>0.5</v>
      </c>
      <c r="G114" s="508">
        <f>E114*F114</f>
        <v>0</v>
      </c>
      <c r="I114" s="585"/>
      <c r="J114" s="585"/>
    </row>
    <row r="115" spans="1:10" ht="12.75">
      <c r="A115" s="780">
        <f t="shared" si="7"/>
        <v>2417</v>
      </c>
      <c r="B115" s="680" t="str">
        <f>CONCATENATE("Onderhanden werk per  31-12-",Voorblad!E3)</f>
        <v>Onderhanden werk per  31-12-2004</v>
      </c>
      <c r="C115" s="503">
        <v>0</v>
      </c>
      <c r="D115"/>
      <c r="E115" s="508">
        <f>C115</f>
        <v>0</v>
      </c>
      <c r="F115"/>
      <c r="G115"/>
      <c r="J115" s="510"/>
    </row>
    <row r="116" spans="1:10" ht="12.75">
      <c r="A116" s="780">
        <f t="shared" si="7"/>
        <v>2418</v>
      </c>
      <c r="B116" s="835" t="str">
        <f>CONCATENATE("Geactiveerd per 31-12-",Voorblad!E3," (",A99," t/m ",A115,")")</f>
        <v>Geactiveerd per 31-12-2004 (2401 t/m 2417)</v>
      </c>
      <c r="C116" s="806">
        <f>C99-C100+SUM(C101:C113)-C115</f>
        <v>0</v>
      </c>
      <c r="D116" s="821">
        <f>D99-D100+D114</f>
        <v>0</v>
      </c>
      <c r="E116" s="806">
        <f>E99+SUM(E101:E113)-E114-E115</f>
        <v>0</v>
      </c>
      <c r="F116"/>
      <c r="G116" s="806">
        <f>SUM(G99:G113)-G114</f>
        <v>0</v>
      </c>
      <c r="I116" s="456"/>
      <c r="J116" s="456"/>
    </row>
    <row r="117" spans="1:5" ht="12.75">
      <c r="A117" s="780">
        <f t="shared" si="7"/>
        <v>2419</v>
      </c>
      <c r="B117" s="881" t="str">
        <f>CONCATENATE("Overzicht afschrijvingen (regel ",Afschrijvingen!A31," en ",Afschrijvingen!A32,")")</f>
        <v>Overzicht afschrijvingen (regel 1318 en 1319)</v>
      </c>
      <c r="C117" s="882">
        <f>Afschrijvingen!G31+Afschrijvingen!G32</f>
        <v>0</v>
      </c>
      <c r="D117"/>
      <c r="E117" s="882">
        <f>Afschrijvingen!K31+Afschrijvingen!K32</f>
        <v>0</v>
      </c>
    </row>
    <row r="118" spans="1:6" ht="12" customHeight="1">
      <c r="A118" s="780">
        <f t="shared" si="7"/>
        <v>2420</v>
      </c>
      <c r="B118" s="835" t="s">
        <v>417</v>
      </c>
      <c r="C118" s="883">
        <f>C116-C117</f>
        <v>0</v>
      </c>
      <c r="D118"/>
      <c r="E118" s="883">
        <f>E116-E117</f>
        <v>0</v>
      </c>
      <c r="F118" s="453"/>
    </row>
    <row r="119" spans="1:7" ht="12" customHeight="1">
      <c r="A119" s="932"/>
      <c r="B119" s="748"/>
      <c r="C119" s="579"/>
      <c r="D119" s="579"/>
      <c r="E119" s="579"/>
      <c r="F119" s="579"/>
      <c r="G119" s="748"/>
    </row>
    <row r="120" spans="1:6" ht="12" customHeight="1">
      <c r="A120" s="471" t="s">
        <v>50</v>
      </c>
      <c r="C120" s="453"/>
      <c r="D120" s="453"/>
      <c r="E120" s="453"/>
      <c r="F120" s="453"/>
    </row>
    <row r="121" spans="1:7" ht="12" customHeight="1">
      <c r="A121" s="748"/>
      <c r="B121" s="748"/>
      <c r="C121" s="748"/>
      <c r="D121" s="748"/>
      <c r="E121" s="748"/>
      <c r="F121" s="748"/>
      <c r="G121" s="748"/>
    </row>
    <row r="122" spans="1:7" ht="12" customHeight="1">
      <c r="A122" s="748"/>
      <c r="B122" s="748"/>
      <c r="C122" s="748"/>
      <c r="D122" s="748"/>
      <c r="E122" s="748"/>
      <c r="F122" s="748"/>
      <c r="G122" s="748"/>
    </row>
    <row r="123" spans="1:10" ht="11.25">
      <c r="A123" s="748"/>
      <c r="B123" s="748"/>
      <c r="C123" s="748"/>
      <c r="D123" s="748"/>
      <c r="E123" s="748"/>
      <c r="F123" s="749"/>
      <c r="G123" s="749"/>
      <c r="H123" s="593"/>
      <c r="I123" s="496"/>
      <c r="J123" s="453"/>
    </row>
    <row r="124" spans="1:10" ht="11.25">
      <c r="A124" s="748"/>
      <c r="B124" s="748"/>
      <c r="C124" s="748"/>
      <c r="D124" s="748"/>
      <c r="E124" s="748"/>
      <c r="F124" s="749"/>
      <c r="G124" s="749"/>
      <c r="H124" s="593"/>
      <c r="I124" s="496"/>
      <c r="J124" s="453"/>
    </row>
    <row r="125" spans="1:10" ht="11.25">
      <c r="A125" s="748"/>
      <c r="B125" s="748"/>
      <c r="C125" s="748"/>
      <c r="D125" s="748"/>
      <c r="E125" s="748"/>
      <c r="F125" s="579"/>
      <c r="G125" s="748"/>
      <c r="I125" s="451"/>
      <c r="J125" s="453"/>
    </row>
    <row r="126" spans="1:10" ht="11.25">
      <c r="A126" s="748"/>
      <c r="B126" s="748"/>
      <c r="C126" s="748"/>
      <c r="D126" s="748"/>
      <c r="E126" s="748"/>
      <c r="F126" s="579"/>
      <c r="G126" s="748"/>
      <c r="H126" s="456"/>
      <c r="I126" s="472"/>
      <c r="J126" s="456"/>
    </row>
    <row r="127" spans="1:10" ht="11.25">
      <c r="A127" s="748"/>
      <c r="B127" s="748"/>
      <c r="C127" s="748"/>
      <c r="D127" s="748"/>
      <c r="E127" s="748"/>
      <c r="F127" s="579"/>
      <c r="G127" s="748"/>
      <c r="H127" s="456"/>
      <c r="I127" s="472"/>
      <c r="J127" s="456"/>
    </row>
    <row r="128" spans="1:10" ht="11.25">
      <c r="A128" s="748"/>
      <c r="B128" s="748"/>
      <c r="C128" s="579"/>
      <c r="D128" s="579"/>
      <c r="E128" s="579"/>
      <c r="F128" s="579"/>
      <c r="G128" s="748"/>
      <c r="I128" s="451"/>
      <c r="J128" s="453"/>
    </row>
    <row r="129" spans="1:10" ht="11.25" customHeight="1">
      <c r="A129" s="932"/>
      <c r="B129" s="748"/>
      <c r="C129" s="579"/>
      <c r="D129" s="579"/>
      <c r="E129" s="579"/>
      <c r="F129" s="579"/>
      <c r="G129" s="748"/>
      <c r="I129" s="451"/>
      <c r="J129" s="453"/>
    </row>
    <row r="130" spans="1:7" ht="11.25" customHeight="1">
      <c r="A130" s="932"/>
      <c r="B130" s="748"/>
      <c r="C130" s="579"/>
      <c r="D130" s="579"/>
      <c r="E130" s="579"/>
      <c r="F130"/>
      <c r="G130" s="748"/>
    </row>
    <row r="131" spans="1:5" ht="12" customHeight="1">
      <c r="A131" s="677" t="s">
        <v>936</v>
      </c>
      <c r="B131" s="27" t="s">
        <v>203</v>
      </c>
      <c r="C131" s="165"/>
      <c r="D131" s="163"/>
      <c r="E131" s="163"/>
    </row>
    <row r="132" spans="1:7" ht="12">
      <c r="A132" s="780">
        <f>A118+1</f>
        <v>2421</v>
      </c>
      <c r="B132" s="134" t="str">
        <f>CONCATENATE("Aanvaardbare kosten volgens laatste rekenstaat exclusief aanvullende inkomsten (regel ",Mutaties!A25,")")</f>
        <v>Aanvaardbare kosten volgens laatste rekenstaat exclusief aanvullende inkomsten (regel 2017)</v>
      </c>
      <c r="C132" s="725"/>
      <c r="D132" s="725"/>
      <c r="E132" s="351"/>
      <c r="F132" s="665"/>
      <c r="G132" s="481">
        <f>Mutaties!F25</f>
        <v>0</v>
      </c>
    </row>
    <row r="133" spans="1:7" ht="12">
      <c r="A133" s="876">
        <f>A132+1</f>
        <v>2422</v>
      </c>
      <c r="B133" s="191" t="str">
        <f>CONCATENATE("Correctie budget geïntegreerde Riagg's: bedrag ",Voorblad!E3-1," verhoogd met 1,52%")</f>
        <v>Correctie budget geïntegreerde Riagg's: bedrag 2003 verhoogd met 1,52%</v>
      </c>
      <c r="C133" s="726"/>
      <c r="D133" s="726"/>
      <c r="E133" s="1045" t="str">
        <f>CONCATENATE("Regel 2122 van nacalculatieformulier ",Voorblad!E3-1,)</f>
        <v>Regel 2122 van nacalculatieformulier 2003</v>
      </c>
      <c r="F133" s="434"/>
      <c r="G133" s="508">
        <f>F133*1.0152</f>
        <v>0</v>
      </c>
    </row>
    <row r="134" spans="1:7" ht="12">
      <c r="A134" s="876">
        <f>A133+1</f>
        <v>2423</v>
      </c>
      <c r="B134" s="191" t="str">
        <f>CONCATENATE("Correctie budget geïntegreerde Ribw's: bedrag ",Voorblad!E3-1," verhoogd met 1,52%")</f>
        <v>Correctie budget geïntegreerde Ribw's: bedrag 2003 verhoogd met 1,52%</v>
      </c>
      <c r="C134" s="726"/>
      <c r="D134" s="726"/>
      <c r="E134" s="1045" t="str">
        <f>CONCATENATE("AK op jaarbasis c.f. laatste rekenstaat ",Voorblad!E3-1,)</f>
        <v>AK op jaarbasis c.f. laatste rekenstaat 2003</v>
      </c>
      <c r="F134" s="434"/>
      <c r="G134" s="508">
        <f>F134*1.0152</f>
        <v>0</v>
      </c>
    </row>
    <row r="135" spans="1:7" ht="12">
      <c r="A135" s="876">
        <f>A134+1</f>
        <v>2424</v>
      </c>
      <c r="B135" s="191" t="s">
        <v>268</v>
      </c>
      <c r="C135" s="726"/>
      <c r="D135" s="726"/>
      <c r="E135" s="727"/>
      <c r="F135" s="728"/>
      <c r="G135" s="783"/>
    </row>
    <row r="136" spans="1:7" ht="12">
      <c r="A136" s="876">
        <f>A135+1</f>
        <v>2425</v>
      </c>
      <c r="B136" s="877" t="str">
        <f>CONCATENATE("Normatief werkkapitaal ((-/- 7,7% van (regel ",A132," + regel ",A133," + regel ",A134,")) + regel ",A135,")")</f>
        <v>Normatief werkkapitaal ((-/- 7,7% van (regel 2421 + regel 2422 + regel 2423)) + regel 2424)</v>
      </c>
      <c r="C136" s="878"/>
      <c r="D136" s="878"/>
      <c r="E136" s="134"/>
      <c r="F136" s="121"/>
      <c r="G136" s="879">
        <f>(-0.077*(G132-G133-G134))+G135</f>
        <v>0</v>
      </c>
    </row>
    <row r="137" spans="1:6" ht="11.25">
      <c r="A137" s="453"/>
      <c r="C137" s="453"/>
      <c r="D137" s="453"/>
      <c r="E137" s="453"/>
      <c r="F137" s="453"/>
    </row>
    <row r="138" ht="11.25">
      <c r="A138" s="931"/>
    </row>
    <row r="139" ht="11.25">
      <c r="A139" s="931"/>
    </row>
    <row r="140" ht="11.25">
      <c r="A140" s="931"/>
    </row>
    <row r="141" ht="11.25">
      <c r="A141" s="931"/>
    </row>
    <row r="142" spans="1:6" ht="11.25">
      <c r="A142" s="453"/>
      <c r="C142" s="453"/>
      <c r="D142" s="453"/>
      <c r="E142" s="453"/>
      <c r="F142" s="453"/>
    </row>
    <row r="143" spans="1:6" ht="11.25">
      <c r="A143" s="453"/>
      <c r="C143" s="453"/>
      <c r="D143" s="453"/>
      <c r="E143" s="453"/>
      <c r="F143" s="453"/>
    </row>
    <row r="144" spans="1:6" ht="11.25">
      <c r="A144" s="453"/>
      <c r="C144" s="453"/>
      <c r="D144" s="453"/>
      <c r="E144" s="453"/>
      <c r="F144" s="453"/>
    </row>
    <row r="145" spans="1:6" ht="11.25">
      <c r="A145" s="453"/>
      <c r="C145" s="453"/>
      <c r="D145" s="453"/>
      <c r="E145" s="453"/>
      <c r="F145" s="453"/>
    </row>
    <row r="146" spans="1:6" ht="11.25">
      <c r="A146" s="453"/>
      <c r="C146" s="453"/>
      <c r="D146" s="453"/>
      <c r="E146" s="453"/>
      <c r="F146" s="453"/>
    </row>
    <row r="147" spans="1:6" ht="11.25">
      <c r="A147" s="453"/>
      <c r="C147" s="453"/>
      <c r="D147" s="453"/>
      <c r="E147" s="453"/>
      <c r="F147" s="453"/>
    </row>
    <row r="148" spans="1:6" ht="11.25">
      <c r="A148" s="453"/>
      <c r="C148" s="453"/>
      <c r="D148" s="453"/>
      <c r="E148" s="453"/>
      <c r="F148" s="453"/>
    </row>
    <row r="149" spans="1:6" ht="11.25">
      <c r="A149" s="453"/>
      <c r="C149" s="453"/>
      <c r="D149" s="453"/>
      <c r="E149" s="453"/>
      <c r="F149" s="453"/>
    </row>
    <row r="150" spans="1:6" ht="11.25">
      <c r="A150" s="453"/>
      <c r="C150" s="453"/>
      <c r="D150" s="453"/>
      <c r="E150" s="453"/>
      <c r="F150" s="453"/>
    </row>
    <row r="151" spans="1:6" ht="11.25">
      <c r="A151" s="453"/>
      <c r="C151" s="453"/>
      <c r="D151" s="453"/>
      <c r="E151" s="453"/>
      <c r="F151" s="453"/>
    </row>
    <row r="152" spans="1:6" ht="11.25">
      <c r="A152" s="453"/>
      <c r="C152" s="453"/>
      <c r="D152" s="453"/>
      <c r="E152" s="453"/>
      <c r="F152" s="453"/>
    </row>
    <row r="153" spans="1:6" ht="11.25">
      <c r="A153" s="453"/>
      <c r="C153" s="453"/>
      <c r="D153" s="453"/>
      <c r="E153" s="453"/>
      <c r="F153" s="453"/>
    </row>
    <row r="154" spans="1:6" ht="11.25">
      <c r="A154" s="453"/>
      <c r="C154" s="453"/>
      <c r="D154" s="453"/>
      <c r="E154" s="453"/>
      <c r="F154" s="453"/>
    </row>
    <row r="155" spans="1:6" ht="11.25">
      <c r="A155" s="453"/>
      <c r="C155" s="453"/>
      <c r="D155" s="453"/>
      <c r="E155" s="453"/>
      <c r="F155" s="453"/>
    </row>
    <row r="156" spans="1:6" ht="11.25">
      <c r="A156" s="453"/>
      <c r="C156" s="453"/>
      <c r="D156" s="453"/>
      <c r="E156" s="453"/>
      <c r="F156" s="453"/>
    </row>
    <row r="157" spans="1:6" ht="11.25">
      <c r="A157" s="453"/>
      <c r="C157" s="453"/>
      <c r="D157" s="453"/>
      <c r="E157" s="453"/>
      <c r="F157" s="453"/>
    </row>
    <row r="158" spans="1:6" ht="11.25">
      <c r="A158" s="453"/>
      <c r="C158" s="453"/>
      <c r="D158" s="453"/>
      <c r="E158" s="453"/>
      <c r="F158" s="453"/>
    </row>
    <row r="159" spans="1:6" ht="11.25">
      <c r="A159" s="453"/>
      <c r="C159" s="453"/>
      <c r="D159" s="453"/>
      <c r="E159" s="453"/>
      <c r="F159" s="453"/>
    </row>
    <row r="160" spans="1:6" ht="11.25">
      <c r="A160" s="453"/>
      <c r="C160" s="453"/>
      <c r="D160" s="453"/>
      <c r="E160" s="453"/>
      <c r="F160" s="453"/>
    </row>
    <row r="161" spans="1:6" ht="11.25">
      <c r="A161" s="453"/>
      <c r="C161" s="453"/>
      <c r="D161" s="453"/>
      <c r="E161" s="453"/>
      <c r="F161" s="453"/>
    </row>
    <row r="162" spans="1:6" ht="11.25">
      <c r="A162" s="453"/>
      <c r="C162" s="453"/>
      <c r="D162" s="453"/>
      <c r="E162" s="453"/>
      <c r="F162" s="453"/>
    </row>
    <row r="163" spans="1:6" ht="11.25">
      <c r="A163" s="453"/>
      <c r="C163" s="453"/>
      <c r="D163" s="453"/>
      <c r="E163" s="453"/>
      <c r="F163" s="453"/>
    </row>
    <row r="164" spans="1:6" ht="11.25">
      <c r="A164" s="453"/>
      <c r="C164" s="453"/>
      <c r="D164" s="453"/>
      <c r="E164" s="453"/>
      <c r="F164" s="453"/>
    </row>
    <row r="165" spans="1:6" ht="11.25">
      <c r="A165" s="453"/>
      <c r="C165" s="453"/>
      <c r="D165" s="453"/>
      <c r="E165" s="453"/>
      <c r="F165" s="453"/>
    </row>
    <row r="166" spans="1:6" ht="11.25">
      <c r="A166" s="453"/>
      <c r="C166" s="453"/>
      <c r="D166" s="453"/>
      <c r="E166" s="453"/>
      <c r="F166" s="453"/>
    </row>
  </sheetData>
  <sheetProtection password="C281" sheet="1" objects="1" scenarios="1"/>
  <mergeCells count="3">
    <mergeCell ref="F7:G7"/>
    <mergeCell ref="F97:G97"/>
    <mergeCell ref="E51:G52"/>
  </mergeCells>
  <conditionalFormatting sqref="C118 E118 C25 E25">
    <cfRule type="cellIs" priority="1" dxfId="6" operator="notEqual" stopIfTrue="1">
      <formula>0</formula>
    </cfRule>
  </conditionalFormatting>
  <conditionalFormatting sqref="C54:C66 D55:D66 C9:D22 C77:C86 C99:C113 C115 D99:D100 D114 F133:F134 G135">
    <cfRule type="expression" priority="2" dxfId="2" stopIfTrue="1">
      <formula>$E$2=TRUE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2" manualBreakCount="2">
    <brk id="46" max="255" man="1"/>
    <brk id="91" max="255" man="1"/>
  </rowBreaks>
  <drawing r:id="rId1"/>
</worksheet>
</file>

<file path=xl/worksheets/sheet14.xml><?xml version="1.0" encoding="utf-8"?>
<worksheet xmlns="http://schemas.openxmlformats.org/spreadsheetml/2006/main" xmlns:r="http://schemas.openxmlformats.org/officeDocument/2006/relationships">
  <sheetPr codeName="Blad14"/>
  <dimension ref="A1:AN79"/>
  <sheetViews>
    <sheetView showGridLines="0" zoomScale="86" zoomScaleNormal="86" workbookViewId="0" topLeftCell="A1">
      <selection activeCell="B7" sqref="B7"/>
    </sheetView>
  </sheetViews>
  <sheetFormatPr defaultColWidth="9.140625" defaultRowHeight="12.75"/>
  <cols>
    <col min="1" max="1" width="5.7109375" style="474" customWidth="1"/>
    <col min="2" max="2" width="12.7109375" style="440" customWidth="1"/>
    <col min="3" max="3" width="9.7109375" style="440" customWidth="1"/>
    <col min="4" max="4" width="9.7109375" style="437" customWidth="1"/>
    <col min="5" max="7" width="5.8515625" style="440" customWidth="1"/>
    <col min="8" max="8" width="11.28125" style="436" customWidth="1"/>
    <col min="9" max="9" width="10.7109375" style="436" customWidth="1"/>
    <col min="10" max="10" width="3.7109375" style="436" customWidth="1"/>
    <col min="11" max="16" width="2.7109375" style="436" customWidth="1"/>
    <col min="17" max="18" width="11.28125" style="436" customWidth="1"/>
    <col min="19" max="19" width="10.28125" style="440" customWidth="1"/>
    <col min="20" max="20" width="12.140625" style="440" customWidth="1"/>
    <col min="21" max="21" width="0.13671875" style="440" hidden="1" customWidth="1"/>
    <col min="22" max="22" width="18.421875" style="440" hidden="1" customWidth="1"/>
    <col min="23" max="23" width="19.28125" style="440" hidden="1" customWidth="1"/>
    <col min="24" max="24" width="0.2890625" style="440" customWidth="1"/>
    <col min="25" max="25" width="0.13671875" style="440" hidden="1" customWidth="1"/>
    <col min="26" max="26" width="16.57421875" style="440" hidden="1" customWidth="1"/>
    <col min="27" max="27" width="0.13671875" style="440" hidden="1" customWidth="1"/>
    <col min="28" max="28" width="20.00390625" style="440" hidden="1" customWidth="1"/>
    <col min="29" max="29" width="15.421875" style="440" customWidth="1"/>
    <col min="30" max="30" width="13.7109375" style="440" customWidth="1"/>
    <col min="31" max="31" width="12.8515625" style="440" customWidth="1"/>
    <col min="32" max="32" width="13.28125" style="440" customWidth="1"/>
    <col min="33" max="33" width="12.421875" style="440" customWidth="1"/>
    <col min="34" max="34" width="12.8515625" style="440" customWidth="1"/>
    <col min="35" max="35" width="11.8515625" style="440" customWidth="1"/>
    <col min="36" max="40" width="10.28125" style="440" customWidth="1"/>
    <col min="41" max="16384" width="9.140625" style="440" customWidth="1"/>
  </cols>
  <sheetData>
    <row r="1" spans="1:27" ht="15.75" customHeight="1">
      <c r="A1" s="732"/>
      <c r="B1" s="707"/>
      <c r="C1" s="707"/>
      <c r="D1" s="2"/>
      <c r="E1" s="2"/>
      <c r="F1" s="2"/>
      <c r="G1" s="2"/>
      <c r="H1" s="2"/>
      <c r="I1" s="2"/>
      <c r="J1" s="2"/>
      <c r="K1" s="2"/>
      <c r="L1" s="2"/>
      <c r="M1" s="2"/>
      <c r="N1" s="2"/>
      <c r="O1" s="2"/>
      <c r="P1" s="2"/>
      <c r="Q1" s="2"/>
      <c r="R1" s="2"/>
      <c r="S1" s="707"/>
      <c r="T1" s="707"/>
      <c r="U1" s="441"/>
      <c r="V1" s="442"/>
      <c r="W1" s="441"/>
      <c r="X1" s="441"/>
      <c r="Y1" s="441"/>
      <c r="Z1" s="441"/>
      <c r="AA1" s="441"/>
    </row>
    <row r="2" spans="1:27" s="446" customFormat="1" ht="15.75" customHeight="1">
      <c r="A2" s="6" t="str">
        <f>CONCATENATE("Bijlage ",LEFT(A4,1)," bij het nacalculatieformulier ",Voorblad!$E$3," ",Voorblad!$A$5)</f>
        <v>Bijlage F bij het nacalculatieformulier 2004 GGZ-instellingen</v>
      </c>
      <c r="B2" s="7"/>
      <c r="C2" s="7"/>
      <c r="D2" s="7"/>
      <c r="E2" s="7"/>
      <c r="F2" s="7"/>
      <c r="G2" s="7"/>
      <c r="H2" s="7"/>
      <c r="I2" s="443"/>
      <c r="J2" s="8"/>
      <c r="K2" s="8"/>
      <c r="L2" s="700"/>
      <c r="M2" s="700"/>
      <c r="N2" s="8"/>
      <c r="O2" s="700"/>
      <c r="P2" s="700"/>
      <c r="Q2" s="8" t="b">
        <f>Voorblad!E28</f>
        <v>1</v>
      </c>
      <c r="R2" s="700"/>
      <c r="S2" s="700"/>
      <c r="T2" s="1306">
        <f>'A-E'!G93+1</f>
        <v>25</v>
      </c>
      <c r="U2" s="447"/>
      <c r="V2" s="448"/>
      <c r="W2" s="447"/>
      <c r="X2" s="447"/>
      <c r="Y2" s="447"/>
      <c r="Z2" s="447"/>
      <c r="AA2" s="447"/>
    </row>
    <row r="3" spans="3:20" s="453" customFormat="1" ht="12.75" customHeight="1">
      <c r="C3" s="733"/>
      <c r="D3" s="167"/>
      <c r="E3" s="733"/>
      <c r="F3" s="733"/>
      <c r="G3" s="733"/>
      <c r="H3" s="168"/>
      <c r="I3" s="168"/>
      <c r="J3" s="168"/>
      <c r="K3" s="168"/>
      <c r="L3" s="168"/>
      <c r="M3" s="168"/>
      <c r="N3" s="168"/>
      <c r="O3" s="168"/>
      <c r="P3" s="168"/>
      <c r="Q3" s="168"/>
      <c r="R3" s="168"/>
      <c r="S3" s="608"/>
      <c r="T3" s="608"/>
    </row>
    <row r="4" spans="1:39" s="514" customFormat="1" ht="12.75" customHeight="1">
      <c r="A4" s="677" t="s">
        <v>202</v>
      </c>
      <c r="B4" s="738" t="s">
        <v>205</v>
      </c>
      <c r="U4" s="619"/>
      <c r="V4" s="619"/>
      <c r="W4" s="619"/>
      <c r="X4" s="619"/>
      <c r="Y4" s="619"/>
      <c r="Z4" s="619"/>
      <c r="AA4" s="619"/>
      <c r="AB4" s="619"/>
      <c r="AC4" s="619"/>
      <c r="AD4" s="619"/>
      <c r="AE4" s="619"/>
      <c r="AF4" s="619"/>
      <c r="AG4" s="619"/>
      <c r="AH4" s="619"/>
      <c r="AI4" s="619"/>
      <c r="AJ4" s="619"/>
      <c r="AK4" s="619"/>
      <c r="AL4" s="619"/>
      <c r="AM4" s="619"/>
    </row>
    <row r="5" spans="1:20" s="515" customFormat="1" ht="12.75" customHeight="1">
      <c r="A5" s="169"/>
      <c r="B5" s="734" t="s">
        <v>78</v>
      </c>
      <c r="C5" s="735" t="s">
        <v>91</v>
      </c>
      <c r="D5" s="215" t="s">
        <v>437</v>
      </c>
      <c r="E5" s="215" t="s">
        <v>102</v>
      </c>
      <c r="F5" s="215" t="s">
        <v>66</v>
      </c>
      <c r="G5" s="215" t="s">
        <v>440</v>
      </c>
      <c r="H5" s="215" t="s">
        <v>79</v>
      </c>
      <c r="I5" s="1682" t="str">
        <f>CONCATENATE("Storting/Aflossing ",Voorblad!E3)</f>
        <v>Storting/Aflossing 2004</v>
      </c>
      <c r="J5" s="1686"/>
      <c r="K5" s="1686"/>
      <c r="L5" s="1686"/>
      <c r="M5" s="1686"/>
      <c r="N5" s="1686"/>
      <c r="O5" s="1686"/>
      <c r="P5" s="1687"/>
      <c r="Q5" s="735" t="s">
        <v>79</v>
      </c>
      <c r="R5" s="215" t="s">
        <v>107</v>
      </c>
      <c r="S5" s="1215" t="s">
        <v>516</v>
      </c>
      <c r="T5" s="1216" t="s">
        <v>443</v>
      </c>
    </row>
    <row r="6" spans="2:20" s="453" customFormat="1" ht="12.75" customHeight="1">
      <c r="B6" s="736"/>
      <c r="C6" s="737" t="s">
        <v>521</v>
      </c>
      <c r="D6" s="1234" t="s">
        <v>525</v>
      </c>
      <c r="E6" s="217" t="s">
        <v>438</v>
      </c>
      <c r="F6" s="217" t="s">
        <v>439</v>
      </c>
      <c r="G6" s="217" t="s">
        <v>441</v>
      </c>
      <c r="H6" s="218" t="str">
        <f>CONCATENATE("31-12-",Voorblad!E3-1," ")</f>
        <v>31-12-2003 </v>
      </c>
      <c r="I6" s="219" t="s">
        <v>104</v>
      </c>
      <c r="J6" s="220" t="s">
        <v>99</v>
      </c>
      <c r="K6" s="1682" t="s">
        <v>100</v>
      </c>
      <c r="L6" s="1683"/>
      <c r="M6" s="1683"/>
      <c r="N6" s="1683"/>
      <c r="O6" s="1683"/>
      <c r="P6" s="1684"/>
      <c r="Q6" s="218" t="str">
        <f>CONCATENATE("31-12-",Voorblad!E3," ")</f>
        <v>31-12-2004 </v>
      </c>
      <c r="R6" s="109" t="s">
        <v>522</v>
      </c>
      <c r="S6" s="1217" t="s">
        <v>442</v>
      </c>
      <c r="T6" s="1217" t="s">
        <v>712</v>
      </c>
    </row>
    <row r="7" spans="1:39" s="453" customFormat="1" ht="12.75" customHeight="1">
      <c r="A7" s="780">
        <f>(100*T2)+1</f>
        <v>2501</v>
      </c>
      <c r="B7" s="885"/>
      <c r="C7" s="573"/>
      <c r="D7" s="573"/>
      <c r="E7" s="525"/>
      <c r="F7" s="525"/>
      <c r="G7" s="1014"/>
      <c r="H7" s="609"/>
      <c r="I7" s="609"/>
      <c r="J7" s="517"/>
      <c r="K7" s="517"/>
      <c r="L7" s="517"/>
      <c r="M7" s="517"/>
      <c r="N7" s="517"/>
      <c r="O7" s="517"/>
      <c r="P7" s="517"/>
      <c r="Q7" s="613">
        <f>H7-AB7</f>
        <v>0</v>
      </c>
      <c r="R7" s="612">
        <f aca="true" t="shared" si="0" ref="R7:R32">R45</f>
        <v>0</v>
      </c>
      <c r="S7" s="613">
        <f>R7*F7/100</f>
        <v>0</v>
      </c>
      <c r="T7" s="612">
        <f>IF(G7="n",S7,E7/100*R7)</f>
        <v>0</v>
      </c>
      <c r="U7" s="615">
        <f aca="true" t="shared" si="1" ref="U7:Z7">IF(K7&gt;0,1,0)</f>
        <v>0</v>
      </c>
      <c r="V7" s="615">
        <f t="shared" si="1"/>
        <v>0</v>
      </c>
      <c r="W7" s="615">
        <f t="shared" si="1"/>
        <v>0</v>
      </c>
      <c r="X7" s="615">
        <f t="shared" si="1"/>
        <v>0</v>
      </c>
      <c r="Y7" s="615">
        <f t="shared" si="1"/>
        <v>0</v>
      </c>
      <c r="Z7" s="615">
        <f t="shared" si="1"/>
        <v>0</v>
      </c>
      <c r="AA7" s="615">
        <f>SUM(U7:Z7)</f>
        <v>0</v>
      </c>
      <c r="AB7" s="615">
        <f>AA7*I7</f>
        <v>0</v>
      </c>
      <c r="AC7"/>
      <c r="AD7"/>
      <c r="AE7"/>
      <c r="AF7"/>
      <c r="AG7"/>
      <c r="AH7"/>
      <c r="AI7"/>
      <c r="AJ7" s="614"/>
      <c r="AK7" s="614"/>
      <c r="AL7" s="614"/>
      <c r="AM7" s="614"/>
    </row>
    <row r="8" spans="1:39" s="453" customFormat="1" ht="12.75" customHeight="1">
      <c r="A8" s="780">
        <f>A7+1</f>
        <v>2502</v>
      </c>
      <c r="B8" s="885"/>
      <c r="C8" s="573"/>
      <c r="D8" s="573"/>
      <c r="E8" s="525"/>
      <c r="F8" s="525"/>
      <c r="G8" s="1014"/>
      <c r="H8" s="609"/>
      <c r="I8" s="609"/>
      <c r="J8" s="517"/>
      <c r="K8" s="517"/>
      <c r="L8" s="517"/>
      <c r="M8" s="517"/>
      <c r="N8" s="517"/>
      <c r="O8" s="517"/>
      <c r="P8" s="517"/>
      <c r="Q8" s="613">
        <f aca="true" t="shared" si="2" ref="Q8:Q32">H8-AB8</f>
        <v>0</v>
      </c>
      <c r="R8" s="612">
        <f t="shared" si="0"/>
        <v>0</v>
      </c>
      <c r="S8" s="613">
        <f>R8*F8/100</f>
        <v>0</v>
      </c>
      <c r="T8" s="612">
        <f aca="true" t="shared" si="3" ref="T8:T32">IF(G8="n",S8,E8/100*R8)</f>
        <v>0</v>
      </c>
      <c r="U8" s="615">
        <f aca="true" t="shared" si="4" ref="U8:U33">IF(K8&gt;0,1,0)</f>
        <v>0</v>
      </c>
      <c r="V8" s="615">
        <f aca="true" t="shared" si="5" ref="V8:V32">IF(L8&gt;0,1,0)</f>
        <v>0</v>
      </c>
      <c r="W8" s="615">
        <f aca="true" t="shared" si="6" ref="W8:W32">IF(M8&gt;0,1,0)</f>
        <v>0</v>
      </c>
      <c r="X8" s="615">
        <f aca="true" t="shared" si="7" ref="X8:X32">IF(N8&gt;0,1,0)</f>
        <v>0</v>
      </c>
      <c r="Y8" s="615">
        <f aca="true" t="shared" si="8" ref="Y8:Y32">IF(O8&gt;0,1,0)</f>
        <v>0</v>
      </c>
      <c r="Z8" s="615">
        <f aca="true" t="shared" si="9" ref="Z8:Z32">IF(P8&gt;0,1,0)</f>
        <v>0</v>
      </c>
      <c r="AA8" s="615">
        <f aca="true" t="shared" si="10" ref="AA8:AA32">SUM(U8:Z8)</f>
        <v>0</v>
      </c>
      <c r="AB8" s="615">
        <f aca="true" t="shared" si="11" ref="AB8:AB32">AA8*I8</f>
        <v>0</v>
      </c>
      <c r="AC8"/>
      <c r="AD8"/>
      <c r="AE8"/>
      <c r="AF8"/>
      <c r="AG8"/>
      <c r="AH8"/>
      <c r="AI8"/>
      <c r="AJ8" s="614"/>
      <c r="AK8" s="614"/>
      <c r="AL8" s="614"/>
      <c r="AM8" s="614"/>
    </row>
    <row r="9" spans="1:39" s="453" customFormat="1" ht="12.75" customHeight="1">
      <c r="A9" s="780">
        <f>A8+1</f>
        <v>2503</v>
      </c>
      <c r="B9" s="885"/>
      <c r="C9" s="573"/>
      <c r="D9" s="573"/>
      <c r="E9" s="525"/>
      <c r="F9" s="525"/>
      <c r="G9" s="1014"/>
      <c r="H9" s="609"/>
      <c r="I9" s="609"/>
      <c r="J9" s="517"/>
      <c r="K9" s="517"/>
      <c r="L9" s="517"/>
      <c r="M9" s="517"/>
      <c r="N9" s="517"/>
      <c r="O9" s="517"/>
      <c r="P9" s="517"/>
      <c r="Q9" s="613">
        <f t="shared" si="2"/>
        <v>0</v>
      </c>
      <c r="R9" s="612">
        <f t="shared" si="0"/>
        <v>0</v>
      </c>
      <c r="S9" s="613">
        <f aca="true" t="shared" si="12" ref="S9:S32">R9*F9/100</f>
        <v>0</v>
      </c>
      <c r="T9" s="612">
        <f t="shared" si="3"/>
        <v>0</v>
      </c>
      <c r="U9" s="615">
        <f t="shared" si="4"/>
        <v>0</v>
      </c>
      <c r="V9" s="615">
        <f t="shared" si="5"/>
        <v>0</v>
      </c>
      <c r="W9" s="615">
        <f t="shared" si="6"/>
        <v>0</v>
      </c>
      <c r="X9" s="615">
        <f t="shared" si="7"/>
        <v>0</v>
      </c>
      <c r="Y9" s="615">
        <f t="shared" si="8"/>
        <v>0</v>
      </c>
      <c r="Z9" s="615">
        <f t="shared" si="9"/>
        <v>0</v>
      </c>
      <c r="AA9" s="615">
        <f t="shared" si="10"/>
        <v>0</v>
      </c>
      <c r="AB9" s="615">
        <f t="shared" si="11"/>
        <v>0</v>
      </c>
      <c r="AC9"/>
      <c r="AD9"/>
      <c r="AE9"/>
      <c r="AF9"/>
      <c r="AG9"/>
      <c r="AH9"/>
      <c r="AI9"/>
      <c r="AJ9" s="614"/>
      <c r="AK9" s="614"/>
      <c r="AL9" s="614"/>
      <c r="AM9" s="614"/>
    </row>
    <row r="10" spans="1:39" s="453" customFormat="1" ht="12.75" customHeight="1">
      <c r="A10" s="780">
        <f aca="true" t="shared" si="13" ref="A10:A16">A9+1</f>
        <v>2504</v>
      </c>
      <c r="B10" s="885"/>
      <c r="C10" s="573"/>
      <c r="D10" s="573"/>
      <c r="E10" s="525"/>
      <c r="F10" s="572"/>
      <c r="G10" s="1014"/>
      <c r="H10" s="609"/>
      <c r="I10" s="609"/>
      <c r="J10" s="517"/>
      <c r="K10" s="517"/>
      <c r="L10" s="517"/>
      <c r="M10" s="517"/>
      <c r="N10" s="517"/>
      <c r="O10" s="517"/>
      <c r="P10" s="517"/>
      <c r="Q10" s="613">
        <f t="shared" si="2"/>
        <v>0</v>
      </c>
      <c r="R10" s="612">
        <f t="shared" si="0"/>
        <v>0</v>
      </c>
      <c r="S10" s="613">
        <f t="shared" si="12"/>
        <v>0</v>
      </c>
      <c r="T10" s="612">
        <f t="shared" si="3"/>
        <v>0</v>
      </c>
      <c r="U10" s="615">
        <f t="shared" si="4"/>
        <v>0</v>
      </c>
      <c r="V10" s="615">
        <f t="shared" si="5"/>
        <v>0</v>
      </c>
      <c r="W10" s="615">
        <f t="shared" si="6"/>
        <v>0</v>
      </c>
      <c r="X10" s="615">
        <f t="shared" si="7"/>
        <v>0</v>
      </c>
      <c r="Y10" s="615">
        <f t="shared" si="8"/>
        <v>0</v>
      </c>
      <c r="Z10" s="615">
        <f t="shared" si="9"/>
        <v>0</v>
      </c>
      <c r="AA10" s="615">
        <f t="shared" si="10"/>
        <v>0</v>
      </c>
      <c r="AB10" s="615">
        <f t="shared" si="11"/>
        <v>0</v>
      </c>
      <c r="AC10"/>
      <c r="AD10"/>
      <c r="AE10"/>
      <c r="AF10"/>
      <c r="AG10"/>
      <c r="AH10"/>
      <c r="AI10"/>
      <c r="AJ10" s="614"/>
      <c r="AK10" s="614"/>
      <c r="AL10" s="614"/>
      <c r="AM10" s="614"/>
    </row>
    <row r="11" spans="1:39" s="453" customFormat="1" ht="12.75" customHeight="1">
      <c r="A11" s="780">
        <f t="shared" si="13"/>
        <v>2505</v>
      </c>
      <c r="B11" s="885"/>
      <c r="C11" s="573"/>
      <c r="D11" s="573"/>
      <c r="E11" s="525"/>
      <c r="F11" s="572"/>
      <c r="G11" s="1014"/>
      <c r="H11" s="609"/>
      <c r="I11" s="609"/>
      <c r="J11" s="517"/>
      <c r="K11" s="517"/>
      <c r="L11" s="517"/>
      <c r="M11" s="517"/>
      <c r="N11" s="517"/>
      <c r="O11" s="517"/>
      <c r="P11" s="517"/>
      <c r="Q11" s="613">
        <f t="shared" si="2"/>
        <v>0</v>
      </c>
      <c r="R11" s="612">
        <f t="shared" si="0"/>
        <v>0</v>
      </c>
      <c r="S11" s="613">
        <f t="shared" si="12"/>
        <v>0</v>
      </c>
      <c r="T11" s="612">
        <f t="shared" si="3"/>
        <v>0</v>
      </c>
      <c r="U11" s="615">
        <f t="shared" si="4"/>
        <v>0</v>
      </c>
      <c r="V11" s="615">
        <f t="shared" si="5"/>
        <v>0</v>
      </c>
      <c r="W11" s="615">
        <f t="shared" si="6"/>
        <v>0</v>
      </c>
      <c r="X11" s="615">
        <f t="shared" si="7"/>
        <v>0</v>
      </c>
      <c r="Y11" s="615">
        <f t="shared" si="8"/>
        <v>0</v>
      </c>
      <c r="Z11" s="615">
        <f t="shared" si="9"/>
        <v>0</v>
      </c>
      <c r="AA11" s="615">
        <f t="shared" si="10"/>
        <v>0</v>
      </c>
      <c r="AB11" s="615">
        <f t="shared" si="11"/>
        <v>0</v>
      </c>
      <c r="AC11"/>
      <c r="AD11"/>
      <c r="AE11"/>
      <c r="AF11"/>
      <c r="AG11"/>
      <c r="AH11"/>
      <c r="AI11"/>
      <c r="AJ11" s="614"/>
      <c r="AK11" s="614"/>
      <c r="AL11" s="614"/>
      <c r="AM11" s="614"/>
    </row>
    <row r="12" spans="1:39" s="453" customFormat="1" ht="12.75" customHeight="1">
      <c r="A12" s="780">
        <f t="shared" si="13"/>
        <v>2506</v>
      </c>
      <c r="B12" s="885"/>
      <c r="C12" s="573"/>
      <c r="D12" s="573"/>
      <c r="E12" s="525"/>
      <c r="F12" s="572"/>
      <c r="G12" s="1014"/>
      <c r="H12" s="609"/>
      <c r="I12" s="609"/>
      <c r="J12" s="517"/>
      <c r="K12" s="517"/>
      <c r="L12" s="517"/>
      <c r="M12" s="517"/>
      <c r="N12" s="517"/>
      <c r="O12" s="517"/>
      <c r="P12" s="517"/>
      <c r="Q12" s="613">
        <f t="shared" si="2"/>
        <v>0</v>
      </c>
      <c r="R12" s="612">
        <f t="shared" si="0"/>
        <v>0</v>
      </c>
      <c r="S12" s="613">
        <f t="shared" si="12"/>
        <v>0</v>
      </c>
      <c r="T12" s="612">
        <f t="shared" si="3"/>
        <v>0</v>
      </c>
      <c r="U12" s="615">
        <f t="shared" si="4"/>
        <v>0</v>
      </c>
      <c r="V12" s="615">
        <f t="shared" si="5"/>
        <v>0</v>
      </c>
      <c r="W12" s="615">
        <f t="shared" si="6"/>
        <v>0</v>
      </c>
      <c r="X12" s="615">
        <f t="shared" si="7"/>
        <v>0</v>
      </c>
      <c r="Y12" s="615">
        <f t="shared" si="8"/>
        <v>0</v>
      </c>
      <c r="Z12" s="615">
        <f t="shared" si="9"/>
        <v>0</v>
      </c>
      <c r="AA12" s="615">
        <f t="shared" si="10"/>
        <v>0</v>
      </c>
      <c r="AB12" s="615">
        <f t="shared" si="11"/>
        <v>0</v>
      </c>
      <c r="AC12"/>
      <c r="AD12"/>
      <c r="AE12"/>
      <c r="AF12"/>
      <c r="AG12"/>
      <c r="AH12"/>
      <c r="AI12"/>
      <c r="AJ12" s="614"/>
      <c r="AK12" s="614"/>
      <c r="AL12" s="614"/>
      <c r="AM12" s="614"/>
    </row>
    <row r="13" spans="1:39" s="453" customFormat="1" ht="12.75" customHeight="1">
      <c r="A13" s="780">
        <f t="shared" si="13"/>
        <v>2507</v>
      </c>
      <c r="B13" s="885"/>
      <c r="C13" s="573"/>
      <c r="D13" s="573"/>
      <c r="E13" s="525"/>
      <c r="F13" s="572"/>
      <c r="G13" s="1014"/>
      <c r="H13" s="609"/>
      <c r="I13" s="609"/>
      <c r="J13" s="517"/>
      <c r="K13" s="517"/>
      <c r="L13" s="517"/>
      <c r="M13" s="517"/>
      <c r="N13" s="517"/>
      <c r="O13" s="517"/>
      <c r="P13" s="517"/>
      <c r="Q13" s="613">
        <f t="shared" si="2"/>
        <v>0</v>
      </c>
      <c r="R13" s="612">
        <f t="shared" si="0"/>
        <v>0</v>
      </c>
      <c r="S13" s="613">
        <f t="shared" si="12"/>
        <v>0</v>
      </c>
      <c r="T13" s="612">
        <f t="shared" si="3"/>
        <v>0</v>
      </c>
      <c r="U13" s="615">
        <f t="shared" si="4"/>
        <v>0</v>
      </c>
      <c r="V13" s="615">
        <f t="shared" si="5"/>
        <v>0</v>
      </c>
      <c r="W13" s="615">
        <f t="shared" si="6"/>
        <v>0</v>
      </c>
      <c r="X13" s="615">
        <f t="shared" si="7"/>
        <v>0</v>
      </c>
      <c r="Y13" s="615">
        <f t="shared" si="8"/>
        <v>0</v>
      </c>
      <c r="Z13" s="615">
        <f t="shared" si="9"/>
        <v>0</v>
      </c>
      <c r="AA13" s="615">
        <f t="shared" si="10"/>
        <v>0</v>
      </c>
      <c r="AB13" s="615">
        <f t="shared" si="11"/>
        <v>0</v>
      </c>
      <c r="AC13"/>
      <c r="AD13"/>
      <c r="AE13"/>
      <c r="AF13"/>
      <c r="AG13"/>
      <c r="AH13"/>
      <c r="AI13"/>
      <c r="AJ13" s="614"/>
      <c r="AK13" s="614"/>
      <c r="AL13" s="614"/>
      <c r="AM13" s="614"/>
    </row>
    <row r="14" spans="1:39" s="453" customFormat="1" ht="12.75" customHeight="1">
      <c r="A14" s="780">
        <f t="shared" si="13"/>
        <v>2508</v>
      </c>
      <c r="B14" s="885"/>
      <c r="C14" s="573"/>
      <c r="D14" s="573"/>
      <c r="E14" s="525"/>
      <c r="F14" s="572"/>
      <c r="G14" s="1014"/>
      <c r="H14" s="609"/>
      <c r="I14" s="609"/>
      <c r="J14" s="517"/>
      <c r="K14" s="517"/>
      <c r="L14" s="517"/>
      <c r="M14" s="517"/>
      <c r="N14" s="517"/>
      <c r="O14" s="517"/>
      <c r="P14" s="517"/>
      <c r="Q14" s="613">
        <f t="shared" si="2"/>
        <v>0</v>
      </c>
      <c r="R14" s="612">
        <f t="shared" si="0"/>
        <v>0</v>
      </c>
      <c r="S14" s="613">
        <f t="shared" si="12"/>
        <v>0</v>
      </c>
      <c r="T14" s="612">
        <f t="shared" si="3"/>
        <v>0</v>
      </c>
      <c r="U14" s="615">
        <f t="shared" si="4"/>
        <v>0</v>
      </c>
      <c r="V14" s="615">
        <f t="shared" si="5"/>
        <v>0</v>
      </c>
      <c r="W14" s="615">
        <f t="shared" si="6"/>
        <v>0</v>
      </c>
      <c r="X14" s="615">
        <f t="shared" si="7"/>
        <v>0</v>
      </c>
      <c r="Y14" s="615">
        <f t="shared" si="8"/>
        <v>0</v>
      </c>
      <c r="Z14" s="615">
        <f t="shared" si="9"/>
        <v>0</v>
      </c>
      <c r="AA14" s="615">
        <f t="shared" si="10"/>
        <v>0</v>
      </c>
      <c r="AB14" s="615">
        <f t="shared" si="11"/>
        <v>0</v>
      </c>
      <c r="AC14"/>
      <c r="AD14"/>
      <c r="AE14"/>
      <c r="AF14"/>
      <c r="AG14"/>
      <c r="AH14"/>
      <c r="AI14"/>
      <c r="AJ14" s="614"/>
      <c r="AK14" s="614"/>
      <c r="AL14" s="614"/>
      <c r="AM14" s="614"/>
    </row>
    <row r="15" spans="1:39" s="453" customFormat="1" ht="12.75" customHeight="1">
      <c r="A15" s="780">
        <f t="shared" si="13"/>
        <v>2509</v>
      </c>
      <c r="B15" s="885"/>
      <c r="C15" s="573"/>
      <c r="D15" s="573"/>
      <c r="E15" s="525"/>
      <c r="F15" s="572"/>
      <c r="G15" s="1014"/>
      <c r="H15" s="609"/>
      <c r="I15" s="609"/>
      <c r="J15" s="517"/>
      <c r="K15" s="517"/>
      <c r="L15" s="517"/>
      <c r="M15" s="517"/>
      <c r="N15" s="517"/>
      <c r="O15" s="517"/>
      <c r="P15" s="517"/>
      <c r="Q15" s="613">
        <f t="shared" si="2"/>
        <v>0</v>
      </c>
      <c r="R15" s="612">
        <f t="shared" si="0"/>
        <v>0</v>
      </c>
      <c r="S15" s="613">
        <f t="shared" si="12"/>
        <v>0</v>
      </c>
      <c r="T15" s="612">
        <f t="shared" si="3"/>
        <v>0</v>
      </c>
      <c r="U15" s="615">
        <f t="shared" si="4"/>
        <v>0</v>
      </c>
      <c r="V15" s="615">
        <f t="shared" si="5"/>
        <v>0</v>
      </c>
      <c r="W15" s="615">
        <f t="shared" si="6"/>
        <v>0</v>
      </c>
      <c r="X15" s="615">
        <f t="shared" si="7"/>
        <v>0</v>
      </c>
      <c r="Y15" s="615">
        <f t="shared" si="8"/>
        <v>0</v>
      </c>
      <c r="Z15" s="615">
        <f t="shared" si="9"/>
        <v>0</v>
      </c>
      <c r="AA15" s="615">
        <f t="shared" si="10"/>
        <v>0</v>
      </c>
      <c r="AB15" s="615">
        <f t="shared" si="11"/>
        <v>0</v>
      </c>
      <c r="AC15"/>
      <c r="AD15"/>
      <c r="AE15"/>
      <c r="AF15"/>
      <c r="AG15"/>
      <c r="AH15"/>
      <c r="AI15"/>
      <c r="AJ15" s="614"/>
      <c r="AK15" s="614"/>
      <c r="AL15" s="614"/>
      <c r="AM15" s="614"/>
    </row>
    <row r="16" spans="1:39" s="453" customFormat="1" ht="12.75" customHeight="1">
      <c r="A16" s="780">
        <f t="shared" si="13"/>
        <v>2510</v>
      </c>
      <c r="B16" s="885"/>
      <c r="C16" s="573"/>
      <c r="D16" s="573"/>
      <c r="E16" s="525"/>
      <c r="F16" s="572"/>
      <c r="G16" s="1014"/>
      <c r="H16" s="609"/>
      <c r="I16" s="609"/>
      <c r="J16" s="517"/>
      <c r="K16" s="517"/>
      <c r="L16" s="517"/>
      <c r="M16" s="517"/>
      <c r="N16" s="517"/>
      <c r="O16" s="517"/>
      <c r="P16" s="517"/>
      <c r="Q16" s="613">
        <f t="shared" si="2"/>
        <v>0</v>
      </c>
      <c r="R16" s="612">
        <f t="shared" si="0"/>
        <v>0</v>
      </c>
      <c r="S16" s="613">
        <f t="shared" si="12"/>
        <v>0</v>
      </c>
      <c r="T16" s="612">
        <f t="shared" si="3"/>
        <v>0</v>
      </c>
      <c r="U16" s="615">
        <f t="shared" si="4"/>
        <v>0</v>
      </c>
      <c r="V16" s="615">
        <f t="shared" si="5"/>
        <v>0</v>
      </c>
      <c r="W16" s="615">
        <f t="shared" si="6"/>
        <v>0</v>
      </c>
      <c r="X16" s="615">
        <f t="shared" si="7"/>
        <v>0</v>
      </c>
      <c r="Y16" s="615">
        <f t="shared" si="8"/>
        <v>0</v>
      </c>
      <c r="Z16" s="615">
        <f t="shared" si="9"/>
        <v>0</v>
      </c>
      <c r="AA16" s="615">
        <f t="shared" si="10"/>
        <v>0</v>
      </c>
      <c r="AB16" s="615">
        <f t="shared" si="11"/>
        <v>0</v>
      </c>
      <c r="AC16"/>
      <c r="AD16"/>
      <c r="AE16"/>
      <c r="AF16"/>
      <c r="AG16"/>
      <c r="AH16"/>
      <c r="AI16"/>
      <c r="AJ16" s="614"/>
      <c r="AK16" s="614"/>
      <c r="AL16" s="614"/>
      <c r="AM16" s="614"/>
    </row>
    <row r="17" spans="1:39" s="453" customFormat="1" ht="12.75" customHeight="1">
      <c r="A17" s="780">
        <f aca="true" t="shared" si="14" ref="A17:A22">A16+1</f>
        <v>2511</v>
      </c>
      <c r="B17" s="885"/>
      <c r="C17" s="573"/>
      <c r="D17" s="573"/>
      <c r="E17" s="525"/>
      <c r="F17" s="572"/>
      <c r="G17" s="1014"/>
      <c r="H17" s="609"/>
      <c r="I17" s="609"/>
      <c r="J17" s="517"/>
      <c r="K17" s="517"/>
      <c r="L17" s="517"/>
      <c r="M17" s="517"/>
      <c r="N17" s="517"/>
      <c r="O17" s="517"/>
      <c r="P17" s="517"/>
      <c r="Q17" s="613">
        <f t="shared" si="2"/>
        <v>0</v>
      </c>
      <c r="R17" s="612">
        <f t="shared" si="0"/>
        <v>0</v>
      </c>
      <c r="S17" s="613">
        <f t="shared" si="12"/>
        <v>0</v>
      </c>
      <c r="T17" s="612">
        <f t="shared" si="3"/>
        <v>0</v>
      </c>
      <c r="U17" s="615">
        <f t="shared" si="4"/>
        <v>0</v>
      </c>
      <c r="V17" s="615">
        <f t="shared" si="5"/>
        <v>0</v>
      </c>
      <c r="W17" s="615">
        <f t="shared" si="6"/>
        <v>0</v>
      </c>
      <c r="X17" s="615">
        <f t="shared" si="7"/>
        <v>0</v>
      </c>
      <c r="Y17" s="615">
        <f t="shared" si="8"/>
        <v>0</v>
      </c>
      <c r="Z17" s="615">
        <f t="shared" si="9"/>
        <v>0</v>
      </c>
      <c r="AA17" s="615">
        <f t="shared" si="10"/>
        <v>0</v>
      </c>
      <c r="AB17" s="615">
        <f t="shared" si="11"/>
        <v>0</v>
      </c>
      <c r="AC17"/>
      <c r="AD17"/>
      <c r="AE17"/>
      <c r="AF17"/>
      <c r="AG17"/>
      <c r="AH17"/>
      <c r="AI17"/>
      <c r="AJ17" s="614"/>
      <c r="AK17" s="614"/>
      <c r="AL17" s="614"/>
      <c r="AM17" s="614"/>
    </row>
    <row r="18" spans="1:39" s="453" customFormat="1" ht="12.75" customHeight="1">
      <c r="A18" s="780">
        <f t="shared" si="14"/>
        <v>2512</v>
      </c>
      <c r="B18" s="885"/>
      <c r="C18" s="573"/>
      <c r="D18" s="573"/>
      <c r="E18" s="525"/>
      <c r="F18" s="572"/>
      <c r="G18" s="1014"/>
      <c r="H18" s="609"/>
      <c r="I18" s="609"/>
      <c r="J18" s="517"/>
      <c r="K18" s="517"/>
      <c r="L18" s="517"/>
      <c r="M18" s="517"/>
      <c r="N18" s="517"/>
      <c r="O18" s="517"/>
      <c r="P18" s="517"/>
      <c r="Q18" s="613">
        <f t="shared" si="2"/>
        <v>0</v>
      </c>
      <c r="R18" s="612">
        <f t="shared" si="0"/>
        <v>0</v>
      </c>
      <c r="S18" s="613">
        <f t="shared" si="12"/>
        <v>0</v>
      </c>
      <c r="T18" s="612">
        <f t="shared" si="3"/>
        <v>0</v>
      </c>
      <c r="U18" s="615">
        <f t="shared" si="4"/>
        <v>0</v>
      </c>
      <c r="V18" s="615">
        <f t="shared" si="5"/>
        <v>0</v>
      </c>
      <c r="W18" s="615">
        <f t="shared" si="6"/>
        <v>0</v>
      </c>
      <c r="X18" s="615">
        <f t="shared" si="7"/>
        <v>0</v>
      </c>
      <c r="Y18" s="615">
        <f t="shared" si="8"/>
        <v>0</v>
      </c>
      <c r="Z18" s="615">
        <f t="shared" si="9"/>
        <v>0</v>
      </c>
      <c r="AA18" s="615">
        <f t="shared" si="10"/>
        <v>0</v>
      </c>
      <c r="AB18" s="615">
        <f t="shared" si="11"/>
        <v>0</v>
      </c>
      <c r="AC18"/>
      <c r="AD18"/>
      <c r="AE18"/>
      <c r="AF18"/>
      <c r="AG18"/>
      <c r="AH18"/>
      <c r="AI18"/>
      <c r="AJ18" s="614"/>
      <c r="AK18" s="614"/>
      <c r="AL18" s="614"/>
      <c r="AM18" s="614"/>
    </row>
    <row r="19" spans="1:39" s="453" customFormat="1" ht="12.75" customHeight="1">
      <c r="A19" s="780">
        <f t="shared" si="14"/>
        <v>2513</v>
      </c>
      <c r="B19" s="885"/>
      <c r="C19" s="573"/>
      <c r="D19" s="573"/>
      <c r="E19" s="525"/>
      <c r="F19" s="572"/>
      <c r="G19" s="1014"/>
      <c r="H19" s="609"/>
      <c r="I19" s="609"/>
      <c r="J19" s="517"/>
      <c r="K19" s="517"/>
      <c r="L19" s="517"/>
      <c r="M19" s="517"/>
      <c r="N19" s="517"/>
      <c r="O19" s="517"/>
      <c r="P19" s="517"/>
      <c r="Q19" s="613">
        <f t="shared" si="2"/>
        <v>0</v>
      </c>
      <c r="R19" s="612">
        <f t="shared" si="0"/>
        <v>0</v>
      </c>
      <c r="S19" s="613">
        <f t="shared" si="12"/>
        <v>0</v>
      </c>
      <c r="T19" s="612">
        <f t="shared" si="3"/>
        <v>0</v>
      </c>
      <c r="U19" s="615">
        <f t="shared" si="4"/>
        <v>0</v>
      </c>
      <c r="V19" s="615">
        <f t="shared" si="5"/>
        <v>0</v>
      </c>
      <c r="W19" s="615">
        <f t="shared" si="6"/>
        <v>0</v>
      </c>
      <c r="X19" s="615">
        <f t="shared" si="7"/>
        <v>0</v>
      </c>
      <c r="Y19" s="615">
        <f t="shared" si="8"/>
        <v>0</v>
      </c>
      <c r="Z19" s="615">
        <f t="shared" si="9"/>
        <v>0</v>
      </c>
      <c r="AA19" s="615">
        <f t="shared" si="10"/>
        <v>0</v>
      </c>
      <c r="AB19" s="615">
        <f t="shared" si="11"/>
        <v>0</v>
      </c>
      <c r="AC19"/>
      <c r="AD19"/>
      <c r="AE19"/>
      <c r="AF19"/>
      <c r="AG19"/>
      <c r="AH19"/>
      <c r="AI19"/>
      <c r="AJ19" s="614"/>
      <c r="AK19" s="614"/>
      <c r="AL19" s="614"/>
      <c r="AM19" s="614"/>
    </row>
    <row r="20" spans="1:39" s="453" customFormat="1" ht="12.75" customHeight="1">
      <c r="A20" s="780">
        <f t="shared" si="14"/>
        <v>2514</v>
      </c>
      <c r="B20" s="885"/>
      <c r="C20" s="573"/>
      <c r="D20" s="573"/>
      <c r="E20" s="525"/>
      <c r="F20" s="572"/>
      <c r="G20" s="1014"/>
      <c r="H20" s="609"/>
      <c r="I20" s="609"/>
      <c r="J20" s="517"/>
      <c r="K20" s="517"/>
      <c r="L20" s="517"/>
      <c r="M20" s="517"/>
      <c r="N20" s="517"/>
      <c r="O20" s="517"/>
      <c r="P20" s="517"/>
      <c r="Q20" s="613">
        <f t="shared" si="2"/>
        <v>0</v>
      </c>
      <c r="R20" s="612">
        <f t="shared" si="0"/>
        <v>0</v>
      </c>
      <c r="S20" s="613">
        <f t="shared" si="12"/>
        <v>0</v>
      </c>
      <c r="T20" s="612">
        <f t="shared" si="3"/>
        <v>0</v>
      </c>
      <c r="U20" s="615">
        <f t="shared" si="4"/>
        <v>0</v>
      </c>
      <c r="V20" s="615">
        <f t="shared" si="5"/>
        <v>0</v>
      </c>
      <c r="W20" s="615">
        <f t="shared" si="6"/>
        <v>0</v>
      </c>
      <c r="X20" s="615">
        <f t="shared" si="7"/>
        <v>0</v>
      </c>
      <c r="Y20" s="615">
        <f t="shared" si="8"/>
        <v>0</v>
      </c>
      <c r="Z20" s="615">
        <f t="shared" si="9"/>
        <v>0</v>
      </c>
      <c r="AA20" s="615">
        <f t="shared" si="10"/>
        <v>0</v>
      </c>
      <c r="AB20" s="615">
        <f t="shared" si="11"/>
        <v>0</v>
      </c>
      <c r="AC20"/>
      <c r="AD20"/>
      <c r="AE20"/>
      <c r="AF20"/>
      <c r="AG20"/>
      <c r="AH20"/>
      <c r="AI20"/>
      <c r="AJ20" s="614"/>
      <c r="AK20" s="614"/>
      <c r="AL20" s="614"/>
      <c r="AM20" s="614"/>
    </row>
    <row r="21" spans="1:39" s="453" customFormat="1" ht="12.75" customHeight="1">
      <c r="A21" s="780">
        <f t="shared" si="14"/>
        <v>2515</v>
      </c>
      <c r="B21" s="885"/>
      <c r="C21" s="573"/>
      <c r="D21" s="573"/>
      <c r="E21" s="525"/>
      <c r="F21" s="572"/>
      <c r="G21" s="1014"/>
      <c r="H21" s="609"/>
      <c r="I21" s="609"/>
      <c r="J21" s="517"/>
      <c r="K21" s="517"/>
      <c r="L21" s="517"/>
      <c r="M21" s="517"/>
      <c r="N21" s="517"/>
      <c r="O21" s="517"/>
      <c r="P21" s="517"/>
      <c r="Q21" s="613">
        <f t="shared" si="2"/>
        <v>0</v>
      </c>
      <c r="R21" s="612">
        <f t="shared" si="0"/>
        <v>0</v>
      </c>
      <c r="S21" s="613">
        <f t="shared" si="12"/>
        <v>0</v>
      </c>
      <c r="T21" s="612">
        <f t="shared" si="3"/>
        <v>0</v>
      </c>
      <c r="U21" s="615">
        <f t="shared" si="4"/>
        <v>0</v>
      </c>
      <c r="V21" s="615">
        <f t="shared" si="5"/>
        <v>0</v>
      </c>
      <c r="W21" s="615">
        <f t="shared" si="6"/>
        <v>0</v>
      </c>
      <c r="X21" s="615">
        <f t="shared" si="7"/>
        <v>0</v>
      </c>
      <c r="Y21" s="615">
        <f t="shared" si="8"/>
        <v>0</v>
      </c>
      <c r="Z21" s="615">
        <f t="shared" si="9"/>
        <v>0</v>
      </c>
      <c r="AA21" s="615">
        <f t="shared" si="10"/>
        <v>0</v>
      </c>
      <c r="AB21" s="615">
        <f t="shared" si="11"/>
        <v>0</v>
      </c>
      <c r="AC21"/>
      <c r="AD21"/>
      <c r="AE21"/>
      <c r="AF21"/>
      <c r="AG21"/>
      <c r="AH21"/>
      <c r="AI21"/>
      <c r="AJ21" s="614"/>
      <c r="AK21" s="614"/>
      <c r="AL21" s="614"/>
      <c r="AM21" s="614"/>
    </row>
    <row r="22" spans="1:39" s="453" customFormat="1" ht="12.75" customHeight="1">
      <c r="A22" s="780">
        <f t="shared" si="14"/>
        <v>2516</v>
      </c>
      <c r="B22" s="885"/>
      <c r="C22" s="573"/>
      <c r="D22" s="573"/>
      <c r="E22" s="525"/>
      <c r="F22" s="572"/>
      <c r="G22" s="1014"/>
      <c r="H22" s="609"/>
      <c r="I22" s="609"/>
      <c r="J22" s="517"/>
      <c r="K22" s="517"/>
      <c r="L22" s="517"/>
      <c r="M22" s="517"/>
      <c r="N22" s="517"/>
      <c r="O22" s="517"/>
      <c r="P22" s="517"/>
      <c r="Q22" s="613">
        <f t="shared" si="2"/>
        <v>0</v>
      </c>
      <c r="R22" s="612">
        <f t="shared" si="0"/>
        <v>0</v>
      </c>
      <c r="S22" s="613">
        <f t="shared" si="12"/>
        <v>0</v>
      </c>
      <c r="T22" s="612">
        <f t="shared" si="3"/>
        <v>0</v>
      </c>
      <c r="U22" s="615">
        <f t="shared" si="4"/>
        <v>0</v>
      </c>
      <c r="V22" s="615">
        <f t="shared" si="5"/>
        <v>0</v>
      </c>
      <c r="W22" s="615">
        <f t="shared" si="6"/>
        <v>0</v>
      </c>
      <c r="X22" s="615">
        <f t="shared" si="7"/>
        <v>0</v>
      </c>
      <c r="Y22" s="615">
        <f t="shared" si="8"/>
        <v>0</v>
      </c>
      <c r="Z22" s="615">
        <f t="shared" si="9"/>
        <v>0</v>
      </c>
      <c r="AA22" s="615">
        <f t="shared" si="10"/>
        <v>0</v>
      </c>
      <c r="AB22" s="615">
        <f t="shared" si="11"/>
        <v>0</v>
      </c>
      <c r="AC22"/>
      <c r="AD22"/>
      <c r="AE22"/>
      <c r="AF22"/>
      <c r="AG22"/>
      <c r="AH22"/>
      <c r="AI22"/>
      <c r="AJ22" s="614"/>
      <c r="AK22" s="614"/>
      <c r="AL22" s="614"/>
      <c r="AM22" s="614"/>
    </row>
    <row r="23" spans="1:39" s="453" customFormat="1" ht="12.75" customHeight="1">
      <c r="A23" s="780">
        <f aca="true" t="shared" si="15" ref="A23:A33">A22+1</f>
        <v>2517</v>
      </c>
      <c r="B23" s="885"/>
      <c r="C23" s="573"/>
      <c r="D23" s="573"/>
      <c r="E23" s="525"/>
      <c r="F23" s="572"/>
      <c r="G23" s="1014"/>
      <c r="H23" s="609"/>
      <c r="I23" s="609"/>
      <c r="J23" s="517"/>
      <c r="K23" s="517"/>
      <c r="L23" s="517"/>
      <c r="M23" s="517"/>
      <c r="N23" s="517"/>
      <c r="O23" s="517"/>
      <c r="P23" s="517"/>
      <c r="Q23" s="613">
        <f t="shared" si="2"/>
        <v>0</v>
      </c>
      <c r="R23" s="612">
        <f t="shared" si="0"/>
        <v>0</v>
      </c>
      <c r="S23" s="613">
        <f t="shared" si="12"/>
        <v>0</v>
      </c>
      <c r="T23" s="612">
        <f t="shared" si="3"/>
        <v>0</v>
      </c>
      <c r="U23" s="615">
        <f t="shared" si="4"/>
        <v>0</v>
      </c>
      <c r="V23" s="615">
        <f t="shared" si="5"/>
        <v>0</v>
      </c>
      <c r="W23" s="615">
        <f t="shared" si="6"/>
        <v>0</v>
      </c>
      <c r="X23" s="615">
        <f t="shared" si="7"/>
        <v>0</v>
      </c>
      <c r="Y23" s="615">
        <f t="shared" si="8"/>
        <v>0</v>
      </c>
      <c r="Z23" s="615">
        <f t="shared" si="9"/>
        <v>0</v>
      </c>
      <c r="AA23" s="615">
        <f t="shared" si="10"/>
        <v>0</v>
      </c>
      <c r="AB23" s="615">
        <f t="shared" si="11"/>
        <v>0</v>
      </c>
      <c r="AC23"/>
      <c r="AD23"/>
      <c r="AE23"/>
      <c r="AF23"/>
      <c r="AG23"/>
      <c r="AH23"/>
      <c r="AI23"/>
      <c r="AJ23" s="614"/>
      <c r="AK23" s="614"/>
      <c r="AL23" s="614"/>
      <c r="AM23" s="614"/>
    </row>
    <row r="24" spans="1:39" s="453" customFormat="1" ht="12.75" customHeight="1">
      <c r="A24" s="780">
        <f t="shared" si="15"/>
        <v>2518</v>
      </c>
      <c r="B24" s="885"/>
      <c r="C24" s="573"/>
      <c r="D24" s="573"/>
      <c r="E24" s="525"/>
      <c r="F24" s="572"/>
      <c r="G24" s="1014"/>
      <c r="H24" s="609"/>
      <c r="I24" s="609"/>
      <c r="J24" s="517"/>
      <c r="K24" s="517"/>
      <c r="L24" s="517"/>
      <c r="M24" s="517"/>
      <c r="N24" s="517"/>
      <c r="O24" s="517"/>
      <c r="P24" s="517"/>
      <c r="Q24" s="613">
        <f t="shared" si="2"/>
        <v>0</v>
      </c>
      <c r="R24" s="612">
        <f t="shared" si="0"/>
        <v>0</v>
      </c>
      <c r="S24" s="613">
        <f t="shared" si="12"/>
        <v>0</v>
      </c>
      <c r="T24" s="612">
        <f t="shared" si="3"/>
        <v>0</v>
      </c>
      <c r="U24" s="615">
        <f t="shared" si="4"/>
        <v>0</v>
      </c>
      <c r="V24" s="615">
        <f t="shared" si="5"/>
        <v>0</v>
      </c>
      <c r="W24" s="615">
        <f t="shared" si="6"/>
        <v>0</v>
      </c>
      <c r="X24" s="615">
        <f t="shared" si="7"/>
        <v>0</v>
      </c>
      <c r="Y24" s="615">
        <f t="shared" si="8"/>
        <v>0</v>
      </c>
      <c r="Z24" s="615">
        <f t="shared" si="9"/>
        <v>0</v>
      </c>
      <c r="AA24" s="615">
        <f t="shared" si="10"/>
        <v>0</v>
      </c>
      <c r="AB24" s="615">
        <f t="shared" si="11"/>
        <v>0</v>
      </c>
      <c r="AC24"/>
      <c r="AD24"/>
      <c r="AE24"/>
      <c r="AF24"/>
      <c r="AG24"/>
      <c r="AH24"/>
      <c r="AI24"/>
      <c r="AJ24" s="614"/>
      <c r="AK24" s="614"/>
      <c r="AL24" s="614"/>
      <c r="AM24" s="614"/>
    </row>
    <row r="25" spans="1:39" s="453" customFormat="1" ht="12.75" customHeight="1">
      <c r="A25" s="780">
        <f t="shared" si="15"/>
        <v>2519</v>
      </c>
      <c r="B25" s="885"/>
      <c r="C25" s="573"/>
      <c r="D25" s="573"/>
      <c r="E25" s="525"/>
      <c r="F25" s="572"/>
      <c r="G25" s="1014"/>
      <c r="H25" s="609"/>
      <c r="I25" s="609"/>
      <c r="J25" s="517"/>
      <c r="K25" s="517"/>
      <c r="L25" s="517"/>
      <c r="M25" s="517"/>
      <c r="N25" s="517"/>
      <c r="O25" s="517"/>
      <c r="P25" s="517"/>
      <c r="Q25" s="613">
        <f t="shared" si="2"/>
        <v>0</v>
      </c>
      <c r="R25" s="612">
        <f t="shared" si="0"/>
        <v>0</v>
      </c>
      <c r="S25" s="613">
        <f t="shared" si="12"/>
        <v>0</v>
      </c>
      <c r="T25" s="612">
        <f t="shared" si="3"/>
        <v>0</v>
      </c>
      <c r="U25" s="615">
        <f t="shared" si="4"/>
        <v>0</v>
      </c>
      <c r="V25" s="615">
        <f t="shared" si="5"/>
        <v>0</v>
      </c>
      <c r="W25" s="615">
        <f t="shared" si="6"/>
        <v>0</v>
      </c>
      <c r="X25" s="615">
        <f t="shared" si="7"/>
        <v>0</v>
      </c>
      <c r="Y25" s="615">
        <f t="shared" si="8"/>
        <v>0</v>
      </c>
      <c r="Z25" s="615">
        <f t="shared" si="9"/>
        <v>0</v>
      </c>
      <c r="AA25" s="615">
        <f t="shared" si="10"/>
        <v>0</v>
      </c>
      <c r="AB25" s="615">
        <f t="shared" si="11"/>
        <v>0</v>
      </c>
      <c r="AC25"/>
      <c r="AD25"/>
      <c r="AE25"/>
      <c r="AF25"/>
      <c r="AG25"/>
      <c r="AH25"/>
      <c r="AI25"/>
      <c r="AJ25" s="614"/>
      <c r="AK25" s="614"/>
      <c r="AL25" s="614"/>
      <c r="AM25" s="614"/>
    </row>
    <row r="26" spans="1:39" s="453" customFormat="1" ht="12.75" customHeight="1">
      <c r="A26" s="780">
        <f t="shared" si="15"/>
        <v>2520</v>
      </c>
      <c r="B26" s="885"/>
      <c r="C26" s="573"/>
      <c r="D26" s="573"/>
      <c r="E26" s="525"/>
      <c r="F26" s="572"/>
      <c r="G26" s="1014"/>
      <c r="H26" s="609"/>
      <c r="I26" s="609"/>
      <c r="J26" s="517"/>
      <c r="K26" s="517"/>
      <c r="L26" s="517"/>
      <c r="M26" s="517"/>
      <c r="N26" s="517"/>
      <c r="O26" s="517"/>
      <c r="P26" s="517"/>
      <c r="Q26" s="613">
        <f t="shared" si="2"/>
        <v>0</v>
      </c>
      <c r="R26" s="612">
        <f t="shared" si="0"/>
        <v>0</v>
      </c>
      <c r="S26" s="613">
        <f t="shared" si="12"/>
        <v>0</v>
      </c>
      <c r="T26" s="612">
        <f t="shared" si="3"/>
        <v>0</v>
      </c>
      <c r="U26" s="615">
        <f t="shared" si="4"/>
        <v>0</v>
      </c>
      <c r="V26" s="615">
        <f t="shared" si="5"/>
        <v>0</v>
      </c>
      <c r="W26" s="615">
        <f t="shared" si="6"/>
        <v>0</v>
      </c>
      <c r="X26" s="615">
        <f t="shared" si="7"/>
        <v>0</v>
      </c>
      <c r="Y26" s="615">
        <f t="shared" si="8"/>
        <v>0</v>
      </c>
      <c r="Z26" s="615">
        <f t="shared" si="9"/>
        <v>0</v>
      </c>
      <c r="AA26" s="615">
        <f t="shared" si="10"/>
        <v>0</v>
      </c>
      <c r="AB26" s="615">
        <f t="shared" si="11"/>
        <v>0</v>
      </c>
      <c r="AC26"/>
      <c r="AD26"/>
      <c r="AE26"/>
      <c r="AF26"/>
      <c r="AG26"/>
      <c r="AH26"/>
      <c r="AI26"/>
      <c r="AJ26" s="614"/>
      <c r="AK26" s="614"/>
      <c r="AL26" s="614"/>
      <c r="AM26" s="614"/>
    </row>
    <row r="27" spans="1:39" s="453" customFormat="1" ht="12.75" customHeight="1">
      <c r="A27" s="780">
        <f t="shared" si="15"/>
        <v>2521</v>
      </c>
      <c r="B27" s="885"/>
      <c r="C27" s="573"/>
      <c r="D27" s="573"/>
      <c r="E27" s="525"/>
      <c r="F27" s="572"/>
      <c r="G27" s="1014"/>
      <c r="H27" s="609"/>
      <c r="I27" s="609"/>
      <c r="J27" s="517"/>
      <c r="K27" s="517"/>
      <c r="L27" s="517"/>
      <c r="M27" s="517"/>
      <c r="N27" s="517"/>
      <c r="O27" s="517"/>
      <c r="P27" s="517"/>
      <c r="Q27" s="613">
        <f t="shared" si="2"/>
        <v>0</v>
      </c>
      <c r="R27" s="612">
        <f t="shared" si="0"/>
        <v>0</v>
      </c>
      <c r="S27" s="613">
        <f t="shared" si="12"/>
        <v>0</v>
      </c>
      <c r="T27" s="612">
        <f t="shared" si="3"/>
        <v>0</v>
      </c>
      <c r="U27" s="615">
        <f t="shared" si="4"/>
        <v>0</v>
      </c>
      <c r="V27" s="615">
        <f t="shared" si="5"/>
        <v>0</v>
      </c>
      <c r="W27" s="615">
        <f t="shared" si="6"/>
        <v>0</v>
      </c>
      <c r="X27" s="615">
        <f t="shared" si="7"/>
        <v>0</v>
      </c>
      <c r="Y27" s="615">
        <f t="shared" si="8"/>
        <v>0</v>
      </c>
      <c r="Z27" s="615">
        <f t="shared" si="9"/>
        <v>0</v>
      </c>
      <c r="AA27" s="615">
        <f t="shared" si="10"/>
        <v>0</v>
      </c>
      <c r="AB27" s="615">
        <f t="shared" si="11"/>
        <v>0</v>
      </c>
      <c r="AC27"/>
      <c r="AD27"/>
      <c r="AE27"/>
      <c r="AF27"/>
      <c r="AG27"/>
      <c r="AH27"/>
      <c r="AI27"/>
      <c r="AJ27" s="614"/>
      <c r="AK27" s="614"/>
      <c r="AL27" s="614"/>
      <c r="AM27" s="614"/>
    </row>
    <row r="28" spans="1:39" s="453" customFormat="1" ht="12.75" customHeight="1">
      <c r="A28" s="780">
        <f t="shared" si="15"/>
        <v>2522</v>
      </c>
      <c r="B28" s="885"/>
      <c r="C28" s="573"/>
      <c r="D28" s="573"/>
      <c r="E28" s="525"/>
      <c r="F28" s="572"/>
      <c r="G28" s="1014"/>
      <c r="H28" s="609"/>
      <c r="I28" s="609"/>
      <c r="J28" s="517"/>
      <c r="K28" s="517"/>
      <c r="L28" s="517"/>
      <c r="M28" s="517"/>
      <c r="N28" s="517"/>
      <c r="O28" s="517"/>
      <c r="P28" s="517"/>
      <c r="Q28" s="613">
        <f t="shared" si="2"/>
        <v>0</v>
      </c>
      <c r="R28" s="612">
        <f t="shared" si="0"/>
        <v>0</v>
      </c>
      <c r="S28" s="613">
        <f t="shared" si="12"/>
        <v>0</v>
      </c>
      <c r="T28" s="612">
        <f t="shared" si="3"/>
        <v>0</v>
      </c>
      <c r="U28" s="615">
        <f t="shared" si="4"/>
        <v>0</v>
      </c>
      <c r="V28" s="615">
        <f t="shared" si="5"/>
        <v>0</v>
      </c>
      <c r="W28" s="615">
        <f t="shared" si="6"/>
        <v>0</v>
      </c>
      <c r="X28" s="615">
        <f t="shared" si="7"/>
        <v>0</v>
      </c>
      <c r="Y28" s="615">
        <f t="shared" si="8"/>
        <v>0</v>
      </c>
      <c r="Z28" s="615">
        <f t="shared" si="9"/>
        <v>0</v>
      </c>
      <c r="AA28" s="615">
        <f t="shared" si="10"/>
        <v>0</v>
      </c>
      <c r="AB28" s="615">
        <f t="shared" si="11"/>
        <v>0</v>
      </c>
      <c r="AC28"/>
      <c r="AD28"/>
      <c r="AE28"/>
      <c r="AF28"/>
      <c r="AG28"/>
      <c r="AH28"/>
      <c r="AI28"/>
      <c r="AJ28" s="614"/>
      <c r="AK28" s="614"/>
      <c r="AL28" s="614"/>
      <c r="AM28" s="614"/>
    </row>
    <row r="29" spans="1:39" s="453" customFormat="1" ht="12.75" customHeight="1">
      <c r="A29" s="780">
        <f t="shared" si="15"/>
        <v>2523</v>
      </c>
      <c r="B29" s="885"/>
      <c r="C29" s="573"/>
      <c r="D29" s="573"/>
      <c r="E29" s="525"/>
      <c r="F29" s="572"/>
      <c r="G29" s="1014"/>
      <c r="H29" s="609"/>
      <c r="I29" s="609"/>
      <c r="J29" s="517"/>
      <c r="K29" s="517"/>
      <c r="L29" s="517"/>
      <c r="M29" s="517"/>
      <c r="N29" s="517"/>
      <c r="O29" s="517"/>
      <c r="P29" s="517"/>
      <c r="Q29" s="613">
        <f t="shared" si="2"/>
        <v>0</v>
      </c>
      <c r="R29" s="612">
        <f t="shared" si="0"/>
        <v>0</v>
      </c>
      <c r="S29" s="613">
        <f t="shared" si="12"/>
        <v>0</v>
      </c>
      <c r="T29" s="612">
        <f t="shared" si="3"/>
        <v>0</v>
      </c>
      <c r="U29" s="615">
        <f aca="true" t="shared" si="16" ref="U29:Z30">IF(K29&gt;0,1,0)</f>
        <v>0</v>
      </c>
      <c r="V29" s="615">
        <f t="shared" si="16"/>
        <v>0</v>
      </c>
      <c r="W29" s="615">
        <f t="shared" si="16"/>
        <v>0</v>
      </c>
      <c r="X29" s="615">
        <f t="shared" si="16"/>
        <v>0</v>
      </c>
      <c r="Y29" s="615">
        <f t="shared" si="16"/>
        <v>0</v>
      </c>
      <c r="Z29" s="615">
        <f t="shared" si="16"/>
        <v>0</v>
      </c>
      <c r="AA29" s="615">
        <f>SUM(U29:Z29)</f>
        <v>0</v>
      </c>
      <c r="AB29" s="615">
        <f t="shared" si="11"/>
        <v>0</v>
      </c>
      <c r="AC29"/>
      <c r="AD29"/>
      <c r="AE29"/>
      <c r="AF29"/>
      <c r="AG29"/>
      <c r="AH29"/>
      <c r="AI29"/>
      <c r="AJ29" s="614"/>
      <c r="AK29" s="614"/>
      <c r="AL29" s="614"/>
      <c r="AM29" s="614"/>
    </row>
    <row r="30" spans="1:39" s="453" customFormat="1" ht="12.75" customHeight="1">
      <c r="A30" s="780">
        <f t="shared" si="15"/>
        <v>2524</v>
      </c>
      <c r="B30" s="885"/>
      <c r="C30" s="573"/>
      <c r="D30" s="573"/>
      <c r="E30" s="525"/>
      <c r="F30" s="572"/>
      <c r="G30" s="1014"/>
      <c r="H30" s="609"/>
      <c r="I30" s="609"/>
      <c r="J30" s="517"/>
      <c r="K30" s="517"/>
      <c r="L30" s="517"/>
      <c r="M30" s="517"/>
      <c r="N30" s="517"/>
      <c r="O30" s="517"/>
      <c r="P30" s="517"/>
      <c r="Q30" s="613">
        <f t="shared" si="2"/>
        <v>0</v>
      </c>
      <c r="R30" s="612">
        <f t="shared" si="0"/>
        <v>0</v>
      </c>
      <c r="S30" s="613">
        <f t="shared" si="12"/>
        <v>0</v>
      </c>
      <c r="T30" s="612">
        <f t="shared" si="3"/>
        <v>0</v>
      </c>
      <c r="U30" s="615">
        <f t="shared" si="16"/>
        <v>0</v>
      </c>
      <c r="V30" s="615">
        <f t="shared" si="16"/>
        <v>0</v>
      </c>
      <c r="W30" s="615">
        <f t="shared" si="16"/>
        <v>0</v>
      </c>
      <c r="X30" s="615">
        <f t="shared" si="16"/>
        <v>0</v>
      </c>
      <c r="Y30" s="615">
        <f t="shared" si="16"/>
        <v>0</v>
      </c>
      <c r="Z30" s="615">
        <f t="shared" si="16"/>
        <v>0</v>
      </c>
      <c r="AA30" s="615">
        <f>SUM(U30:Z30)</f>
        <v>0</v>
      </c>
      <c r="AB30" s="615">
        <f t="shared" si="11"/>
        <v>0</v>
      </c>
      <c r="AC30"/>
      <c r="AD30"/>
      <c r="AE30"/>
      <c r="AF30"/>
      <c r="AG30"/>
      <c r="AH30"/>
      <c r="AI30"/>
      <c r="AJ30" s="614"/>
      <c r="AK30" s="614"/>
      <c r="AL30" s="614"/>
      <c r="AM30" s="614"/>
    </row>
    <row r="31" spans="1:39" s="453" customFormat="1" ht="12.75" customHeight="1">
      <c r="A31" s="780">
        <f t="shared" si="15"/>
        <v>2525</v>
      </c>
      <c r="B31" s="885"/>
      <c r="C31" s="573"/>
      <c r="D31" s="573"/>
      <c r="E31" s="525"/>
      <c r="F31" s="572"/>
      <c r="G31" s="1014"/>
      <c r="H31" s="609"/>
      <c r="I31" s="609"/>
      <c r="J31" s="517"/>
      <c r="K31" s="517"/>
      <c r="L31" s="517"/>
      <c r="M31" s="517"/>
      <c r="N31" s="517"/>
      <c r="O31" s="517"/>
      <c r="P31" s="517"/>
      <c r="Q31" s="613">
        <f t="shared" si="2"/>
        <v>0</v>
      </c>
      <c r="R31" s="612">
        <f t="shared" si="0"/>
        <v>0</v>
      </c>
      <c r="S31" s="613">
        <f t="shared" si="12"/>
        <v>0</v>
      </c>
      <c r="T31" s="612">
        <f t="shared" si="3"/>
        <v>0</v>
      </c>
      <c r="U31" s="615">
        <f t="shared" si="4"/>
        <v>0</v>
      </c>
      <c r="V31" s="615">
        <f t="shared" si="5"/>
        <v>0</v>
      </c>
      <c r="W31" s="615">
        <f t="shared" si="6"/>
        <v>0</v>
      </c>
      <c r="X31" s="615">
        <f t="shared" si="7"/>
        <v>0</v>
      </c>
      <c r="Y31" s="615">
        <f t="shared" si="8"/>
        <v>0</v>
      </c>
      <c r="Z31" s="615">
        <f t="shared" si="9"/>
        <v>0</v>
      </c>
      <c r="AA31" s="615">
        <f t="shared" si="10"/>
        <v>0</v>
      </c>
      <c r="AB31" s="615">
        <f t="shared" si="11"/>
        <v>0</v>
      </c>
      <c r="AC31"/>
      <c r="AD31"/>
      <c r="AE31"/>
      <c r="AF31"/>
      <c r="AG31"/>
      <c r="AH31"/>
      <c r="AI31"/>
      <c r="AJ31" s="614"/>
      <c r="AK31" s="614"/>
      <c r="AL31" s="614"/>
      <c r="AM31" s="614"/>
    </row>
    <row r="32" spans="1:39" s="453" customFormat="1" ht="12.75" customHeight="1">
      <c r="A32" s="780">
        <f t="shared" si="15"/>
        <v>2526</v>
      </c>
      <c r="B32" s="885"/>
      <c r="C32" s="573"/>
      <c r="D32" s="573"/>
      <c r="E32" s="525"/>
      <c r="F32" s="572"/>
      <c r="G32" s="1014"/>
      <c r="H32" s="609"/>
      <c r="I32" s="609"/>
      <c r="J32" s="517"/>
      <c r="K32" s="517"/>
      <c r="L32" s="517"/>
      <c r="M32" s="517"/>
      <c r="N32" s="517"/>
      <c r="O32" s="517"/>
      <c r="P32" s="517"/>
      <c r="Q32" s="613">
        <f t="shared" si="2"/>
        <v>0</v>
      </c>
      <c r="R32" s="612">
        <f t="shared" si="0"/>
        <v>0</v>
      </c>
      <c r="S32" s="613">
        <f t="shared" si="12"/>
        <v>0</v>
      </c>
      <c r="T32" s="612">
        <f t="shared" si="3"/>
        <v>0</v>
      </c>
      <c r="U32" s="615">
        <f t="shared" si="4"/>
        <v>0</v>
      </c>
      <c r="V32" s="615">
        <f t="shared" si="5"/>
        <v>0</v>
      </c>
      <c r="W32" s="615">
        <f t="shared" si="6"/>
        <v>0</v>
      </c>
      <c r="X32" s="615">
        <f t="shared" si="7"/>
        <v>0</v>
      </c>
      <c r="Y32" s="615">
        <f t="shared" si="8"/>
        <v>0</v>
      </c>
      <c r="Z32" s="615">
        <f t="shared" si="9"/>
        <v>0</v>
      </c>
      <c r="AA32" s="615">
        <f t="shared" si="10"/>
        <v>0</v>
      </c>
      <c r="AB32" s="615">
        <f t="shared" si="11"/>
        <v>0</v>
      </c>
      <c r="AC32"/>
      <c r="AD32"/>
      <c r="AE32"/>
      <c r="AF32"/>
      <c r="AG32"/>
      <c r="AH32"/>
      <c r="AI32"/>
      <c r="AJ32" s="614"/>
      <c r="AK32" s="614"/>
      <c r="AL32" s="614"/>
      <c r="AM32" s="614"/>
    </row>
    <row r="33" spans="1:39" s="453" customFormat="1" ht="12.75" customHeight="1">
      <c r="A33" s="780">
        <f t="shared" si="15"/>
        <v>2527</v>
      </c>
      <c r="B33" s="1071" t="s">
        <v>630</v>
      </c>
      <c r="C33" s="1072"/>
      <c r="D33" s="1072"/>
      <c r="E33" s="1073"/>
      <c r="F33" s="1074"/>
      <c r="G33" s="1075"/>
      <c r="H33" s="609"/>
      <c r="I33" s="609"/>
      <c r="J33" s="1076"/>
      <c r="K33" s="1077"/>
      <c r="L33" s="1077"/>
      <c r="M33" s="1077"/>
      <c r="N33" s="1077"/>
      <c r="O33" s="1077"/>
      <c r="P33" s="1078"/>
      <c r="Q33" s="612"/>
      <c r="R33" s="612"/>
      <c r="S33" s="612"/>
      <c r="T33" s="612"/>
      <c r="U33" s="615">
        <f t="shared" si="4"/>
        <v>0</v>
      </c>
      <c r="V33" s="615"/>
      <c r="W33" s="615"/>
      <c r="X33" s="615"/>
      <c r="Y33" s="615"/>
      <c r="Z33" s="615"/>
      <c r="AA33" s="615"/>
      <c r="AB33" s="615">
        <f>I33</f>
        <v>0</v>
      </c>
      <c r="AC33"/>
      <c r="AD33"/>
      <c r="AE33"/>
      <c r="AF33"/>
      <c r="AG33"/>
      <c r="AH33"/>
      <c r="AI33"/>
      <c r="AJ33" s="614"/>
      <c r="AK33" s="614"/>
      <c r="AL33" s="614"/>
      <c r="AM33" s="614"/>
    </row>
    <row r="34" spans="1:39" s="453" customFormat="1" ht="12.75" customHeight="1">
      <c r="A34" s="780">
        <f>A33+1</f>
        <v>2528</v>
      </c>
      <c r="B34" s="911" t="str">
        <f>CONCATENATE("Sub(totaal) regel ",A7," t/m ",A33)</f>
        <v>Sub(totaal) regel 2501 t/m 2527</v>
      </c>
      <c r="C34" s="911"/>
      <c r="D34" s="926"/>
      <c r="E34" s="807"/>
      <c r="F34" s="924"/>
      <c r="G34" s="925"/>
      <c r="H34" s="912">
        <f>SUM(H7:H33)</f>
        <v>0</v>
      </c>
      <c r="I34" s="913">
        <f>AB34</f>
        <v>0</v>
      </c>
      <c r="J34" s="908"/>
      <c r="K34" s="909"/>
      <c r="L34" s="909"/>
      <c r="M34" s="909"/>
      <c r="N34" s="909"/>
      <c r="O34" s="909"/>
      <c r="P34" s="910"/>
      <c r="Q34" s="886">
        <f>SUM(Q7:Q33)</f>
        <v>0</v>
      </c>
      <c r="R34" s="886">
        <f>SUM(R7:R33)</f>
        <v>0</v>
      </c>
      <c r="S34" s="886">
        <f>SUM(S7:S33)</f>
        <v>0</v>
      </c>
      <c r="T34" s="886">
        <f>SUM(T7:T33)</f>
        <v>0</v>
      </c>
      <c r="U34" s="615"/>
      <c r="V34" s="615"/>
      <c r="W34" s="615"/>
      <c r="X34" s="615"/>
      <c r="Y34" s="615"/>
      <c r="Z34" s="615"/>
      <c r="AA34" s="615"/>
      <c r="AB34" s="970">
        <f>SUM(AB7:AB33)</f>
        <v>0</v>
      </c>
      <c r="AC34" s="615"/>
      <c r="AD34" s="614"/>
      <c r="AE34" s="614"/>
      <c r="AF34" s="614"/>
      <c r="AG34" s="614"/>
      <c r="AH34" s="614"/>
      <c r="AI34" s="614"/>
      <c r="AJ34" s="614"/>
      <c r="AK34" s="614"/>
      <c r="AL34" s="614"/>
      <c r="AM34" s="614"/>
    </row>
    <row r="35" spans="1:40" s="453" customFormat="1" ht="12.75" customHeight="1">
      <c r="A35" s="780">
        <f>A34+1</f>
        <v>2529</v>
      </c>
      <c r="B35" s="914" t="s">
        <v>101</v>
      </c>
      <c r="C35" s="915"/>
      <c r="D35" s="915"/>
      <c r="E35" s="915"/>
      <c r="F35" s="915"/>
      <c r="G35" s="915"/>
      <c r="H35" s="916"/>
      <c r="I35" s="916"/>
      <c r="J35" s="916"/>
      <c r="K35" s="916"/>
      <c r="L35" s="916"/>
      <c r="M35" s="916"/>
      <c r="N35" s="916"/>
      <c r="O35" s="916"/>
      <c r="P35" s="917"/>
      <c r="Q35" s="887"/>
      <c r="R35" s="616">
        <v>0</v>
      </c>
      <c r="S35" s="615"/>
      <c r="T35" s="614"/>
      <c r="U35" s="615"/>
      <c r="V35" s="614"/>
      <c r="W35" s="614"/>
      <c r="X35" s="614"/>
      <c r="Y35" s="614"/>
      <c r="Z35" s="614"/>
      <c r="AA35" s="614"/>
      <c r="AB35" s="614"/>
      <c r="AC35" s="615"/>
      <c r="AD35" s="614"/>
      <c r="AE35" s="614"/>
      <c r="AF35" s="614"/>
      <c r="AG35" s="614"/>
      <c r="AH35" s="614"/>
      <c r="AI35" s="614"/>
      <c r="AJ35" s="614"/>
      <c r="AK35" s="614"/>
      <c r="AL35" s="614"/>
      <c r="AM35" s="614"/>
      <c r="AN35" s="614"/>
    </row>
    <row r="36" spans="1:40" s="453" customFormat="1" ht="12.75" customHeight="1">
      <c r="A36" s="780">
        <f>A35+1</f>
        <v>2530</v>
      </c>
      <c r="B36" s="918" t="s">
        <v>646</v>
      </c>
      <c r="C36" s="804"/>
      <c r="D36" s="915"/>
      <c r="E36" s="804"/>
      <c r="F36" s="804"/>
      <c r="G36" s="804"/>
      <c r="H36" s="919"/>
      <c r="I36" s="919"/>
      <c r="J36" s="919"/>
      <c r="K36" s="919"/>
      <c r="L36" s="919"/>
      <c r="M36" s="919"/>
      <c r="N36" s="919"/>
      <c r="O36" s="919"/>
      <c r="P36" s="920"/>
      <c r="Q36" s="888"/>
      <c r="R36" s="612"/>
      <c r="S36" s="614"/>
      <c r="T36" s="614"/>
      <c r="U36" s="614"/>
      <c r="V36" s="614"/>
      <c r="W36" s="614"/>
      <c r="X36" s="614"/>
      <c r="Y36" s="614"/>
      <c r="Z36" s="614"/>
      <c r="AA36" s="614"/>
      <c r="AB36" s="614"/>
      <c r="AC36" s="614"/>
      <c r="AD36" s="614"/>
      <c r="AE36" s="614"/>
      <c r="AF36" s="614"/>
      <c r="AG36" s="614"/>
      <c r="AH36" s="614"/>
      <c r="AI36" s="614"/>
      <c r="AJ36" s="614"/>
      <c r="AK36" s="614"/>
      <c r="AL36" s="614"/>
      <c r="AM36" s="614"/>
      <c r="AN36" s="614"/>
    </row>
    <row r="37" spans="1:40" s="471" customFormat="1" ht="12.75" customHeight="1">
      <c r="A37" s="780">
        <f>A36+1</f>
        <v>2531</v>
      </c>
      <c r="B37" s="875" t="str">
        <f>CONCATENATE("Totaal regel ",A34," -/- regel ",A35," + regel ",A36)</f>
        <v>Totaal regel 2528 -/- regel 2529 + regel 2530</v>
      </c>
      <c r="C37" s="865"/>
      <c r="D37" s="921"/>
      <c r="E37" s="921"/>
      <c r="F37" s="921"/>
      <c r="G37" s="921"/>
      <c r="H37" s="922"/>
      <c r="I37" s="922"/>
      <c r="J37" s="922"/>
      <c r="K37" s="922"/>
      <c r="L37" s="922"/>
      <c r="M37" s="922"/>
      <c r="N37" s="922"/>
      <c r="O37" s="922"/>
      <c r="P37" s="923"/>
      <c r="Q37" s="889"/>
      <c r="R37" s="886">
        <f>R34-R35+R36</f>
        <v>0</v>
      </c>
      <c r="S37" s="617"/>
      <c r="T37" s="617"/>
      <c r="U37" s="617"/>
      <c r="V37" s="617"/>
      <c r="W37" s="617"/>
      <c r="X37" s="617"/>
      <c r="Y37" s="617"/>
      <c r="Z37" s="617"/>
      <c r="AA37" s="617"/>
      <c r="AB37" s="617"/>
      <c r="AC37" s="617"/>
      <c r="AD37" s="617"/>
      <c r="AE37" s="617"/>
      <c r="AF37" s="617"/>
      <c r="AG37" s="617"/>
      <c r="AH37" s="617"/>
      <c r="AI37" s="617"/>
      <c r="AJ37" s="617"/>
      <c r="AK37" s="617"/>
      <c r="AL37" s="617"/>
      <c r="AM37" s="617"/>
      <c r="AN37" s="617"/>
    </row>
    <row r="38" spans="1:18" s="453" customFormat="1" ht="12.75" customHeight="1">
      <c r="A38" s="487" t="s">
        <v>804</v>
      </c>
      <c r="B38" s="451"/>
      <c r="C38" s="451"/>
      <c r="D38" s="482"/>
      <c r="E38" s="451"/>
      <c r="F38" s="451"/>
      <c r="G38" s="451"/>
      <c r="H38" s="518"/>
      <c r="I38" s="518"/>
      <c r="J38" s="518"/>
      <c r="K38" s="518"/>
      <c r="L38" s="518"/>
      <c r="M38" s="518"/>
      <c r="N38" s="518"/>
      <c r="O38" s="518"/>
      <c r="P38" s="518"/>
      <c r="Q38" s="518"/>
      <c r="R38" s="506"/>
    </row>
    <row r="39" spans="4:27" ht="15.75" customHeight="1">
      <c r="D39" s="436"/>
      <c r="E39" s="436"/>
      <c r="F39" s="436"/>
      <c r="G39" s="436"/>
      <c r="S39" s="436"/>
      <c r="U39" s="441"/>
      <c r="V39" s="442"/>
      <c r="W39" s="441"/>
      <c r="X39" s="441"/>
      <c r="Y39" s="441"/>
      <c r="Z39" s="441"/>
      <c r="AA39" s="441"/>
    </row>
    <row r="40" spans="1:27" s="446" customFormat="1" ht="15.75" customHeight="1">
      <c r="A40" s="6" t="str">
        <f>A2</f>
        <v>Bijlage F bij het nacalculatieformulier 2004 GGZ-instellingen</v>
      </c>
      <c r="B40" s="7"/>
      <c r="C40" s="7"/>
      <c r="D40" s="7"/>
      <c r="E40" s="7"/>
      <c r="F40" s="7"/>
      <c r="G40" s="7"/>
      <c r="H40" s="8"/>
      <c r="I40" s="700"/>
      <c r="J40" s="8"/>
      <c r="K40" s="8"/>
      <c r="L40" s="700"/>
      <c r="M40" s="700"/>
      <c r="N40" s="8"/>
      <c r="O40" s="700"/>
      <c r="P40" s="700"/>
      <c r="Q40" s="8"/>
      <c r="R40" s="443"/>
      <c r="S40" s="700"/>
      <c r="T40" s="1306">
        <f>T2+1</f>
        <v>26</v>
      </c>
      <c r="U40" s="447"/>
      <c r="V40" s="448"/>
      <c r="W40" s="447"/>
      <c r="X40" s="447"/>
      <c r="Y40" s="447"/>
      <c r="Z40" s="447"/>
      <c r="AA40" s="447"/>
    </row>
    <row r="41" spans="1:19" s="453" customFormat="1" ht="12.75" customHeight="1">
      <c r="A41" s="677"/>
      <c r="B41" s="733"/>
      <c r="C41" s="733"/>
      <c r="D41" s="167"/>
      <c r="E41" s="733"/>
      <c r="F41" s="733"/>
      <c r="G41" s="733"/>
      <c r="H41" s="168"/>
      <c r="I41" s="168"/>
      <c r="J41" s="168"/>
      <c r="K41" s="168"/>
      <c r="L41" s="168"/>
      <c r="M41" s="168"/>
      <c r="N41" s="168"/>
      <c r="O41" s="168"/>
      <c r="P41" s="168"/>
      <c r="Q41" s="168"/>
      <c r="R41" s="168"/>
      <c r="S41" s="608"/>
    </row>
    <row r="42" spans="1:2" s="453" customFormat="1" ht="12.75" customHeight="1">
      <c r="A42" s="718"/>
      <c r="B42" s="740" t="s">
        <v>520</v>
      </c>
    </row>
    <row r="43" spans="1:19" s="453" customFormat="1" ht="12.75" customHeight="1">
      <c r="A43" s="718"/>
      <c r="B43" s="1220" t="s">
        <v>519</v>
      </c>
      <c r="C43" s="692"/>
      <c r="D43" s="1221"/>
      <c r="E43" s="1222"/>
      <c r="F43" s="1223"/>
      <c r="G43" s="1223"/>
      <c r="H43" s="1224"/>
      <c r="I43" s="1224"/>
      <c r="J43" s="1224"/>
      <c r="K43" s="1224"/>
      <c r="L43" s="1224"/>
      <c r="M43" s="1224"/>
      <c r="N43" s="1224"/>
      <c r="O43" s="1224"/>
      <c r="P43" s="1224"/>
      <c r="Q43" s="1225"/>
      <c r="R43" s="1124" t="s">
        <v>167</v>
      </c>
      <c r="S43" s="1124" t="s">
        <v>514</v>
      </c>
    </row>
    <row r="44" spans="1:19" s="519" customFormat="1" ht="12.75" customHeight="1">
      <c r="A44" s="174"/>
      <c r="B44" s="1226"/>
      <c r="C44" s="1227"/>
      <c r="D44" s="1228"/>
      <c r="E44" s="1229"/>
      <c r="F44" s="1230"/>
      <c r="G44" s="1230"/>
      <c r="H44" s="1229"/>
      <c r="I44" s="1688"/>
      <c r="J44" s="1689"/>
      <c r="K44" s="1688"/>
      <c r="L44" s="1689"/>
      <c r="M44" s="1689"/>
      <c r="N44" s="1689"/>
      <c r="O44" s="1689"/>
      <c r="P44" s="1689"/>
      <c r="Q44" s="1231"/>
      <c r="R44" s="1233"/>
      <c r="S44" s="1195" t="s">
        <v>515</v>
      </c>
    </row>
    <row r="45" spans="1:28" s="519" customFormat="1" ht="12.75" customHeight="1">
      <c r="A45" s="890">
        <f aca="true" t="shared" si="17" ref="A45:A54">A7</f>
        <v>2501</v>
      </c>
      <c r="B45" s="1691">
        <f>IF(I7=0,H7,(((DATE(Voorblad!$E$3,K7,J7)-DATE(Voorblad!$E$3,1,1))*H7)/Voorblad!M$3))</f>
        <v>0</v>
      </c>
      <c r="C45" s="1691"/>
      <c r="D45" s="1685">
        <f>IF(K7=0,0,(IF(L7=0,((DATE(Voorblad!E$3+1,1,1)-DATE(Voorblad!$E$3,(K7),J7))*(H7-(1*I7)))/Voorblad!M$3,((DATE(Voorblad!$E$3,(L7),J7)-DATE(Voorblad!$E$3,(K7),J7))*(H7-(1*I7)))/Voorblad!M$3)))</f>
        <v>0</v>
      </c>
      <c r="E45" s="1685"/>
      <c r="F45" s="1685">
        <f>IF(L7=0,0,(IF(M7=0,((DATE(Voorblad!E$3+1,1,1)-DATE(Voorblad!$E$3,(L7),J7))*(H7-(2*I7)))/365,((DATE(Voorblad!$E$3,(M7),J7)-DATE(Voorblad!$E$3,(L7),J7))*(H7-(2*I7)))/Voorblad!M$3)))</f>
        <v>0</v>
      </c>
      <c r="G45" s="1685"/>
      <c r="H45" s="1218">
        <f>IF(M7=0,0,(IF(N7=0,((DATE(Voorblad!E$3+1,1,1)-DATE(Voorblad!$E$3,(M7),J7))*(H7-(3*I7)))/Voorblad!M$3,((DATE(Voorblad!$E$3,(N7),J7)-DATE(Voorblad!$E$3,(M7),J7))*(H7-(3*I7)))/Voorblad!M$3)))</f>
        <v>0</v>
      </c>
      <c r="I45" s="1685">
        <f>IF(N7=0,0,(IF(O7=0,((DATE(Voorblad!E$3+1,1,1)-DATE(Voorblad!$E$3,(N7),J7))*(H7-(4*I7)))/Voorblad!M$3,((DATE(Voorblad!$E$3,(O7),J7)-DATE(Voorblad!$E$3,(N7),J7))*(H7-(4*I7)))/Voorblad!M$3)))</f>
        <v>0</v>
      </c>
      <c r="J45" s="1685"/>
      <c r="K45" s="1685">
        <f>IF(O7=0,0,(IF(P7=0,((DATE(Voorblad!E$3+1,1,1)-DATE(Voorblad!$E$3,(O7),J7))*(H7-(5*I7)))/Voorblad!M$3,((DATE(Voorblad!$E$3,(P7),J7)-DATE(Voorblad!$E$3,(O7),J7))*(H7-(5*I7)))/Voorblad!M$3)))</f>
        <v>0</v>
      </c>
      <c r="L45" s="1685"/>
      <c r="M45" s="1685"/>
      <c r="N45" s="1685"/>
      <c r="O45" s="1685"/>
      <c r="P45" s="1685"/>
      <c r="Q45" s="1219">
        <f>IF(P7=0,0,((DATE(Voorblad!E$3+1,1,1)-DATE(Voorblad!$E$3,(P7),J7))*(H7-(6*I7)))/Voorblad!M$3)</f>
        <v>0</v>
      </c>
      <c r="R45" s="1232">
        <f aca="true" t="shared" si="18" ref="R45:R54">SUM(B45:Q45)</f>
        <v>0</v>
      </c>
      <c r="S45" s="1416">
        <f>IF(G7="n",R45*(F7/100),R45*(E7/100))</f>
        <v>0</v>
      </c>
      <c r="T45"/>
      <c r="U45"/>
      <c r="V45"/>
      <c r="W45"/>
      <c r="X45"/>
      <c r="Y45"/>
      <c r="Z45"/>
      <c r="AA45" s="522">
        <f aca="true" t="shared" si="19" ref="AA45:AA71">Q45</f>
        <v>0</v>
      </c>
      <c r="AB45" s="522">
        <f aca="true" t="shared" si="20" ref="AB45:AB71">L45</f>
        <v>0</v>
      </c>
    </row>
    <row r="46" spans="1:28" s="519" customFormat="1" ht="12.75" customHeight="1">
      <c r="A46" s="890">
        <f t="shared" si="17"/>
        <v>2502</v>
      </c>
      <c r="B46" s="1692">
        <f>IF(I8=0,H8,(((DATE(Voorblad!$E$3,K8,J8)-DATE(Voorblad!$E$3,1,1))*H8)/Voorblad!M$3))</f>
        <v>0</v>
      </c>
      <c r="C46" s="1692"/>
      <c r="D46" s="1681">
        <f>IF(K8=0,0,(IF(L8=0,((DATE(Voorblad!E$3+1,1,1)-DATE(Voorblad!$E$3,(K8),J8))*(H8-(1*I8)))/Voorblad!M$3,((DATE(Voorblad!$E$3,(L8),J8)-DATE(Voorblad!$E$3,(K8),J8))*(H8-(1*I8)))/Voorblad!M$3)))</f>
        <v>0</v>
      </c>
      <c r="E46" s="1681"/>
      <c r="F46" s="1681">
        <f>IF(L8=0,0,(IF(M8=0,((DATE(Voorblad!E$3+1,1,1)-DATE(Voorblad!$E$3,(L8),J8))*(H8-(2*I8)))/365,((DATE(Voorblad!$E$3,(M8),J8)-DATE(Voorblad!$E$3,(L8),J8))*(H8-(2*I8)))/Voorblad!M$3)))</f>
        <v>0</v>
      </c>
      <c r="G46" s="1681"/>
      <c r="H46" s="520">
        <f>IF(M8=0,0,(IF(N8=0,((DATE(Voorblad!E$3+1,1,1)-DATE(Voorblad!$E$3,(M8),J8))*(H8-(3*I8)))/Voorblad!M$3,((DATE(Voorblad!$E$3,(N8),J8)-DATE(Voorblad!$E$3,(M8),J8))*(H8-(3*I8)))/Voorblad!M$3)))</f>
        <v>0</v>
      </c>
      <c r="I46" s="1681">
        <f>IF(N8=0,0,(IF(O8=0,((DATE(Voorblad!E$3+1,1,1)-DATE(Voorblad!$E$3,(N8),J8))*(H8-(4*I8)))/Voorblad!M$3,((DATE(Voorblad!$E$3,(O8),J8)-DATE(Voorblad!$E$3,(N8),J8))*(H8-(4*I8)))/Voorblad!M$3)))</f>
        <v>0</v>
      </c>
      <c r="J46" s="1681"/>
      <c r="K46" s="1681">
        <f>IF(O8=0,0,(IF(P8=0,((DATE(Voorblad!E$3+1,1,1)-DATE(Voorblad!$E$3,(O8),J8))*(H8-(5*I8)))/Voorblad!M$3,((DATE(Voorblad!$E$3,(P8),J8)-DATE(Voorblad!$E$3,(O8),J8))*(H8-(5*I8)))/Voorblad!M$3)))</f>
        <v>0</v>
      </c>
      <c r="L46" s="1681"/>
      <c r="M46" s="1681"/>
      <c r="N46" s="1681"/>
      <c r="O46" s="1681"/>
      <c r="P46" s="1681"/>
      <c r="Q46" s="521">
        <f>IF(P8=0,0,((DATE(Voorblad!E$3+1,1,1)-DATE(Voorblad!$E$3,(P8),J8))*(H8-(6*I8)))/Voorblad!M$3)</f>
        <v>0</v>
      </c>
      <c r="R46" s="618">
        <f t="shared" si="18"/>
        <v>0</v>
      </c>
      <c r="S46" s="1417">
        <f aca="true" t="shared" si="21" ref="S46:S71">IF(G8="n",R46*(F8/100),R46*(E8/100))</f>
        <v>0</v>
      </c>
      <c r="T46"/>
      <c r="U46"/>
      <c r="V46"/>
      <c r="W46"/>
      <c r="X46"/>
      <c r="Y46"/>
      <c r="Z46"/>
      <c r="AA46" s="522">
        <f t="shared" si="19"/>
        <v>0</v>
      </c>
      <c r="AB46" s="522">
        <f t="shared" si="20"/>
        <v>0</v>
      </c>
    </row>
    <row r="47" spans="1:28" s="519" customFormat="1" ht="12.75" customHeight="1">
      <c r="A47" s="890">
        <f t="shared" si="17"/>
        <v>2503</v>
      </c>
      <c r="B47" s="1692">
        <f>IF(I9=0,H9,(((DATE(Voorblad!$E$3,K9,J9)-DATE(Voorblad!$E$3,1,1))*H9)/Voorblad!M$3))</f>
        <v>0</v>
      </c>
      <c r="C47" s="1692"/>
      <c r="D47" s="1681">
        <f>IF(K9=0,0,(IF(L9=0,((DATE(Voorblad!E$3+1,1,1)-DATE(Voorblad!$E$3,(K9),J9))*(H9-(1*I9)))/Voorblad!M$3,((DATE(Voorblad!$E$3,(L9),J9)-DATE(Voorblad!$E$3,(K9),J9))*(H9-(1*I9)))/Voorblad!M$3)))</f>
        <v>0</v>
      </c>
      <c r="E47" s="1681"/>
      <c r="F47" s="1681">
        <f>IF(L9=0,0,(IF(M9=0,((DATE(Voorblad!E$3+1,1,1)-DATE(Voorblad!$E$3,(L9),J9))*(H9-(2*I9)))/365,((DATE(Voorblad!$E$3,(M9),J9)-DATE(Voorblad!$E$3,(L9),J9))*(H9-(2*I9)))/Voorblad!M$3)))</f>
        <v>0</v>
      </c>
      <c r="G47" s="1681"/>
      <c r="H47" s="520">
        <f>IF(M9=0,0,(IF(N9=0,((DATE(Voorblad!E$3+1,1,1)-DATE(Voorblad!$E$3,(M9),J9))*(H9-(3*I9)))/Voorblad!M$3,((DATE(Voorblad!$E$3,(N9),J9)-DATE(Voorblad!$E$3,(M9),J9))*(H9-(3*I9)))/Voorblad!M$3)))</f>
        <v>0</v>
      </c>
      <c r="I47" s="1681">
        <f>IF(N9=0,0,(IF(O9=0,((DATE(Voorblad!E$3+1,1,1)-DATE(Voorblad!$E$3,(N9),J9))*(H9-(4*I9)))/Voorblad!M$3,((DATE(Voorblad!$E$3,(O9),J9)-DATE(Voorblad!$E$3,(N9),J9))*(H9-(4*I9)))/Voorblad!M$3)))</f>
        <v>0</v>
      </c>
      <c r="J47" s="1681"/>
      <c r="K47" s="1681">
        <f>IF(O9=0,0,(IF(P9=0,((DATE(Voorblad!E$3+1,1,1)-DATE(Voorblad!$E$3,(O9),J9))*(H9-(5*I9)))/Voorblad!M$3,((DATE(Voorblad!$E$3,(P9),J9)-DATE(Voorblad!$E$3,(O9),J9))*(H9-(5*I9)))/Voorblad!M$3)))</f>
        <v>0</v>
      </c>
      <c r="L47" s="1681"/>
      <c r="M47" s="1681"/>
      <c r="N47" s="1681"/>
      <c r="O47" s="1681"/>
      <c r="P47" s="1681"/>
      <c r="Q47" s="521">
        <f>IF(P9=0,0,((DATE(Voorblad!E$3+1,1,1)-DATE(Voorblad!$E$3,(P9),J9))*(H9-(6*I9)))/Voorblad!M$3)</f>
        <v>0</v>
      </c>
      <c r="R47" s="618">
        <f t="shared" si="18"/>
        <v>0</v>
      </c>
      <c r="S47" s="1417">
        <f t="shared" si="21"/>
        <v>0</v>
      </c>
      <c r="T47"/>
      <c r="U47"/>
      <c r="V47"/>
      <c r="W47"/>
      <c r="X47"/>
      <c r="Y47"/>
      <c r="Z47"/>
      <c r="AA47" s="522">
        <f t="shared" si="19"/>
        <v>0</v>
      </c>
      <c r="AB47" s="522">
        <f t="shared" si="20"/>
        <v>0</v>
      </c>
    </row>
    <row r="48" spans="1:28" s="519" customFormat="1" ht="12.75" customHeight="1">
      <c r="A48" s="890">
        <f t="shared" si="17"/>
        <v>2504</v>
      </c>
      <c r="B48" s="1692">
        <f>IF(I10=0,H10,(((DATE(Voorblad!$E$3,K10,J10)-DATE(Voorblad!$E$3,1,1))*H10)/Voorblad!M$3))</f>
        <v>0</v>
      </c>
      <c r="C48" s="1692"/>
      <c r="D48" s="1681">
        <f>IF(K10=0,0,(IF(L10=0,((DATE(Voorblad!E$3+1,1,1)-DATE(Voorblad!$E$3,(K10),J10))*(H10-(1*I10)))/Voorblad!M$3,((DATE(Voorblad!$E$3,(L10),J10)-DATE(Voorblad!$E$3,(K10),J10))*(H10-(1*I10)))/Voorblad!M$3)))</f>
        <v>0</v>
      </c>
      <c r="E48" s="1681"/>
      <c r="F48" s="1681">
        <f>IF(L10=0,0,(IF(M10=0,((DATE(Voorblad!E$3+1,1,1)-DATE(Voorblad!$E$3,(L10),J10))*(H10-(2*I10)))/365,((DATE(Voorblad!$E$3,(M10),J10)-DATE(Voorblad!$E$3,(L10),J10))*(H10-(2*I10)))/Voorblad!M$3)))</f>
        <v>0</v>
      </c>
      <c r="G48" s="1681"/>
      <c r="H48" s="520">
        <f>IF(M10=0,0,(IF(N10=0,((DATE(Voorblad!E$3+1,1,1)-DATE(Voorblad!$E$3,(M10),J10))*(H10-(3*I10)))/Voorblad!M$3,((DATE(Voorblad!$E$3,(N10),J10)-DATE(Voorblad!$E$3,(M10),J10))*(H10-(3*I10)))/Voorblad!M$3)))</f>
        <v>0</v>
      </c>
      <c r="I48" s="1681">
        <f>IF(N10=0,0,(IF(O10=0,((DATE(Voorblad!E$3+1,1,1)-DATE(Voorblad!$E$3,(N10),J10))*(H10-(4*I10)))/Voorblad!M$3,((DATE(Voorblad!$E$3,(O10),J10)-DATE(Voorblad!$E$3,(N10),J10))*(H10-(4*I10)))/Voorblad!M$3)))</f>
        <v>0</v>
      </c>
      <c r="J48" s="1681"/>
      <c r="K48" s="1681">
        <f>IF(O10=0,0,(IF(P10=0,((DATE(Voorblad!E$3+1,1,1)-DATE(Voorblad!$E$3,(O10),J10))*(H10-(5*I10)))/Voorblad!M$3,((DATE(Voorblad!$E$3,(P10),J10)-DATE(Voorblad!$E$3,(O10),J10))*(H10-(5*I10)))/Voorblad!M$3)))</f>
        <v>0</v>
      </c>
      <c r="L48" s="1681"/>
      <c r="M48" s="1681"/>
      <c r="N48" s="1681"/>
      <c r="O48" s="1681"/>
      <c r="P48" s="1681"/>
      <c r="Q48" s="521">
        <f>IF(P10=0,0,((DATE(Voorblad!E$3+1,1,1)-DATE(Voorblad!$E$3,(P10),J10))*(H10-(6*I10)))/Voorblad!M$3)</f>
        <v>0</v>
      </c>
      <c r="R48" s="618">
        <f t="shared" si="18"/>
        <v>0</v>
      </c>
      <c r="S48" s="1417">
        <f t="shared" si="21"/>
        <v>0</v>
      </c>
      <c r="T48"/>
      <c r="U48"/>
      <c r="V48"/>
      <c r="W48"/>
      <c r="X48"/>
      <c r="Y48"/>
      <c r="Z48"/>
      <c r="AA48" s="522">
        <f t="shared" si="19"/>
        <v>0</v>
      </c>
      <c r="AB48" s="522">
        <f t="shared" si="20"/>
        <v>0</v>
      </c>
    </row>
    <row r="49" spans="1:28" s="519" customFormat="1" ht="12.75" customHeight="1">
      <c r="A49" s="890">
        <f t="shared" si="17"/>
        <v>2505</v>
      </c>
      <c r="B49" s="1692">
        <f>IF(I11=0,H11,(((DATE(Voorblad!$E$3,K11,J11)-DATE(Voorblad!$E$3,1,1))*H11)/Voorblad!M$3))</f>
        <v>0</v>
      </c>
      <c r="C49" s="1692"/>
      <c r="D49" s="1681">
        <f>IF(K11=0,0,(IF(L11=0,((DATE(Voorblad!E$3+1,1,1)-DATE(Voorblad!$E$3,(K11),J11))*(H11-(1*I11)))/Voorblad!M$3,((DATE(Voorblad!$E$3,(L11),J11)-DATE(Voorblad!$E$3,(K11),J11))*(H11-(1*I11)))/Voorblad!M$3)))</f>
        <v>0</v>
      </c>
      <c r="E49" s="1681"/>
      <c r="F49" s="1681">
        <f>IF(L11=0,0,(IF(M11=0,((DATE(Voorblad!E$3+1,1,1)-DATE(Voorblad!$E$3,(L11),J11))*(H11-(2*I11)))/365,((DATE(Voorblad!$E$3,(M11),J11)-DATE(Voorblad!$E$3,(L11),J11))*(H11-(2*I11)))/Voorblad!M$3)))</f>
        <v>0</v>
      </c>
      <c r="G49" s="1681"/>
      <c r="H49" s="520">
        <f>IF(M11=0,0,(IF(N11=0,((DATE(Voorblad!E$3+1,1,1)-DATE(Voorblad!$E$3,(M11),J11))*(H11-(3*I11)))/Voorblad!M$3,((DATE(Voorblad!$E$3,(N11),J11)-DATE(Voorblad!$E$3,(M11),J11))*(H11-(3*I11)))/Voorblad!M$3)))</f>
        <v>0</v>
      </c>
      <c r="I49" s="1681">
        <f>IF(N11=0,0,(IF(O11=0,((DATE(Voorblad!E$3+1,1,1)-DATE(Voorblad!$E$3,(N11),J11))*(H11-(4*I11)))/Voorblad!M$3,((DATE(Voorblad!$E$3,(O11),J11)-DATE(Voorblad!$E$3,(N11),J11))*(H11-(4*I11)))/Voorblad!M$3)))</f>
        <v>0</v>
      </c>
      <c r="J49" s="1681"/>
      <c r="K49" s="1681">
        <f>IF(O11=0,0,(IF(P11=0,((DATE(Voorblad!E$3+1,1,1)-DATE(Voorblad!$E$3,(O11),J11))*(H11-(5*I11)))/Voorblad!M$3,((DATE(Voorblad!$E$3,(P11),J11)-DATE(Voorblad!$E$3,(O11),J11))*(H11-(5*I11)))/Voorblad!M$3)))</f>
        <v>0</v>
      </c>
      <c r="L49" s="1681"/>
      <c r="M49" s="1681"/>
      <c r="N49" s="1681"/>
      <c r="O49" s="1681"/>
      <c r="P49" s="1681"/>
      <c r="Q49" s="521">
        <f>IF(P11=0,0,((DATE(Voorblad!E$3+1,1,1)-DATE(Voorblad!$E$3,(P11),J11))*(H11-(6*I11)))/Voorblad!M$3)</f>
        <v>0</v>
      </c>
      <c r="R49" s="618">
        <f t="shared" si="18"/>
        <v>0</v>
      </c>
      <c r="S49" s="1417">
        <f t="shared" si="21"/>
        <v>0</v>
      </c>
      <c r="T49"/>
      <c r="U49"/>
      <c r="V49"/>
      <c r="W49"/>
      <c r="X49"/>
      <c r="Y49"/>
      <c r="Z49"/>
      <c r="AA49" s="522">
        <f t="shared" si="19"/>
        <v>0</v>
      </c>
      <c r="AB49" s="522">
        <f t="shared" si="20"/>
        <v>0</v>
      </c>
    </row>
    <row r="50" spans="1:28" s="519" customFormat="1" ht="12.75" customHeight="1">
      <c r="A50" s="890">
        <f t="shared" si="17"/>
        <v>2506</v>
      </c>
      <c r="B50" s="1692">
        <f>IF(I12=0,H12,(((DATE(Voorblad!$E$3,K12,J12)-DATE(Voorblad!$E$3,1,1))*H12)/Voorblad!M$3))</f>
        <v>0</v>
      </c>
      <c r="C50" s="1692"/>
      <c r="D50" s="1681">
        <f>IF(K12=0,0,(IF(L12=0,((DATE(Voorblad!E$3+1,1,1)-DATE(Voorblad!$E$3,(K12),J12))*(H12-(1*I12)))/Voorblad!M$3,((DATE(Voorblad!$E$3,(L12),J12)-DATE(Voorblad!$E$3,(K12),J12))*(H12-(1*I12)))/Voorblad!M$3)))</f>
        <v>0</v>
      </c>
      <c r="E50" s="1681"/>
      <c r="F50" s="1681">
        <f>IF(L12=0,0,(IF(M12=0,((DATE(Voorblad!E$3+1,1,1)-DATE(Voorblad!$E$3,(L12),J12))*(H12-(2*I12)))/365,((DATE(Voorblad!$E$3,(M12),J12)-DATE(Voorblad!$E$3,(L12),J12))*(H12-(2*I12)))/Voorblad!M$3)))</f>
        <v>0</v>
      </c>
      <c r="G50" s="1681"/>
      <c r="H50" s="520">
        <f>IF(M12=0,0,(IF(N12=0,((DATE(Voorblad!E$3+1,1,1)-DATE(Voorblad!$E$3,(M12),J12))*(H12-(3*I12)))/Voorblad!M$3,((DATE(Voorblad!$E$3,(N12),J12)-DATE(Voorblad!$E$3,(M12),J12))*(H12-(3*I12)))/Voorblad!M$3)))</f>
        <v>0</v>
      </c>
      <c r="I50" s="1681">
        <f>IF(N12=0,0,(IF(O12=0,((DATE(Voorblad!E$3+1,1,1)-DATE(Voorblad!$E$3,(N12),J12))*(H12-(4*I12)))/Voorblad!M$3,((DATE(Voorblad!$E$3,(O12),J12)-DATE(Voorblad!$E$3,(N12),J12))*(H12-(4*I12)))/Voorblad!M$3)))</f>
        <v>0</v>
      </c>
      <c r="J50" s="1681"/>
      <c r="K50" s="1681">
        <f>IF(O12=0,0,(IF(P12=0,((DATE(Voorblad!E$3+1,1,1)-DATE(Voorblad!$E$3,(O12),J12))*(H12-(5*I12)))/Voorblad!M$3,((DATE(Voorblad!$E$3,(P12),J12)-DATE(Voorblad!$E$3,(O12),J12))*(H12-(5*I12)))/Voorblad!M$3)))</f>
        <v>0</v>
      </c>
      <c r="L50" s="1681"/>
      <c r="M50" s="1681"/>
      <c r="N50" s="1681"/>
      <c r="O50" s="1681"/>
      <c r="P50" s="1681"/>
      <c r="Q50" s="521">
        <f>IF(P12=0,0,((DATE(Voorblad!E$3+1,1,1)-DATE(Voorblad!$E$3,(P12),J12))*(H12-(6*I12)))/Voorblad!M$3)</f>
        <v>0</v>
      </c>
      <c r="R50" s="618">
        <f t="shared" si="18"/>
        <v>0</v>
      </c>
      <c r="S50" s="1417">
        <f t="shared" si="21"/>
        <v>0</v>
      </c>
      <c r="T50"/>
      <c r="U50"/>
      <c r="V50"/>
      <c r="W50"/>
      <c r="X50"/>
      <c r="Y50"/>
      <c r="Z50"/>
      <c r="AA50" s="522">
        <f t="shared" si="19"/>
        <v>0</v>
      </c>
      <c r="AB50" s="522">
        <f t="shared" si="20"/>
        <v>0</v>
      </c>
    </row>
    <row r="51" spans="1:28" s="519" customFormat="1" ht="12.75" customHeight="1">
      <c r="A51" s="890">
        <f t="shared" si="17"/>
        <v>2507</v>
      </c>
      <c r="B51" s="1692">
        <f>IF(I13=0,H13,(((DATE(Voorblad!$E$3,K13,J13)-DATE(Voorblad!$E$3,1,1))*H13)/Voorblad!M$3))</f>
        <v>0</v>
      </c>
      <c r="C51" s="1692"/>
      <c r="D51" s="1681">
        <f>IF(K13=0,0,(IF(L13=0,((DATE(Voorblad!E$3+1,1,1)-DATE(Voorblad!$E$3,(K13),J13))*(H13-(1*I13)))/Voorblad!M$3,((DATE(Voorblad!$E$3,(L13),J13)-DATE(Voorblad!$E$3,(K13),J13))*(H13-(1*I13)))/Voorblad!M$3)))</f>
        <v>0</v>
      </c>
      <c r="E51" s="1681"/>
      <c r="F51" s="1681">
        <f>IF(L13=0,0,(IF(M13=0,((DATE(Voorblad!E$3+1,1,1)-DATE(Voorblad!$E$3,(L13),J13))*(H13-(2*I13)))/365,((DATE(Voorblad!$E$3,(M13),J13)-DATE(Voorblad!$E$3,(L13),J13))*(H13-(2*I13)))/Voorblad!M$3)))</f>
        <v>0</v>
      </c>
      <c r="G51" s="1681"/>
      <c r="H51" s="520">
        <f>IF(M13=0,0,(IF(N13=0,((DATE(Voorblad!E$3+1,1,1)-DATE(Voorblad!$E$3,(M13),J13))*(H13-(3*I13)))/Voorblad!M$3,((DATE(Voorblad!$E$3,(N13),J13)-DATE(Voorblad!$E$3,(M13),J13))*(H13-(3*I13)))/Voorblad!M$3)))</f>
        <v>0</v>
      </c>
      <c r="I51" s="1681">
        <f>IF(N13=0,0,(IF(O13=0,((DATE(Voorblad!E$3+1,1,1)-DATE(Voorblad!$E$3,(N13),J13))*(H13-(4*I13)))/Voorblad!M$3,((DATE(Voorblad!$E$3,(O13),J13)-DATE(Voorblad!$E$3,(N13),J13))*(H13-(4*I13)))/Voorblad!M$3)))</f>
        <v>0</v>
      </c>
      <c r="J51" s="1681"/>
      <c r="K51" s="1681">
        <f>IF(O13=0,0,(IF(P13=0,((DATE(Voorblad!E$3+1,1,1)-DATE(Voorblad!$E$3,(O13),J13))*(H13-(5*I13)))/Voorblad!M$3,((DATE(Voorblad!$E$3,(P13),J13)-DATE(Voorblad!$E$3,(O13),J13))*(H13-(5*I13)))/Voorblad!M$3)))</f>
        <v>0</v>
      </c>
      <c r="L51" s="1681"/>
      <c r="M51" s="1681"/>
      <c r="N51" s="1681"/>
      <c r="O51" s="1681"/>
      <c r="P51" s="1681"/>
      <c r="Q51" s="521">
        <f>IF(P13=0,0,((DATE(Voorblad!E$3+1,1,1)-DATE(Voorblad!$E$3,(P13),J13))*(H13-(6*I13)))/Voorblad!M$3)</f>
        <v>0</v>
      </c>
      <c r="R51" s="618">
        <f t="shared" si="18"/>
        <v>0</v>
      </c>
      <c r="S51" s="1417">
        <f t="shared" si="21"/>
        <v>0</v>
      </c>
      <c r="T51"/>
      <c r="U51"/>
      <c r="V51"/>
      <c r="W51"/>
      <c r="X51"/>
      <c r="Y51"/>
      <c r="Z51"/>
      <c r="AA51" s="522">
        <f t="shared" si="19"/>
        <v>0</v>
      </c>
      <c r="AB51" s="522">
        <f t="shared" si="20"/>
        <v>0</v>
      </c>
    </row>
    <row r="52" spans="1:28" s="519" customFormat="1" ht="12.75" customHeight="1">
      <c r="A52" s="890">
        <f t="shared" si="17"/>
        <v>2508</v>
      </c>
      <c r="B52" s="1692">
        <f>IF(I14=0,H14,(((DATE(Voorblad!$E$3,K14,J14)-DATE(Voorblad!$E$3,1,1))*H14)/Voorblad!M$3))</f>
        <v>0</v>
      </c>
      <c r="C52" s="1692"/>
      <c r="D52" s="1681">
        <f>IF(K14=0,0,(IF(L14=0,((DATE(Voorblad!E$3+1,1,1)-DATE(Voorblad!$E$3,(K14),J14))*(H14-(1*I14)))/Voorblad!M$3,((DATE(Voorblad!$E$3,(L14),J14)-DATE(Voorblad!$E$3,(K14),J14))*(H14-(1*I14)))/Voorblad!M$3)))</f>
        <v>0</v>
      </c>
      <c r="E52" s="1681"/>
      <c r="F52" s="1681">
        <f>IF(L14=0,0,(IF(M14=0,((DATE(Voorblad!E$3+1,1,1)-DATE(Voorblad!$E$3,(L14),J14))*(H14-(2*I14)))/365,((DATE(Voorblad!$E$3,(M14),J14)-DATE(Voorblad!$E$3,(L14),J14))*(H14-(2*I14)))/Voorblad!M$3)))</f>
        <v>0</v>
      </c>
      <c r="G52" s="1681"/>
      <c r="H52" s="520">
        <f>IF(M14=0,0,(IF(N14=0,((DATE(Voorblad!E$3+1,1,1)-DATE(Voorblad!$E$3,(M14),J14))*(H14-(3*I14)))/Voorblad!M$3,((DATE(Voorblad!$E$3,(N14),J14)-DATE(Voorblad!$E$3,(M14),J14))*(H14-(3*I14)))/Voorblad!M$3)))</f>
        <v>0</v>
      </c>
      <c r="I52" s="1681">
        <f>IF(N14=0,0,(IF(O14=0,((DATE(Voorblad!E$3+1,1,1)-DATE(Voorblad!$E$3,(N14),J14))*(H14-(4*I14)))/Voorblad!M$3,((DATE(Voorblad!$E$3,(O14),J14)-DATE(Voorblad!$E$3,(N14),J14))*(H14-(4*I14)))/Voorblad!M$3)))</f>
        <v>0</v>
      </c>
      <c r="J52" s="1681"/>
      <c r="K52" s="1681">
        <f>IF(O14=0,0,(IF(P14=0,((DATE(Voorblad!E$3+1,1,1)-DATE(Voorblad!$E$3,(O14),J14))*(H14-(5*I14)))/Voorblad!M$3,((DATE(Voorblad!$E$3,(P14),J14)-DATE(Voorblad!$E$3,(O14),J14))*(H14-(5*I14)))/Voorblad!M$3)))</f>
        <v>0</v>
      </c>
      <c r="L52" s="1681"/>
      <c r="M52" s="1681"/>
      <c r="N52" s="1681"/>
      <c r="O52" s="1681"/>
      <c r="P52" s="1681"/>
      <c r="Q52" s="521">
        <f>IF(P14=0,0,((DATE(Voorblad!E$3+1,1,1)-DATE(Voorblad!$E$3,(P14),J14))*(H14-(6*I14)))/Voorblad!M$3)</f>
        <v>0</v>
      </c>
      <c r="R52" s="618">
        <f t="shared" si="18"/>
        <v>0</v>
      </c>
      <c r="S52" s="1417">
        <f t="shared" si="21"/>
        <v>0</v>
      </c>
      <c r="T52"/>
      <c r="U52"/>
      <c r="V52"/>
      <c r="W52"/>
      <c r="X52"/>
      <c r="Y52"/>
      <c r="Z52"/>
      <c r="AA52" s="522">
        <f t="shared" si="19"/>
        <v>0</v>
      </c>
      <c r="AB52" s="522">
        <f t="shared" si="20"/>
        <v>0</v>
      </c>
    </row>
    <row r="53" spans="1:28" s="519" customFormat="1" ht="12.75" customHeight="1">
      <c r="A53" s="890">
        <f t="shared" si="17"/>
        <v>2509</v>
      </c>
      <c r="B53" s="1692">
        <f>IF(I15=0,H15,(((DATE(Voorblad!$E$3,K15,J15)-DATE(Voorblad!$E$3,1,1))*H15)/Voorblad!M$3))</f>
        <v>0</v>
      </c>
      <c r="C53" s="1692"/>
      <c r="D53" s="1681">
        <f>IF(K15=0,0,(IF(L15=0,((DATE(Voorblad!E$3+1,1,1)-DATE(Voorblad!$E$3,(K15),J15))*(H15-(1*I15)))/Voorblad!M$3,((DATE(Voorblad!$E$3,(L15),J15)-DATE(Voorblad!$E$3,(K15),J15))*(H15-(1*I15)))/Voorblad!M$3)))</f>
        <v>0</v>
      </c>
      <c r="E53" s="1681"/>
      <c r="F53" s="1681">
        <f>IF(L15=0,0,(IF(M15=0,((DATE(Voorblad!E$3+1,1,1)-DATE(Voorblad!$E$3,(L15),J15))*(H15-(2*I15)))/365,((DATE(Voorblad!$E$3,(M15),J15)-DATE(Voorblad!$E$3,(L15),J15))*(H15-(2*I15)))/Voorblad!M$3)))</f>
        <v>0</v>
      </c>
      <c r="G53" s="1681"/>
      <c r="H53" s="520">
        <f>IF(M15=0,0,(IF(N15=0,((DATE(Voorblad!E$3+1,1,1)-DATE(Voorblad!$E$3,(M15),J15))*(H15-(3*I15)))/Voorblad!M$3,((DATE(Voorblad!$E$3,(N15),J15)-DATE(Voorblad!$E$3,(M15),J15))*(H15-(3*I15)))/Voorblad!M$3)))</f>
        <v>0</v>
      </c>
      <c r="I53" s="1681">
        <f>IF(N15=0,0,(IF(O15=0,((DATE(Voorblad!E$3+1,1,1)-DATE(Voorblad!$E$3,(N15),J15))*(H15-(4*I15)))/Voorblad!M$3,((DATE(Voorblad!$E$3,(O15),J15)-DATE(Voorblad!$E$3,(N15),J15))*(H15-(4*I15)))/Voorblad!M$3)))</f>
        <v>0</v>
      </c>
      <c r="J53" s="1681"/>
      <c r="K53" s="1681">
        <f>IF(O15=0,0,(IF(P15=0,((DATE(Voorblad!E$3+1,1,1)-DATE(Voorblad!$E$3,(O15),J15))*(H15-(5*I15)))/Voorblad!M$3,((DATE(Voorblad!$E$3,(P15),J15)-DATE(Voorblad!$E$3,(O15),J15))*(H15-(5*I15)))/Voorblad!M$3)))</f>
        <v>0</v>
      </c>
      <c r="L53" s="1681"/>
      <c r="M53" s="1681"/>
      <c r="N53" s="1681"/>
      <c r="O53" s="1681"/>
      <c r="P53" s="1681"/>
      <c r="Q53" s="521">
        <f>IF(P15=0,0,((DATE(Voorblad!E$3+1,1,1)-DATE(Voorblad!$E$3,(P15),J15))*(H15-(6*I15)))/Voorblad!M$3)</f>
        <v>0</v>
      </c>
      <c r="R53" s="618">
        <f t="shared" si="18"/>
        <v>0</v>
      </c>
      <c r="S53" s="1417">
        <f t="shared" si="21"/>
        <v>0</v>
      </c>
      <c r="T53"/>
      <c r="U53"/>
      <c r="V53"/>
      <c r="W53"/>
      <c r="X53"/>
      <c r="Y53"/>
      <c r="Z53"/>
      <c r="AA53" s="522"/>
      <c r="AB53" s="522"/>
    </row>
    <row r="54" spans="1:28" s="519" customFormat="1" ht="12.75" customHeight="1">
      <c r="A54" s="890">
        <f t="shared" si="17"/>
        <v>2510</v>
      </c>
      <c r="B54" s="1692">
        <f>IF(I16=0,H16,(((DATE(Voorblad!$E$3,K16,J16)-DATE(Voorblad!$E$3,1,1))*H16)/Voorblad!M$3))</f>
        <v>0</v>
      </c>
      <c r="C54" s="1692"/>
      <c r="D54" s="1681">
        <f>IF(K16=0,0,(IF(L16=0,((DATE(Voorblad!E$3+1,1,1)-DATE(Voorblad!$E$3,(K16),J16))*(H16-(1*I16)))/Voorblad!M$3,((DATE(Voorblad!$E$3,(L16),J16)-DATE(Voorblad!$E$3,(K16),J16))*(H16-(1*I16)))/Voorblad!M$3)))</f>
        <v>0</v>
      </c>
      <c r="E54" s="1681"/>
      <c r="F54" s="1681">
        <f>IF(L16=0,0,(IF(M16=0,((DATE(Voorblad!E$3+1,1,1)-DATE(Voorblad!$E$3,(L16),J16))*(H16-(2*I16)))/365,((DATE(Voorblad!$E$3,(M16),J16)-DATE(Voorblad!$E$3,(L16),J16))*(H16-(2*I16)))/Voorblad!M$3)))</f>
        <v>0</v>
      </c>
      <c r="G54" s="1681"/>
      <c r="H54" s="520">
        <f>IF(M16=0,0,(IF(N16=0,((DATE(Voorblad!E$3+1,1,1)-DATE(Voorblad!$E$3,(M16),J16))*(H16-(3*I16)))/Voorblad!M$3,((DATE(Voorblad!$E$3,(N16),J16)-DATE(Voorblad!$E$3,(M16),J16))*(H16-(3*I16)))/Voorblad!M$3)))</f>
        <v>0</v>
      </c>
      <c r="I54" s="1681">
        <f>IF(N16=0,0,(IF(O16=0,((DATE(Voorblad!E$3+1,1,1)-DATE(Voorblad!$E$3,(N16),J16))*(H16-(4*I16)))/Voorblad!M$3,((DATE(Voorblad!$E$3,(O16),J16)-DATE(Voorblad!$E$3,(N16),J16))*(H16-(4*I16)))/Voorblad!M$3)))</f>
        <v>0</v>
      </c>
      <c r="J54" s="1681"/>
      <c r="K54" s="1681">
        <f>IF(O16=0,0,(IF(P16=0,((DATE(Voorblad!E$3+1,1,1)-DATE(Voorblad!$E$3,(O16),J16))*(H16-(5*I16)))/Voorblad!M$3,((DATE(Voorblad!$E$3,(P16),J16)-DATE(Voorblad!$E$3,(O16),J16))*(H16-(5*I16)))/Voorblad!M$3)))</f>
        <v>0</v>
      </c>
      <c r="L54" s="1681"/>
      <c r="M54" s="1681"/>
      <c r="N54" s="1681"/>
      <c r="O54" s="1681"/>
      <c r="P54" s="1681"/>
      <c r="Q54" s="521">
        <f>IF(P16=0,0,((DATE(Voorblad!E$3+1,1,1)-DATE(Voorblad!$E$3,(P16),J16))*(H16-(6*I16)))/Voorblad!M$3)</f>
        <v>0</v>
      </c>
      <c r="R54" s="618">
        <f t="shared" si="18"/>
        <v>0</v>
      </c>
      <c r="S54" s="1417">
        <f t="shared" si="21"/>
        <v>0</v>
      </c>
      <c r="T54"/>
      <c r="U54"/>
      <c r="V54"/>
      <c r="W54"/>
      <c r="X54"/>
      <c r="Y54"/>
      <c r="Z54"/>
      <c r="AA54" s="522"/>
      <c r="AB54" s="522"/>
    </row>
    <row r="55" spans="1:28" s="519" customFormat="1" ht="12.75" customHeight="1">
      <c r="A55" s="890">
        <f aca="true" t="shared" si="22" ref="A55:A60">A22</f>
        <v>2516</v>
      </c>
      <c r="B55" s="1692">
        <f>IF(I17=0,H17,(((DATE(Voorblad!$E$3,K17,J17)-DATE(Voorblad!$E$3,1,1))*H17)/Voorblad!M$3))</f>
        <v>0</v>
      </c>
      <c r="C55" s="1692"/>
      <c r="D55" s="1681">
        <f>IF(K17=0,0,(IF(L17=0,((DATE(Voorblad!E$3+1,1,1)-DATE(Voorblad!$E$3,(K17),J17))*(H17-(1*I17)))/Voorblad!M$3,((DATE(Voorblad!$E$3,(L17),J17)-DATE(Voorblad!$E$3,(K17),J17))*(H17-(1*I17)))/Voorblad!M$3)))</f>
        <v>0</v>
      </c>
      <c r="E55" s="1681"/>
      <c r="F55" s="1681">
        <f>IF(L17=0,0,(IF(M17=0,((DATE(Voorblad!E$3+1,1,1)-DATE(Voorblad!$E$3,(L17),J17))*(H17-(2*I17)))/365,((DATE(Voorblad!$E$3,(M17),J17)-DATE(Voorblad!$E$3,(L17),J17))*(H17-(2*I17)))/Voorblad!M$3)))</f>
        <v>0</v>
      </c>
      <c r="G55" s="1681"/>
      <c r="H55" s="520">
        <f>IF(M17=0,0,(IF(N17=0,((DATE(Voorblad!E$3+1,1,1)-DATE(Voorblad!$E$3,(M17),J17))*(H17-(3*I17)))/Voorblad!M$3,((DATE(Voorblad!$E$3,(N17),J17)-DATE(Voorblad!$E$3,(M17),J17))*(H17-(3*I17)))/Voorblad!M$3)))</f>
        <v>0</v>
      </c>
      <c r="I55" s="1681">
        <f>IF(N17=0,0,(IF(O17=0,((DATE(Voorblad!E$3+1,1,1)-DATE(Voorblad!$E$3,(N17),J17))*(H17-(4*I17)))/Voorblad!M$3,((DATE(Voorblad!$E$3,(O17),J17)-DATE(Voorblad!$E$3,(N17),J17))*(H17-(4*I17)))/Voorblad!M$3)))</f>
        <v>0</v>
      </c>
      <c r="J55" s="1681"/>
      <c r="K55" s="1681">
        <f>IF(O17=0,0,(IF(P17=0,((DATE(Voorblad!E$3+1,1,1)-DATE(Voorblad!$E$3,(O17),J17))*(H17-(5*I17)))/Voorblad!M$3,((DATE(Voorblad!$E$3,(P17),J17)-DATE(Voorblad!$E$3,(O17),J17))*(H17-(5*I17)))/Voorblad!M$3)))</f>
        <v>0</v>
      </c>
      <c r="L55" s="1681"/>
      <c r="M55" s="1681"/>
      <c r="N55" s="1681"/>
      <c r="O55" s="1681"/>
      <c r="P55" s="1681"/>
      <c r="Q55" s="521">
        <f>IF(P17=0,0,((DATE(Voorblad!E$3+1,1,1)-DATE(Voorblad!$E$3,(P17),J17))*(H17-(6*I17)))/Voorblad!M$3)</f>
        <v>0</v>
      </c>
      <c r="R55" s="618">
        <f>SUM(B55:Q55)</f>
        <v>0</v>
      </c>
      <c r="S55" s="1417">
        <f t="shared" si="21"/>
        <v>0</v>
      </c>
      <c r="T55"/>
      <c r="U55"/>
      <c r="V55"/>
      <c r="W55"/>
      <c r="X55"/>
      <c r="Y55"/>
      <c r="Z55"/>
      <c r="AA55" s="522"/>
      <c r="AB55" s="522"/>
    </row>
    <row r="56" spans="1:28" s="519" customFormat="1" ht="12.75" customHeight="1">
      <c r="A56" s="890">
        <f t="shared" si="22"/>
        <v>2517</v>
      </c>
      <c r="B56" s="1692">
        <f>IF(I18=0,H18,(((DATE(Voorblad!$E$3,K18,J18)-DATE(Voorblad!$E$3,1,1))*H18)/Voorblad!M$3))</f>
        <v>0</v>
      </c>
      <c r="C56" s="1692"/>
      <c r="D56" s="1681">
        <f>IF(K18=0,0,(IF(L18=0,((DATE(Voorblad!E$3+1,1,1)-DATE(Voorblad!$E$3,(K18),J18))*(H18-(1*I18)))/Voorblad!M$3,((DATE(Voorblad!$E$3,(L18),J18)-DATE(Voorblad!$E$3,(K18),J18))*(H18-(1*I18)))/Voorblad!M$3)))</f>
        <v>0</v>
      </c>
      <c r="E56" s="1681"/>
      <c r="F56" s="1681">
        <f>IF(L18=0,0,(IF(M18=0,((DATE(Voorblad!E$3+1,1,1)-DATE(Voorblad!$E$3,(L18),J18))*(H18-(2*I18)))/365,((DATE(Voorblad!$E$3,(M18),J18)-DATE(Voorblad!$E$3,(L18),J18))*(H18-(2*I18)))/Voorblad!M$3)))</f>
        <v>0</v>
      </c>
      <c r="G56" s="1681"/>
      <c r="H56" s="520">
        <f>IF(M18=0,0,(IF(N18=0,((DATE(Voorblad!E$3+1,1,1)-DATE(Voorblad!$E$3,(M18),J18))*(H18-(3*I18)))/Voorblad!M$3,((DATE(Voorblad!$E$3,(N18),J18)-DATE(Voorblad!$E$3,(M18),J18))*(H18-(3*I18)))/Voorblad!M$3)))</f>
        <v>0</v>
      </c>
      <c r="I56" s="1681">
        <f>IF(N18=0,0,(IF(O18=0,((DATE(Voorblad!E$3+1,1,1)-DATE(Voorblad!$E$3,(N18),J18))*(H18-(4*I18)))/Voorblad!M$3,((DATE(Voorblad!$E$3,(O18),J18)-DATE(Voorblad!$E$3,(N18),J18))*(H18-(4*I18)))/Voorblad!M$3)))</f>
        <v>0</v>
      </c>
      <c r="J56" s="1681"/>
      <c r="K56" s="1681">
        <f>IF(O18=0,0,(IF(P18=0,((DATE(Voorblad!E$3+1,1,1)-DATE(Voorblad!$E$3,(O18),J18))*(H18-(5*I18)))/Voorblad!M$3,((DATE(Voorblad!$E$3,(P18),J18)-DATE(Voorblad!$E$3,(O18),J18))*(H18-(5*I18)))/Voorblad!M$3)))</f>
        <v>0</v>
      </c>
      <c r="L56" s="1681"/>
      <c r="M56" s="1681"/>
      <c r="N56" s="1681"/>
      <c r="O56" s="1681"/>
      <c r="P56" s="1681"/>
      <c r="Q56" s="521">
        <f>IF(P18=0,0,((DATE(Voorblad!E$3+1,1,1)-DATE(Voorblad!$E$3,(P18),J18))*(H18-(6*I18)))/Voorblad!M$3)</f>
        <v>0</v>
      </c>
      <c r="R56" s="618">
        <f>SUM(B56:Q56)</f>
        <v>0</v>
      </c>
      <c r="S56" s="1417">
        <f t="shared" si="21"/>
        <v>0</v>
      </c>
      <c r="T56"/>
      <c r="U56"/>
      <c r="V56"/>
      <c r="W56"/>
      <c r="X56"/>
      <c r="Y56"/>
      <c r="Z56"/>
      <c r="AA56" s="522"/>
      <c r="AB56" s="522"/>
    </row>
    <row r="57" spans="1:28" s="519" customFormat="1" ht="12.75" customHeight="1">
      <c r="A57" s="890">
        <f t="shared" si="22"/>
        <v>2518</v>
      </c>
      <c r="B57" s="1692">
        <f>IF(I19=0,H19,(((DATE(Voorblad!$E$3,K19,J19)-DATE(Voorblad!$E$3,1,1))*H19)/Voorblad!M$3))</f>
        <v>0</v>
      </c>
      <c r="C57" s="1692"/>
      <c r="D57" s="1681">
        <f>IF(K19=0,0,(IF(L19=0,((DATE(Voorblad!E$3+1,1,1)-DATE(Voorblad!$E$3,(K19),J19))*(H19-(1*I19)))/Voorblad!M$3,((DATE(Voorblad!$E$3,(L19),J19)-DATE(Voorblad!$E$3,(K19),J19))*(H19-(1*I19)))/Voorblad!M$3)))</f>
        <v>0</v>
      </c>
      <c r="E57" s="1681"/>
      <c r="F57" s="1681">
        <f>IF(L19=0,0,(IF(M19=0,((DATE(Voorblad!E$3+1,1,1)-DATE(Voorblad!$E$3,(L19),J19))*(H19-(2*I19)))/365,((DATE(Voorblad!$E$3,(M19),J19)-DATE(Voorblad!$E$3,(L19),J19))*(H19-(2*I19)))/Voorblad!M$3)))</f>
        <v>0</v>
      </c>
      <c r="G57" s="1681"/>
      <c r="H57" s="520">
        <f>IF(M19=0,0,(IF(N19=0,((DATE(Voorblad!E$3+1,1,1)-DATE(Voorblad!$E$3,(M19),J19))*(H19-(3*I19)))/Voorblad!M$3,((DATE(Voorblad!$E$3,(N19),J19)-DATE(Voorblad!$E$3,(M19),J19))*(H19-(3*I19)))/Voorblad!M$3)))</f>
        <v>0</v>
      </c>
      <c r="I57" s="1681">
        <f>IF(N19=0,0,(IF(O19=0,((DATE(Voorblad!E$3+1,1,1)-DATE(Voorblad!$E$3,(N19),J19))*(H19-(4*I19)))/Voorblad!M$3,((DATE(Voorblad!$E$3,(O19),J19)-DATE(Voorblad!$E$3,(N19),J19))*(H19-(4*I19)))/Voorblad!M$3)))</f>
        <v>0</v>
      </c>
      <c r="J57" s="1681"/>
      <c r="K57" s="1681">
        <f>IF(O19=0,0,(IF(P19=0,((DATE(Voorblad!E$3+1,1,1)-DATE(Voorblad!$E$3,(O19),J19))*(H19-(5*I19)))/Voorblad!M$3,((DATE(Voorblad!$E$3,(P19),J19)-DATE(Voorblad!$E$3,(O19),J19))*(H19-(5*I19)))/Voorblad!M$3)))</f>
        <v>0</v>
      </c>
      <c r="L57" s="1681"/>
      <c r="M57" s="1681"/>
      <c r="N57" s="1681"/>
      <c r="O57" s="1681"/>
      <c r="P57" s="1681"/>
      <c r="Q57" s="521">
        <f>IF(P19=0,0,((DATE(Voorblad!E$3+1,1,1)-DATE(Voorblad!$E$3,(P19),J19))*(H19-(6*I19)))/Voorblad!M$3)</f>
        <v>0</v>
      </c>
      <c r="R57" s="618">
        <f>SUM(B57:Q57)</f>
        <v>0</v>
      </c>
      <c r="S57" s="1417">
        <f t="shared" si="21"/>
        <v>0</v>
      </c>
      <c r="T57"/>
      <c r="U57"/>
      <c r="V57"/>
      <c r="W57"/>
      <c r="X57"/>
      <c r="Y57"/>
      <c r="Z57"/>
      <c r="AA57" s="522"/>
      <c r="AB57" s="522"/>
    </row>
    <row r="58" spans="1:28" s="519" customFormat="1" ht="12.75" customHeight="1">
      <c r="A58" s="890">
        <f t="shared" si="22"/>
        <v>2519</v>
      </c>
      <c r="B58" s="1692">
        <f>IF(I20=0,H20,(((DATE(Voorblad!$E$3,K20,J20)-DATE(Voorblad!$E$3,1,1))*H20)/Voorblad!M$3))</f>
        <v>0</v>
      </c>
      <c r="C58" s="1692"/>
      <c r="D58" s="1681">
        <f>IF(K20=0,0,(IF(L20=0,((DATE(Voorblad!E$3+1,1,1)-DATE(Voorblad!$E$3,(K20),J20))*(H20-(1*I20)))/Voorblad!M$3,((DATE(Voorblad!$E$3,(L20),J20)-DATE(Voorblad!$E$3,(K20),J20))*(H20-(1*I20)))/Voorblad!M$3)))</f>
        <v>0</v>
      </c>
      <c r="E58" s="1681"/>
      <c r="F58" s="1681">
        <f>IF(L20=0,0,(IF(M20=0,((DATE(Voorblad!E$3+1,1,1)-DATE(Voorblad!$E$3,(L20),J20))*(H20-(2*I20)))/365,((DATE(Voorblad!$E$3,(M20),J20)-DATE(Voorblad!$E$3,(L20),J20))*(H20-(2*I20)))/Voorblad!M$3)))</f>
        <v>0</v>
      </c>
      <c r="G58" s="1681"/>
      <c r="H58" s="520">
        <f>IF(M20=0,0,(IF(N20=0,((DATE(Voorblad!E$3+1,1,1)-DATE(Voorblad!$E$3,(M20),J20))*(H20-(3*I20)))/Voorblad!M$3,((DATE(Voorblad!$E$3,(N20),J20)-DATE(Voorblad!$E$3,(M20),J20))*(H20-(3*I20)))/Voorblad!M$3)))</f>
        <v>0</v>
      </c>
      <c r="I58" s="1681">
        <f>IF(N20=0,0,(IF(O20=0,((DATE(Voorblad!E$3+1,1,1)-DATE(Voorblad!$E$3,(N20),J20))*(H20-(4*I20)))/Voorblad!M$3,((DATE(Voorblad!$E$3,(O20),J20)-DATE(Voorblad!$E$3,(N20),J20))*(H20-(4*I20)))/Voorblad!M$3)))</f>
        <v>0</v>
      </c>
      <c r="J58" s="1681"/>
      <c r="K58" s="1681">
        <f>IF(O20=0,0,(IF(P20=0,((DATE(Voorblad!E$3+1,1,1)-DATE(Voorblad!$E$3,(O20),J20))*(H20-(5*I20)))/Voorblad!M$3,((DATE(Voorblad!$E$3,(P20),J20)-DATE(Voorblad!$E$3,(O20),J20))*(H20-(5*I20)))/Voorblad!M$3)))</f>
        <v>0</v>
      </c>
      <c r="L58" s="1681"/>
      <c r="M58" s="1681"/>
      <c r="N58" s="1681"/>
      <c r="O58" s="1681"/>
      <c r="P58" s="1681"/>
      <c r="Q58" s="521">
        <f>IF(P20=0,0,((DATE(Voorblad!E$3+1,1,1)-DATE(Voorblad!$E$3,(P20),J20))*(H20-(6*I20)))/Voorblad!M$3)</f>
        <v>0</v>
      </c>
      <c r="R58" s="618">
        <f>SUM(B58:Q58)</f>
        <v>0</v>
      </c>
      <c r="S58" s="1417">
        <f t="shared" si="21"/>
        <v>0</v>
      </c>
      <c r="T58"/>
      <c r="U58"/>
      <c r="V58"/>
      <c r="W58"/>
      <c r="X58"/>
      <c r="Y58"/>
      <c r="Z58"/>
      <c r="AA58" s="522"/>
      <c r="AB58" s="522"/>
    </row>
    <row r="59" spans="1:28" s="519" customFormat="1" ht="12.75" customHeight="1">
      <c r="A59" s="890">
        <f t="shared" si="22"/>
        <v>2520</v>
      </c>
      <c r="B59" s="1692">
        <f>IF(I21=0,H21,(((DATE(Voorblad!$E$3,K21,J21)-DATE(Voorblad!$E$3,1,1))*H21)/Voorblad!M$3))</f>
        <v>0</v>
      </c>
      <c r="C59" s="1692"/>
      <c r="D59" s="1681">
        <f>IF(K21=0,0,(IF(L21=0,((DATE(Voorblad!E$3+1,1,1)-DATE(Voorblad!$E$3,(K21),J21))*(H21-(1*I21)))/Voorblad!M$3,((DATE(Voorblad!$E$3,(L21),J21)-DATE(Voorblad!$E$3,(K21),J21))*(H21-(1*I21)))/Voorblad!M$3)))</f>
        <v>0</v>
      </c>
      <c r="E59" s="1681"/>
      <c r="F59" s="1681">
        <f>IF(L21=0,0,(IF(M21=0,((DATE(Voorblad!E$3+1,1,1)-DATE(Voorblad!$E$3,(L21),J21))*(H21-(2*I21)))/365,((DATE(Voorblad!$E$3,(M21),J21)-DATE(Voorblad!$E$3,(L21),J21))*(H21-(2*I21)))/Voorblad!M$3)))</f>
        <v>0</v>
      </c>
      <c r="G59" s="1681"/>
      <c r="H59" s="520">
        <f>IF(M21=0,0,(IF(N21=0,((DATE(Voorblad!E$3+1,1,1)-DATE(Voorblad!$E$3,(M21),J21))*(H21-(3*I21)))/Voorblad!M$3,((DATE(Voorblad!$E$3,(N21),J21)-DATE(Voorblad!$E$3,(M21),J21))*(H21-(3*I21)))/Voorblad!M$3)))</f>
        <v>0</v>
      </c>
      <c r="I59" s="1681">
        <f>IF(N21=0,0,(IF(O21=0,((DATE(Voorblad!E$3+1,1,1)-DATE(Voorblad!$E$3,(N21),J21))*(H21-(4*I21)))/Voorblad!M$3,((DATE(Voorblad!$E$3,(O21),J21)-DATE(Voorblad!$E$3,(N21),J21))*(H21-(4*I21)))/Voorblad!M$3)))</f>
        <v>0</v>
      </c>
      <c r="J59" s="1681"/>
      <c r="K59" s="1681">
        <f>IF(O21=0,0,(IF(P21=0,((DATE(Voorblad!E$3+1,1,1)-DATE(Voorblad!$E$3,(O21),J21))*(H21-(5*I21)))/Voorblad!M$3,((DATE(Voorblad!$E$3,(P21),J21)-DATE(Voorblad!$E$3,(O21),J21))*(H21-(5*I21)))/Voorblad!M$3)))</f>
        <v>0</v>
      </c>
      <c r="L59" s="1681"/>
      <c r="M59" s="1681"/>
      <c r="N59" s="1681"/>
      <c r="O59" s="1681"/>
      <c r="P59" s="1681"/>
      <c r="Q59" s="521">
        <f>IF(P21=0,0,((DATE(Voorblad!E$3+1,1,1)-DATE(Voorblad!$E$3,(P21),J21))*(H21-(6*I21)))/Voorblad!M$3)</f>
        <v>0</v>
      </c>
      <c r="R59" s="618">
        <f>SUM(B59:Q59)</f>
        <v>0</v>
      </c>
      <c r="S59" s="1417">
        <f t="shared" si="21"/>
        <v>0</v>
      </c>
      <c r="T59"/>
      <c r="U59"/>
      <c r="V59"/>
      <c r="W59"/>
      <c r="X59"/>
      <c r="Y59"/>
      <c r="Z59"/>
      <c r="AA59" s="522"/>
      <c r="AB59" s="522"/>
    </row>
    <row r="60" spans="1:28" s="519" customFormat="1" ht="12.75" customHeight="1">
      <c r="A60" s="890">
        <f t="shared" si="22"/>
        <v>2521</v>
      </c>
      <c r="B60" s="1692">
        <f>IF(I22=0,H22,(((DATE(Voorblad!$E$3,K22,J22)-DATE(Voorblad!$E$3,1,1))*H22)/Voorblad!M$3))</f>
        <v>0</v>
      </c>
      <c r="C60" s="1692"/>
      <c r="D60" s="1681">
        <f>IF(K22=0,0,(IF(L22=0,((DATE(Voorblad!E$3+1,1,1)-DATE(Voorblad!$E$3,(K22),J22))*(H22-(1*I22)))/Voorblad!M$3,((DATE(Voorblad!$E$3,(L22),J22)-DATE(Voorblad!$E$3,(K22),J22))*(H22-(1*I22)))/Voorblad!M$3)))</f>
        <v>0</v>
      </c>
      <c r="E60" s="1681"/>
      <c r="F60" s="1681">
        <f>IF(L22=0,0,(IF(M22=0,((DATE(Voorblad!E$3+1,1,1)-DATE(Voorblad!$E$3,(L22),J22))*(H22-(2*I22)))/365,((DATE(Voorblad!$E$3,(M22),J22)-DATE(Voorblad!$E$3,(L22),J22))*(H22-(2*I22)))/Voorblad!M$3)))</f>
        <v>0</v>
      </c>
      <c r="G60" s="1681"/>
      <c r="H60" s="520">
        <f>IF(M22=0,0,(IF(N22=0,((DATE(Voorblad!E$3+1,1,1)-DATE(Voorblad!$E$3,(M22),J22))*(H22-(3*I22)))/Voorblad!M$3,((DATE(Voorblad!$E$3,(N22),J22)-DATE(Voorblad!$E$3,(M22),J22))*(H22-(3*I22)))/Voorblad!M$3)))</f>
        <v>0</v>
      </c>
      <c r="I60" s="1681">
        <f>IF(N22=0,0,(IF(O22=0,((DATE(Voorblad!E$3+1,1,1)-DATE(Voorblad!$E$3,(N22),J22))*(H22-(4*I22)))/Voorblad!M$3,((DATE(Voorblad!$E$3,(O22),J22)-DATE(Voorblad!$E$3,(N22),J22))*(H22-(4*I22)))/Voorblad!M$3)))</f>
        <v>0</v>
      </c>
      <c r="J60" s="1681"/>
      <c r="K60" s="1681">
        <f>IF(O22=0,0,(IF(P22=0,((DATE(Voorblad!E$3+1,1,1)-DATE(Voorblad!$E$3,(O22),J22))*(H22-(5*I22)))/Voorblad!M$3,((DATE(Voorblad!$E$3,(P22),J22)-DATE(Voorblad!$E$3,(O22),J22))*(H22-(5*I22)))/Voorblad!M$3)))</f>
        <v>0</v>
      </c>
      <c r="L60" s="1681"/>
      <c r="M60" s="1681"/>
      <c r="N60" s="1681"/>
      <c r="O60" s="1681"/>
      <c r="P60" s="1681"/>
      <c r="Q60" s="521">
        <f>IF(P22=0,0,((DATE(Voorblad!E$3+1,1,1)-DATE(Voorblad!$E$3,(P22),J22))*(H22-(6*I22)))/Voorblad!M$3)</f>
        <v>0</v>
      </c>
      <c r="R60" s="618">
        <f aca="true" t="shared" si="23" ref="R60:R71">SUM(B60:Q60)</f>
        <v>0</v>
      </c>
      <c r="S60" s="1417">
        <f t="shared" si="21"/>
        <v>0</v>
      </c>
      <c r="T60"/>
      <c r="U60"/>
      <c r="V60"/>
      <c r="W60"/>
      <c r="X60"/>
      <c r="Y60"/>
      <c r="Z60"/>
      <c r="AA60" s="522">
        <f t="shared" si="19"/>
        <v>0</v>
      </c>
      <c r="AB60" s="522">
        <f t="shared" si="20"/>
        <v>0</v>
      </c>
    </row>
    <row r="61" spans="1:28" s="519" customFormat="1" ht="12.75" customHeight="1">
      <c r="A61" s="890">
        <f>A16</f>
        <v>2510</v>
      </c>
      <c r="B61" s="1692">
        <f>IF(I23=0,H23,(((DATE(Voorblad!$E$3,K23,J23)-DATE(Voorblad!$E$3,1,1))*H23)/Voorblad!M$3))</f>
        <v>0</v>
      </c>
      <c r="C61" s="1692"/>
      <c r="D61" s="1681">
        <f>IF(K23=0,0,(IF(L23=0,((DATE(Voorblad!E$3+1,1,1)-DATE(Voorblad!$E$3,(K23),J23))*(H23-(1*I23)))/Voorblad!M$3,((DATE(Voorblad!$E$3,(L23),J23)-DATE(Voorblad!$E$3,(K23),J23))*(H23-(1*I23)))/Voorblad!M$3)))</f>
        <v>0</v>
      </c>
      <c r="E61" s="1681"/>
      <c r="F61" s="1681">
        <f>IF(L23=0,0,(IF(M23=0,((DATE(Voorblad!E$3+1,1,1)-DATE(Voorblad!$E$3,(L23),J23))*(H23-(2*I23)))/365,((DATE(Voorblad!$E$3,(M23),J23)-DATE(Voorblad!$E$3,(L23),J23))*(H23-(2*I23)))/Voorblad!M$3)))</f>
        <v>0</v>
      </c>
      <c r="G61" s="1681"/>
      <c r="H61" s="520">
        <f>IF(M23=0,0,(IF(N23=0,((DATE(Voorblad!E$3+1,1,1)-DATE(Voorblad!$E$3,(M23),J23))*(H23-(3*I23)))/Voorblad!M$3,((DATE(Voorblad!$E$3,(N23),J23)-DATE(Voorblad!$E$3,(M23),J23))*(H23-(3*I23)))/Voorblad!M$3)))</f>
        <v>0</v>
      </c>
      <c r="I61" s="1681">
        <f>IF(N23=0,0,(IF(O23=0,((DATE(Voorblad!E$3+1,1,1)-DATE(Voorblad!$E$3,(N23),J23))*(H23-(4*I23)))/Voorblad!M$3,((DATE(Voorblad!$E$3,(O23),J23)-DATE(Voorblad!$E$3,(N23),J23))*(H23-(4*I23)))/Voorblad!M$3)))</f>
        <v>0</v>
      </c>
      <c r="J61" s="1681"/>
      <c r="K61" s="1681">
        <f>IF(O23=0,0,(IF(P23=0,((DATE(Voorblad!E$3+1,1,1)-DATE(Voorblad!$E$3,(O23),J23))*(H23-(5*I23)))/Voorblad!M$3,((DATE(Voorblad!$E$3,(P23),J23)-DATE(Voorblad!$E$3,(O23),J23))*(H23-(5*I23)))/Voorblad!M$3)))</f>
        <v>0</v>
      </c>
      <c r="L61" s="1681"/>
      <c r="M61" s="1681"/>
      <c r="N61" s="1681"/>
      <c r="O61" s="1681"/>
      <c r="P61" s="1681"/>
      <c r="Q61" s="521">
        <f>IF(P23=0,0,((DATE(Voorblad!E$3+1,1,1)-DATE(Voorblad!$E$3,(P23),J23))*(H23-(6*I23)))/Voorblad!M$3)</f>
        <v>0</v>
      </c>
      <c r="R61" s="618">
        <f t="shared" si="23"/>
        <v>0</v>
      </c>
      <c r="S61" s="1417">
        <f t="shared" si="21"/>
        <v>0</v>
      </c>
      <c r="T61"/>
      <c r="U61"/>
      <c r="V61"/>
      <c r="W61"/>
      <c r="X61"/>
      <c r="Y61"/>
      <c r="Z61"/>
      <c r="AA61" s="522">
        <f t="shared" si="19"/>
        <v>0</v>
      </c>
      <c r="AB61" s="522">
        <f t="shared" si="20"/>
        <v>0</v>
      </c>
    </row>
    <row r="62" spans="1:28" s="519" customFormat="1" ht="12.75" customHeight="1">
      <c r="A62" s="890">
        <f aca="true" t="shared" si="24" ref="A62:A68">A22</f>
        <v>2516</v>
      </c>
      <c r="B62" s="1692">
        <f>IF(I24=0,H24,(((DATE(Voorblad!$E$3,K24,J24)-DATE(Voorblad!$E$3,1,1))*H24)/Voorblad!M$3))</f>
        <v>0</v>
      </c>
      <c r="C62" s="1692"/>
      <c r="D62" s="1681">
        <f>IF(K24=0,0,(IF(L24=0,((DATE(Voorblad!E$3+1,1,1)-DATE(Voorblad!$E$3,(K24),J24))*(H24-(1*I24)))/Voorblad!M$3,((DATE(Voorblad!$E$3,(L24),J24)-DATE(Voorblad!$E$3,(K24),J24))*(H24-(1*I24)))/Voorblad!M$3)))</f>
        <v>0</v>
      </c>
      <c r="E62" s="1681"/>
      <c r="F62" s="1681">
        <f>IF(L24=0,0,(IF(M24=0,((DATE(Voorblad!E$3+1,1,1)-DATE(Voorblad!$E$3,(L24),J24))*(H24-(2*I24)))/365,((DATE(Voorblad!$E$3,(M24),J24)-DATE(Voorblad!$E$3,(L24),J24))*(H24-(2*I24)))/Voorblad!M$3)))</f>
        <v>0</v>
      </c>
      <c r="G62" s="1681"/>
      <c r="H62" s="520">
        <f>IF(M24=0,0,(IF(N24=0,((DATE(Voorblad!E$3+1,1,1)-DATE(Voorblad!$E$3,(M24),J24))*(H24-(3*I24)))/Voorblad!M$3,((DATE(Voorblad!$E$3,(N24),J24)-DATE(Voorblad!$E$3,(M24),J24))*(H24-(3*I24)))/Voorblad!M$3)))</f>
        <v>0</v>
      </c>
      <c r="I62" s="1681">
        <f>IF(N24=0,0,(IF(O24=0,((DATE(Voorblad!E$3+1,1,1)-DATE(Voorblad!$E$3,(N24),J24))*(H24-(4*I24)))/Voorblad!M$3,((DATE(Voorblad!$E$3,(O24),J24)-DATE(Voorblad!$E$3,(N24),J24))*(H24-(4*I24)))/Voorblad!M$3)))</f>
        <v>0</v>
      </c>
      <c r="J62" s="1681"/>
      <c r="K62" s="1681">
        <f>IF(O24=0,0,(IF(P24=0,((DATE(Voorblad!E$3+1,1,1)-DATE(Voorblad!$E$3,(O24),J24))*(H24-(5*I24)))/Voorblad!M$3,((DATE(Voorblad!$E$3,(P24),J24)-DATE(Voorblad!$E$3,(O24),J24))*(H24-(5*I24)))/Voorblad!M$3)))</f>
        <v>0</v>
      </c>
      <c r="L62" s="1681"/>
      <c r="M62" s="1681"/>
      <c r="N62" s="1681"/>
      <c r="O62" s="1681"/>
      <c r="P62" s="1681"/>
      <c r="Q62" s="521">
        <f>IF(P24=0,0,((DATE(Voorblad!E$3+1,1,1)-DATE(Voorblad!$E$3,(P24),J24))*(H24-(6*I24)))/Voorblad!M$3)</f>
        <v>0</v>
      </c>
      <c r="R62" s="618">
        <f t="shared" si="23"/>
        <v>0</v>
      </c>
      <c r="S62" s="1417">
        <f t="shared" si="21"/>
        <v>0</v>
      </c>
      <c r="T62"/>
      <c r="U62"/>
      <c r="V62"/>
      <c r="W62"/>
      <c r="X62"/>
      <c r="Y62"/>
      <c r="Z62"/>
      <c r="AA62" s="522">
        <f t="shared" si="19"/>
        <v>0</v>
      </c>
      <c r="AB62" s="522">
        <f t="shared" si="20"/>
        <v>0</v>
      </c>
    </row>
    <row r="63" spans="1:28" s="519" customFormat="1" ht="12.75" customHeight="1">
      <c r="A63" s="890">
        <f t="shared" si="24"/>
        <v>2517</v>
      </c>
      <c r="B63" s="1692">
        <f>IF(I25=0,H25,(((DATE(Voorblad!$E$3,K25,J25)-DATE(Voorblad!$E$3,1,1))*H25)/Voorblad!M$3))</f>
        <v>0</v>
      </c>
      <c r="C63" s="1692"/>
      <c r="D63" s="1681">
        <f>IF(K25=0,0,(IF(L25=0,((DATE(Voorblad!E$3+1,1,1)-DATE(Voorblad!$E$3,(K25),J25))*(H25-(1*I25)))/Voorblad!M$3,((DATE(Voorblad!$E$3,(L25),J25)-DATE(Voorblad!$E$3,(K25),J25))*(H25-(1*I25)))/Voorblad!M$3)))</f>
        <v>0</v>
      </c>
      <c r="E63" s="1681"/>
      <c r="F63" s="1681">
        <f>IF(L25=0,0,(IF(M25=0,((DATE(Voorblad!E$3+1,1,1)-DATE(Voorblad!$E$3,(L25),J25))*(H25-(2*I25)))/365,((DATE(Voorblad!$E$3,(M25),J25)-DATE(Voorblad!$E$3,(L25),J25))*(H25-(2*I25)))/Voorblad!M$3)))</f>
        <v>0</v>
      </c>
      <c r="G63" s="1681"/>
      <c r="H63" s="520">
        <f>IF(M25=0,0,(IF(N25=0,((DATE(Voorblad!E$3+1,1,1)-DATE(Voorblad!$E$3,(M25),J25))*(H25-(3*I25)))/Voorblad!M$3,((DATE(Voorblad!$E$3,(N25),J25)-DATE(Voorblad!$E$3,(M25),J25))*(H25-(3*I25)))/Voorblad!M$3)))</f>
        <v>0</v>
      </c>
      <c r="I63" s="1681">
        <f>IF(N25=0,0,(IF(O25=0,((DATE(Voorblad!E$3+1,1,1)-DATE(Voorblad!$E$3,(N25),J25))*(H25-(4*I25)))/Voorblad!M$3,((DATE(Voorblad!$E$3,(O25),J25)-DATE(Voorblad!$E$3,(N25),J25))*(H25-(4*I25)))/Voorblad!M$3)))</f>
        <v>0</v>
      </c>
      <c r="J63" s="1681"/>
      <c r="K63" s="1681">
        <f>IF(O25=0,0,(IF(P25=0,((DATE(Voorblad!E$3+1,1,1)-DATE(Voorblad!$E$3,(O25),J25))*(H25-(5*I25)))/Voorblad!M$3,((DATE(Voorblad!$E$3,(P25),J25)-DATE(Voorblad!$E$3,(O25),J25))*(H25-(5*I25)))/Voorblad!M$3)))</f>
        <v>0</v>
      </c>
      <c r="L63" s="1681"/>
      <c r="M63" s="1681"/>
      <c r="N63" s="1681"/>
      <c r="O63" s="1681"/>
      <c r="P63" s="1681"/>
      <c r="Q63" s="521">
        <f>IF(P25=0,0,((DATE(Voorblad!E$3+1,1,1)-DATE(Voorblad!$E$3,(P25),J25))*(H25-(6*I25)))/Voorblad!M$3)</f>
        <v>0</v>
      </c>
      <c r="R63" s="618">
        <f t="shared" si="23"/>
        <v>0</v>
      </c>
      <c r="S63" s="1417">
        <f t="shared" si="21"/>
        <v>0</v>
      </c>
      <c r="T63"/>
      <c r="U63"/>
      <c r="V63"/>
      <c r="W63"/>
      <c r="X63"/>
      <c r="Y63"/>
      <c r="Z63"/>
      <c r="AA63" s="522">
        <f t="shared" si="19"/>
        <v>0</v>
      </c>
      <c r="AB63" s="522">
        <f t="shared" si="20"/>
        <v>0</v>
      </c>
    </row>
    <row r="64" spans="1:28" s="519" customFormat="1" ht="12.75" customHeight="1">
      <c r="A64" s="890">
        <f t="shared" si="24"/>
        <v>2518</v>
      </c>
      <c r="B64" s="1692">
        <f>IF(I26=0,H26,(((DATE(Voorblad!$E$3,K26,J26)-DATE(Voorblad!$E$3,1,1))*H26)/Voorblad!M$3))</f>
        <v>0</v>
      </c>
      <c r="C64" s="1692"/>
      <c r="D64" s="1681">
        <f>IF(K26=0,0,(IF(L26=0,((DATE(Voorblad!E$3+1,1,1)-DATE(Voorblad!$E$3,(K26),J26))*(H26-(1*I26)))/Voorblad!M$3,((DATE(Voorblad!$E$3,(L26),J26)-DATE(Voorblad!$E$3,(K26),J26))*(H26-(1*I26)))/Voorblad!M$3)))</f>
        <v>0</v>
      </c>
      <c r="E64" s="1681"/>
      <c r="F64" s="1681">
        <f>IF(L26=0,0,(IF(M26=0,((DATE(Voorblad!E$3+1,1,1)-DATE(Voorblad!$E$3,(L26),J26))*(H26-(2*I26)))/365,((DATE(Voorblad!$E$3,(M26),J26)-DATE(Voorblad!$E$3,(L26),J26))*(H26-(2*I26)))/Voorblad!M$3)))</f>
        <v>0</v>
      </c>
      <c r="G64" s="1681"/>
      <c r="H64" s="520">
        <f>IF(M26=0,0,(IF(N26=0,((DATE(Voorblad!E$3+1,1,1)-DATE(Voorblad!$E$3,(M26),J26))*(H26-(3*I26)))/Voorblad!M$3,((DATE(Voorblad!$E$3,(N26),J26)-DATE(Voorblad!$E$3,(M26),J26))*(H26-(3*I26)))/Voorblad!M$3)))</f>
        <v>0</v>
      </c>
      <c r="I64" s="1681">
        <f>IF(N26=0,0,(IF(O26=0,((DATE(Voorblad!E$3+1,1,1)-DATE(Voorblad!$E$3,(N26),J26))*(H26-(4*I26)))/Voorblad!M$3,((DATE(Voorblad!$E$3,(O26),J26)-DATE(Voorblad!$E$3,(N26),J26))*(H26-(4*I26)))/Voorblad!M$3)))</f>
        <v>0</v>
      </c>
      <c r="J64" s="1681"/>
      <c r="K64" s="1681">
        <f>IF(O26=0,0,(IF(P26=0,((DATE(Voorblad!E$3+1,1,1)-DATE(Voorblad!$E$3,(O26),J26))*(H26-(5*I26)))/Voorblad!M$3,((DATE(Voorblad!$E$3,(P26),J26)-DATE(Voorblad!$E$3,(O26),J26))*(H26-(5*I26)))/Voorblad!M$3)))</f>
        <v>0</v>
      </c>
      <c r="L64" s="1681"/>
      <c r="M64" s="1681"/>
      <c r="N64" s="1681"/>
      <c r="O64" s="1681"/>
      <c r="P64" s="1681"/>
      <c r="Q64" s="521">
        <f>IF(P26=0,0,((DATE(Voorblad!E$3+1,1,1)-DATE(Voorblad!$E$3,(P26),J26))*(H26-(6*I26)))/Voorblad!M$3)</f>
        <v>0</v>
      </c>
      <c r="R64" s="618">
        <f t="shared" si="23"/>
        <v>0</v>
      </c>
      <c r="S64" s="1417">
        <f t="shared" si="21"/>
        <v>0</v>
      </c>
      <c r="T64"/>
      <c r="U64"/>
      <c r="V64"/>
      <c r="W64"/>
      <c r="X64"/>
      <c r="Y64"/>
      <c r="Z64"/>
      <c r="AA64" s="522">
        <f t="shared" si="19"/>
        <v>0</v>
      </c>
      <c r="AB64" s="522">
        <f t="shared" si="20"/>
        <v>0</v>
      </c>
    </row>
    <row r="65" spans="1:28" s="519" customFormat="1" ht="12.75" customHeight="1">
      <c r="A65" s="890">
        <f t="shared" si="24"/>
        <v>2519</v>
      </c>
      <c r="B65" s="1692">
        <f>IF(I27=0,H27,(((DATE(Voorblad!$E$3,K27,J27)-DATE(Voorblad!$E$3,1,1))*H27)/Voorblad!M$3))</f>
        <v>0</v>
      </c>
      <c r="C65" s="1692"/>
      <c r="D65" s="1681">
        <f>IF(K27=0,0,(IF(L27=0,((DATE(Voorblad!E$3+1,1,1)-DATE(Voorblad!$E$3,(K27),J27))*(H27-(1*I27)))/Voorblad!M$3,((DATE(Voorblad!$E$3,(L27),J27)-DATE(Voorblad!$E$3,(K27),J27))*(H27-(1*I27)))/Voorblad!M$3)))</f>
        <v>0</v>
      </c>
      <c r="E65" s="1681"/>
      <c r="F65" s="1681">
        <f>IF(L27=0,0,(IF(M27=0,((DATE(Voorblad!E$3+1,1,1)-DATE(Voorblad!$E$3,(L27),J27))*(H27-(2*I27)))/365,((DATE(Voorblad!$E$3,(M27),J27)-DATE(Voorblad!$E$3,(L27),J27))*(H27-(2*I27)))/Voorblad!M$3)))</f>
        <v>0</v>
      </c>
      <c r="G65" s="1681"/>
      <c r="H65" s="520">
        <f>IF(M27=0,0,(IF(N27=0,((DATE(Voorblad!E$3+1,1,1)-DATE(Voorblad!$E$3,(M27),J27))*(H27-(3*I27)))/Voorblad!M$3,((DATE(Voorblad!$E$3,(N27),J27)-DATE(Voorblad!$E$3,(M27),J27))*(H27-(3*I27)))/Voorblad!M$3)))</f>
        <v>0</v>
      </c>
      <c r="I65" s="1681">
        <f>IF(N27=0,0,(IF(O27=0,((DATE(Voorblad!E$3+1,1,1)-DATE(Voorblad!$E$3,(N27),J27))*(H27-(4*I27)))/Voorblad!M$3,((DATE(Voorblad!$E$3,(O27),J27)-DATE(Voorblad!$E$3,(N27),J27))*(H27-(4*I27)))/Voorblad!M$3)))</f>
        <v>0</v>
      </c>
      <c r="J65" s="1681"/>
      <c r="K65" s="1681">
        <f>IF(O27=0,0,(IF(P27=0,((DATE(Voorblad!E$3+1,1,1)-DATE(Voorblad!$E$3,(O27),J27))*(H27-(5*I27)))/Voorblad!M$3,((DATE(Voorblad!$E$3,(P27),J27)-DATE(Voorblad!$E$3,(O27),J27))*(H27-(5*I27)))/Voorblad!M$3)))</f>
        <v>0</v>
      </c>
      <c r="L65" s="1681"/>
      <c r="M65" s="1681"/>
      <c r="N65" s="1681"/>
      <c r="O65" s="1681"/>
      <c r="P65" s="1681"/>
      <c r="Q65" s="521">
        <f>IF(P27=0,0,((DATE(Voorblad!E$3+1,1,1)-DATE(Voorblad!$E$3,(P27),J27))*(H27-(6*I27)))/Voorblad!M$3)</f>
        <v>0</v>
      </c>
      <c r="R65" s="618">
        <f t="shared" si="23"/>
        <v>0</v>
      </c>
      <c r="S65" s="1417">
        <f t="shared" si="21"/>
        <v>0</v>
      </c>
      <c r="T65"/>
      <c r="U65"/>
      <c r="V65"/>
      <c r="W65"/>
      <c r="X65"/>
      <c r="Y65"/>
      <c r="Z65"/>
      <c r="AA65" s="522">
        <f t="shared" si="19"/>
        <v>0</v>
      </c>
      <c r="AB65" s="522">
        <f t="shared" si="20"/>
        <v>0</v>
      </c>
    </row>
    <row r="66" spans="1:28" s="519" customFormat="1" ht="12.75" customHeight="1">
      <c r="A66" s="890">
        <f t="shared" si="24"/>
        <v>2520</v>
      </c>
      <c r="B66" s="1692">
        <f>IF(I28=0,H28,(((DATE(Voorblad!$E$3,K28,J28)-DATE(Voorblad!$E$3,1,1))*H28)/Voorblad!M$3))</f>
        <v>0</v>
      </c>
      <c r="C66" s="1692"/>
      <c r="D66" s="1681">
        <f>IF(K28=0,0,(IF(L28=0,((DATE(Voorblad!E$3+1,1,1)-DATE(Voorblad!$E$3,(K28),J28))*(H28-(1*I28)))/Voorblad!M$3,((DATE(Voorblad!$E$3,(L28),J28)-DATE(Voorblad!$E$3,(K28),J28))*(H28-(1*I28)))/Voorblad!M$3)))</f>
        <v>0</v>
      </c>
      <c r="E66" s="1681"/>
      <c r="F66" s="1681">
        <f>IF(L28=0,0,(IF(M28=0,((DATE(Voorblad!E$3+1,1,1)-DATE(Voorblad!$E$3,(L28),J28))*(H28-(2*I28)))/365,((DATE(Voorblad!$E$3,(M28),J28)-DATE(Voorblad!$E$3,(L28),J28))*(H28-(2*I28)))/Voorblad!M$3)))</f>
        <v>0</v>
      </c>
      <c r="G66" s="1681"/>
      <c r="H66" s="520">
        <f>IF(M28=0,0,(IF(N28=0,((DATE(Voorblad!E$3+1,1,1)-DATE(Voorblad!$E$3,(M28),J28))*(H28-(3*I28)))/Voorblad!M$3,((DATE(Voorblad!$E$3,(N28),J28)-DATE(Voorblad!$E$3,(M28),J28))*(H28-(3*I28)))/Voorblad!M$3)))</f>
        <v>0</v>
      </c>
      <c r="I66" s="1681">
        <f>IF(N28=0,0,(IF(O28=0,((DATE(Voorblad!E$3+1,1,1)-DATE(Voorblad!$E$3,(N28),J28))*(H28-(4*I28)))/Voorblad!M$3,((DATE(Voorblad!$E$3,(O28),J28)-DATE(Voorblad!$E$3,(N28),J28))*(H28-(4*I28)))/Voorblad!M$3)))</f>
        <v>0</v>
      </c>
      <c r="J66" s="1681"/>
      <c r="K66" s="1681">
        <f>IF(O28=0,0,(IF(P28=0,((DATE(Voorblad!E$3+1,1,1)-DATE(Voorblad!$E$3,(O28),J28))*(H28-(5*I28)))/Voorblad!M$3,((DATE(Voorblad!$E$3,(P28),J28)-DATE(Voorblad!$E$3,(O28),J28))*(H28-(5*I28)))/Voorblad!M$3)))</f>
        <v>0</v>
      </c>
      <c r="L66" s="1681"/>
      <c r="M66" s="1681"/>
      <c r="N66" s="1681"/>
      <c r="O66" s="1681"/>
      <c r="P66" s="1681"/>
      <c r="Q66" s="521">
        <f>IF(P28=0,0,((DATE(Voorblad!E$3+1,1,1)-DATE(Voorblad!$E$3,(P28),J28))*(H28-(6*I28)))/Voorblad!M$3)</f>
        <v>0</v>
      </c>
      <c r="R66" s="618">
        <f t="shared" si="23"/>
        <v>0</v>
      </c>
      <c r="S66" s="1417">
        <f t="shared" si="21"/>
        <v>0</v>
      </c>
      <c r="T66"/>
      <c r="U66"/>
      <c r="V66"/>
      <c r="W66"/>
      <c r="X66"/>
      <c r="Y66"/>
      <c r="Z66"/>
      <c r="AA66" s="522">
        <f t="shared" si="19"/>
        <v>0</v>
      </c>
      <c r="AB66" s="522">
        <f t="shared" si="20"/>
        <v>0</v>
      </c>
    </row>
    <row r="67" spans="1:28" s="519" customFormat="1" ht="12.75" customHeight="1">
      <c r="A67" s="890">
        <f t="shared" si="24"/>
        <v>2521</v>
      </c>
      <c r="B67" s="1692">
        <f>IF(I29=0,H29,(((DATE(Voorblad!$E$3,K29,J29)-DATE(Voorblad!$E$3,1,1))*H29)/Voorblad!M$3))</f>
        <v>0</v>
      </c>
      <c r="C67" s="1692"/>
      <c r="D67" s="1681">
        <f>IF(K29=0,0,(IF(L29=0,((DATE(Voorblad!E$3+1,1,1)-DATE(Voorblad!$E$3,(K29),J29))*(H29-(1*I29)))/Voorblad!M$3,((DATE(Voorblad!$E$3,(L29),J29)-DATE(Voorblad!$E$3,(K29),J29))*(H29-(1*I29)))/Voorblad!M$3)))</f>
        <v>0</v>
      </c>
      <c r="E67" s="1681"/>
      <c r="F67" s="1681">
        <f>IF(L29=0,0,(IF(M29=0,((DATE(Voorblad!E$3+1,1,1)-DATE(Voorblad!$E$3,(L29),J29))*(H29-(2*I29)))/365,((DATE(Voorblad!$E$3,(M29),J29)-DATE(Voorblad!$E$3,(L29),J29))*(H29-(2*I29)))/Voorblad!M$3)))</f>
        <v>0</v>
      </c>
      <c r="G67" s="1681"/>
      <c r="H67" s="520">
        <f>IF(M29=0,0,(IF(N29=0,((DATE(Voorblad!E$3+1,1,1)-DATE(Voorblad!$E$3,(M29),J29))*(H29-(3*I29)))/Voorblad!M$3,((DATE(Voorblad!$E$3,(N29),J29)-DATE(Voorblad!$E$3,(M29),J29))*(H29-(3*I29)))/Voorblad!M$3)))</f>
        <v>0</v>
      </c>
      <c r="I67" s="1681">
        <f>IF(N29=0,0,(IF(O29=0,((DATE(Voorblad!E$3+1,1,1)-DATE(Voorblad!$E$3,(N29),J29))*(H29-(4*I29)))/Voorblad!M$3,((DATE(Voorblad!$E$3,(O29),J29)-DATE(Voorblad!$E$3,(N29),J29))*(H29-(4*I29)))/Voorblad!M$3)))</f>
        <v>0</v>
      </c>
      <c r="J67" s="1681"/>
      <c r="K67" s="1681">
        <f>IF(O29=0,0,(IF(P29=0,((DATE(Voorblad!E$3+1,1,1)-DATE(Voorblad!$E$3,(O29),J29))*(H29-(5*I29)))/Voorblad!M$3,((DATE(Voorblad!$E$3,(P29),J29)-DATE(Voorblad!$E$3,(O29),J29))*(H29-(5*I29)))/Voorblad!M$3)))</f>
        <v>0</v>
      </c>
      <c r="L67" s="1681"/>
      <c r="M67" s="1681"/>
      <c r="N67" s="1681"/>
      <c r="O67" s="1681"/>
      <c r="P67" s="1681"/>
      <c r="Q67" s="521">
        <f>IF(P29=0,0,((DATE(Voorblad!E$3+1,1,1)-DATE(Voorblad!$E$3,(P29),J29))*(H29-(6*I29)))/Voorblad!M$3)</f>
        <v>0</v>
      </c>
      <c r="R67" s="618">
        <f t="shared" si="23"/>
        <v>0</v>
      </c>
      <c r="S67" s="1417">
        <f t="shared" si="21"/>
        <v>0</v>
      </c>
      <c r="T67"/>
      <c r="U67"/>
      <c r="V67"/>
      <c r="W67"/>
      <c r="X67"/>
      <c r="Y67"/>
      <c r="Z67"/>
      <c r="AA67" s="522">
        <f t="shared" si="19"/>
        <v>0</v>
      </c>
      <c r="AB67" s="522">
        <f t="shared" si="20"/>
        <v>0</v>
      </c>
    </row>
    <row r="68" spans="1:28" s="519" customFormat="1" ht="12.75" customHeight="1">
      <c r="A68" s="890">
        <f t="shared" si="24"/>
        <v>2522</v>
      </c>
      <c r="B68" s="1692">
        <f>IF(I30=0,H30,(((DATE(Voorblad!$E$3,K30,J30)-DATE(Voorblad!$E$3,1,1))*H30)/Voorblad!M$3))</f>
        <v>0</v>
      </c>
      <c r="C68" s="1692"/>
      <c r="D68" s="1681">
        <f>IF(K30=0,0,(IF(L30=0,((DATE(Voorblad!E$3+1,1,1)-DATE(Voorblad!$E$3,(K30),J30))*(H30-(1*I30)))/Voorblad!M$3,((DATE(Voorblad!$E$3,(L30),J30)-DATE(Voorblad!$E$3,(K30),J30))*(H30-(1*I30)))/Voorblad!M$3)))</f>
        <v>0</v>
      </c>
      <c r="E68" s="1681"/>
      <c r="F68" s="1681">
        <f>IF(L30=0,0,(IF(M30=0,((DATE(Voorblad!E$3+1,1,1)-DATE(Voorblad!$E$3,(L30),J30))*(H30-(2*I30)))/365,((DATE(Voorblad!$E$3,(M30),J30)-DATE(Voorblad!$E$3,(L30),J30))*(H30-(2*I30)))/Voorblad!M$3)))</f>
        <v>0</v>
      </c>
      <c r="G68" s="1681"/>
      <c r="H68" s="520">
        <f>IF(M30=0,0,(IF(N30=0,((DATE(Voorblad!E$3+1,1,1)-DATE(Voorblad!$E$3,(M30),J30))*(H30-(3*I30)))/Voorblad!M$3,((DATE(Voorblad!$E$3,(N30),J30)-DATE(Voorblad!$E$3,(M30),J30))*(H30-(3*I30)))/Voorblad!M$3)))</f>
        <v>0</v>
      </c>
      <c r="I68" s="1681">
        <f>IF(N30=0,0,(IF(O30=0,((DATE(Voorblad!E$3+1,1,1)-DATE(Voorblad!$E$3,(N30),J30))*(H30-(4*I30)))/Voorblad!M$3,((DATE(Voorblad!$E$3,(O30),J30)-DATE(Voorblad!$E$3,(N30),J30))*(H30-(4*I30)))/Voorblad!M$3)))</f>
        <v>0</v>
      </c>
      <c r="J68" s="1681"/>
      <c r="K68" s="1681">
        <f>IF(O30=0,0,(IF(P30=0,((DATE(Voorblad!E$3+1,1,1)-DATE(Voorblad!$E$3,(O30),J30))*(H30-(5*I30)))/Voorblad!M$3,((DATE(Voorblad!$E$3,(P30),J30)-DATE(Voorblad!$E$3,(O30),J30))*(H30-(5*I30)))/Voorblad!M$3)))</f>
        <v>0</v>
      </c>
      <c r="L68" s="1681"/>
      <c r="M68" s="1681"/>
      <c r="N68" s="1681"/>
      <c r="O68" s="1681"/>
      <c r="P68" s="1681"/>
      <c r="Q68" s="521">
        <f>IF(P30=0,0,((DATE(Voorblad!E$3+1,1,1)-DATE(Voorblad!$E$3,(P30),J30))*(H30-(6*I30)))/Voorblad!M$3)</f>
        <v>0</v>
      </c>
      <c r="R68" s="618">
        <f t="shared" si="23"/>
        <v>0</v>
      </c>
      <c r="S68" s="1417">
        <f t="shared" si="21"/>
        <v>0</v>
      </c>
      <c r="T68"/>
      <c r="U68"/>
      <c r="V68"/>
      <c r="W68"/>
      <c r="X68"/>
      <c r="Y68"/>
      <c r="Z68"/>
      <c r="AA68" s="522">
        <f t="shared" si="19"/>
        <v>0</v>
      </c>
      <c r="AB68" s="522">
        <f t="shared" si="20"/>
        <v>0</v>
      </c>
    </row>
    <row r="69" spans="1:28" s="519" customFormat="1" ht="12.75" customHeight="1">
      <c r="A69" s="890">
        <f>A31</f>
        <v>2525</v>
      </c>
      <c r="B69" s="1692">
        <f>IF(I31=0,H31,(((DATE(Voorblad!$E$3,K31,J31)-DATE(Voorblad!$E$3,1,1))*H31)/Voorblad!M$3))</f>
        <v>0</v>
      </c>
      <c r="C69" s="1692"/>
      <c r="D69" s="1681">
        <f>IF(K31=0,0,(IF(L31=0,((DATE(Voorblad!E$3+1,1,1)-DATE(Voorblad!$E$3,(K31),J31))*(H31-(1*I31)))/Voorblad!M$3,((DATE(Voorblad!$E$3,(L31),J31)-DATE(Voorblad!$E$3,(K31),J31))*(H31-(1*I31)))/Voorblad!M$3)))</f>
        <v>0</v>
      </c>
      <c r="E69" s="1681"/>
      <c r="F69" s="1681">
        <f>IF(L31=0,0,(IF(M31=0,((DATE(Voorblad!E$3+1,1,1)-DATE(Voorblad!$E$3,(L31),J31))*(H31-(2*I31)))/365,((DATE(Voorblad!$E$3,(M31),J31)-DATE(Voorblad!$E$3,(L31),J31))*(H31-(2*I31)))/Voorblad!M$3)))</f>
        <v>0</v>
      </c>
      <c r="G69" s="1681"/>
      <c r="H69" s="520">
        <f>IF(M31=0,0,(IF(N31=0,((DATE(Voorblad!E$3+1,1,1)-DATE(Voorblad!$E$3,(M31),J31))*(H31-(3*I31)))/Voorblad!M$3,((DATE(Voorblad!$E$3,(N31),J31)-DATE(Voorblad!$E$3,(M31),J31))*(H31-(3*I31)))/Voorblad!M$3)))</f>
        <v>0</v>
      </c>
      <c r="I69" s="1681">
        <f>IF(N31=0,0,(IF(O31=0,((DATE(Voorblad!E$3+1,1,1)-DATE(Voorblad!$E$3,(N31),J31))*(H31-(4*I31)))/Voorblad!M$3,((DATE(Voorblad!$E$3,(O31),J31)-DATE(Voorblad!$E$3,(N31),J31))*(H31-(4*I31)))/Voorblad!M$3)))</f>
        <v>0</v>
      </c>
      <c r="J69" s="1681"/>
      <c r="K69" s="1681">
        <f>IF(O31=0,0,(IF(P31=0,((DATE(Voorblad!E$3+1,1,1)-DATE(Voorblad!$E$3,(O31),J31))*(H31-(5*I31)))/Voorblad!M$3,((DATE(Voorblad!$E$3,(P31),J31)-DATE(Voorblad!$E$3,(O31),J31))*(H31-(5*I31)))/Voorblad!M$3)))</f>
        <v>0</v>
      </c>
      <c r="L69" s="1681"/>
      <c r="M69" s="1681"/>
      <c r="N69" s="1681"/>
      <c r="O69" s="1681"/>
      <c r="P69" s="1681"/>
      <c r="Q69" s="521">
        <f>IF(P31=0,0,((DATE(Voorblad!E$3+1,1,1)-DATE(Voorblad!$E$3,(P31),J31))*(H31-(6*I31)))/Voorblad!M$3)</f>
        <v>0</v>
      </c>
      <c r="R69" s="618">
        <f t="shared" si="23"/>
        <v>0</v>
      </c>
      <c r="S69" s="1417">
        <f t="shared" si="21"/>
        <v>0</v>
      </c>
      <c r="T69"/>
      <c r="U69"/>
      <c r="V69"/>
      <c r="W69"/>
      <c r="X69"/>
      <c r="Y69"/>
      <c r="Z69"/>
      <c r="AA69" s="522">
        <f t="shared" si="19"/>
        <v>0</v>
      </c>
      <c r="AB69" s="522">
        <f t="shared" si="20"/>
        <v>0</v>
      </c>
    </row>
    <row r="70" spans="1:28" s="519" customFormat="1" ht="12.75" customHeight="1">
      <c r="A70" s="890">
        <f>A32</f>
        <v>2526</v>
      </c>
      <c r="B70" s="1692">
        <f>IF(I32=0,H32,(((DATE(Voorblad!$E$3,K32,J32)-DATE(Voorblad!$E$3,1,1))*H32)/Voorblad!M$3))</f>
        <v>0</v>
      </c>
      <c r="C70" s="1692"/>
      <c r="D70" s="1681">
        <f>IF(K32=0,0,(IF(L32=0,((DATE(Voorblad!E$3+1,1,1)-DATE(Voorblad!$E$3,(K32),J32))*(H32-(1*I32)))/Voorblad!M$3,((DATE(Voorblad!$E$3,(L32),J32)-DATE(Voorblad!$E$3,(K32),J32))*(H32-(1*I32)))/Voorblad!M$3)))</f>
        <v>0</v>
      </c>
      <c r="E70" s="1681"/>
      <c r="F70" s="1681">
        <f>IF(L32=0,0,(IF(M32=0,((DATE(Voorblad!E$3+1,1,1)-DATE(Voorblad!$E$3,(L32),J32))*(H32-(2*I32)))/365,((DATE(Voorblad!$E$3,(M32),J32)-DATE(Voorblad!$E$3,(L32),J32))*(H32-(2*I32)))/Voorblad!M$3)))</f>
        <v>0</v>
      </c>
      <c r="G70" s="1681"/>
      <c r="H70" s="520">
        <f>IF(M32=0,0,(IF(N32=0,((DATE(Voorblad!E$3+1,1,1)-DATE(Voorblad!$E$3,(M32),J32))*(H32-(3*I32)))/Voorblad!M$3,((DATE(Voorblad!$E$3,(N32),J32)-DATE(Voorblad!$E$3,(M32),J32))*(H32-(3*I32)))/Voorblad!M$3)))</f>
        <v>0</v>
      </c>
      <c r="I70" s="1681">
        <f>IF(N32=0,0,(IF(O32=0,((DATE(Voorblad!E$3+1,1,1)-DATE(Voorblad!$E$3,(N32),J32))*(H32-(4*I32)))/Voorblad!M$3,((DATE(Voorblad!$E$3,(O32),J32)-DATE(Voorblad!$E$3,(N32),J32))*(H32-(4*I32)))/Voorblad!M$3)))</f>
        <v>0</v>
      </c>
      <c r="J70" s="1681"/>
      <c r="K70" s="1681">
        <f>IF(O32=0,0,(IF(P32=0,((DATE(Voorblad!E$3+1,1,1)-DATE(Voorblad!$E$3,(O32),J32))*(H32-(5*I32)))/Voorblad!M$3,((DATE(Voorblad!$E$3,(P32),J32)-DATE(Voorblad!$E$3,(O32),J32))*(H32-(5*I32)))/Voorblad!M$3)))</f>
        <v>0</v>
      </c>
      <c r="L70" s="1681"/>
      <c r="M70" s="1681"/>
      <c r="N70" s="1681"/>
      <c r="O70" s="1681"/>
      <c r="P70" s="1681"/>
      <c r="Q70" s="521">
        <f>IF(P32=0,0,((DATE(Voorblad!E$3+1,1,1)-DATE(Voorblad!$E$3,(P32),J32))*(H32-(6*I32)))/Voorblad!M$3)</f>
        <v>0</v>
      </c>
      <c r="R70" s="618">
        <f t="shared" si="23"/>
        <v>0</v>
      </c>
      <c r="S70" s="1417">
        <f t="shared" si="21"/>
        <v>0</v>
      </c>
      <c r="T70"/>
      <c r="U70"/>
      <c r="V70"/>
      <c r="W70"/>
      <c r="X70"/>
      <c r="Y70"/>
      <c r="Z70"/>
      <c r="AA70" s="522">
        <f t="shared" si="19"/>
        <v>0</v>
      </c>
      <c r="AB70" s="522">
        <f t="shared" si="20"/>
        <v>0</v>
      </c>
    </row>
    <row r="71" spans="1:28" s="519" customFormat="1" ht="12.75" customHeight="1">
      <c r="A71" s="890">
        <f>A33</f>
        <v>2527</v>
      </c>
      <c r="B71" s="1693">
        <f>IF(I33=0,H33,(((DATE(Voorblad!$E$3,K33,J33)-DATE(Voorblad!$E$3,1,1))*H33)/Voorblad!M$3))</f>
        <v>0</v>
      </c>
      <c r="C71" s="1693"/>
      <c r="D71" s="1690">
        <f>IF(K33=0,0,(IF(L33=0,((DATE(Voorblad!E$3+1,1,1)-DATE(Voorblad!$E$3,(K33),J33))*(H33-(1*I33)))/Voorblad!M$3,((DATE(Voorblad!$E$3,(L33),J33)-DATE(Voorblad!$E$3,(K33),J33))*(H33-(1*I33)))/Voorblad!M$3)))</f>
        <v>0</v>
      </c>
      <c r="E71" s="1690"/>
      <c r="F71" s="1690">
        <f>IF(L33=0,0,(IF(M33=0,((DATE(Voorblad!E$3+1,1,1)-DATE(Voorblad!$E$3,(L33),J33))*(H33-(2*I33)))/365,((DATE(Voorblad!$E$3,(M33),J33)-DATE(Voorblad!$E$3,(L33),J33))*(H33-(2*I33)))/Voorblad!M$3)))</f>
        <v>0</v>
      </c>
      <c r="G71" s="1690"/>
      <c r="H71" s="891">
        <f>IF(M33=0,0,(IF(N33=0,((DATE(Voorblad!E$3+1,1,1)-DATE(Voorblad!$E$3,(M33),J33))*(H33-(3*I33)))/Voorblad!M$3,((DATE(Voorblad!$E$3,(N33),J33)-DATE(Voorblad!$E$3,(M33),J33))*(H33-(3*I33)))/Voorblad!M$3)))</f>
        <v>0</v>
      </c>
      <c r="I71" s="1690">
        <f>IF(N33=0,0,(IF(O33=0,((DATE(Voorblad!E$3+1,1,1)-DATE(Voorblad!$E$3,(N33),J33))*(H33-(4*I33)))/Voorblad!M$3,((DATE(Voorblad!$E$3,(O33),J33)-DATE(Voorblad!$E$3,(N33),J33))*(H33-(4*I33)))/Voorblad!M$3)))</f>
        <v>0</v>
      </c>
      <c r="J71" s="1690"/>
      <c r="K71" s="1690">
        <f>IF(O33=0,0,(IF(P33=0,((DATE(Voorblad!E$3+1,1,1)-DATE(Voorblad!$E$3,(O33),J33))*(H33-(5*I33)))/Voorblad!M$3,((DATE(Voorblad!$E$3,(P33),J33)-DATE(Voorblad!$E$3,(O33),J33))*(H33-(5*I33)))/Voorblad!M$3)))</f>
        <v>0</v>
      </c>
      <c r="L71" s="1690"/>
      <c r="M71" s="1690"/>
      <c r="N71" s="1690"/>
      <c r="O71" s="1690"/>
      <c r="P71" s="1690"/>
      <c r="Q71" s="892">
        <f>IF(P33=0,0,((DATE(Voorblad!E$3+1,1,1)-DATE(Voorblad!$E$3,(P33),J33))*(H33-(6*I33)))/Voorblad!M$3)</f>
        <v>0</v>
      </c>
      <c r="R71" s="896">
        <f t="shared" si="23"/>
        <v>0</v>
      </c>
      <c r="S71" s="1417">
        <f t="shared" si="21"/>
        <v>0</v>
      </c>
      <c r="T71"/>
      <c r="U71"/>
      <c r="V71"/>
      <c r="W71"/>
      <c r="X71"/>
      <c r="Y71"/>
      <c r="Z71"/>
      <c r="AA71" s="522">
        <f t="shared" si="19"/>
        <v>0</v>
      </c>
      <c r="AB71" s="522">
        <f t="shared" si="20"/>
        <v>0</v>
      </c>
    </row>
    <row r="72" spans="1:28" s="519" customFormat="1" ht="12.75" customHeight="1">
      <c r="A72" s="890">
        <f>A34</f>
        <v>2528</v>
      </c>
      <c r="B72" s="893"/>
      <c r="C72" s="894"/>
      <c r="D72" s="894"/>
      <c r="E72" s="894"/>
      <c r="F72" s="894"/>
      <c r="G72" s="894"/>
      <c r="H72" s="894"/>
      <c r="I72" s="894"/>
      <c r="J72" s="894"/>
      <c r="K72" s="894"/>
      <c r="L72" s="894"/>
      <c r="M72" s="894"/>
      <c r="N72" s="894"/>
      <c r="O72" s="894"/>
      <c r="P72" s="894"/>
      <c r="Q72" s="895"/>
      <c r="R72" s="1418">
        <f>SUM(R45:R71)</f>
        <v>0</v>
      </c>
      <c r="S72" s="1418">
        <f>SUM(S45:S71)</f>
        <v>0</v>
      </c>
      <c r="T72"/>
      <c r="U72"/>
      <c r="V72"/>
      <c r="W72"/>
      <c r="X72"/>
      <c r="Y72"/>
      <c r="Z72"/>
      <c r="AA72" s="522"/>
      <c r="AB72" s="522"/>
    </row>
    <row r="73" ht="12.75">
      <c r="A73" s="487"/>
    </row>
    <row r="74" spans="1:19" ht="12.75">
      <c r="A74" s="1398"/>
      <c r="B74" s="1399" t="s">
        <v>715</v>
      </c>
      <c r="C74" s="1400"/>
      <c r="D74" s="1401"/>
      <c r="E74" s="1400"/>
      <c r="F74" s="1402"/>
      <c r="G74" s="1402"/>
      <c r="H74" s="1403"/>
      <c r="I74" s="1396"/>
      <c r="J74" s="747"/>
      <c r="K74" s="747"/>
      <c r="L74" s="747"/>
      <c r="M74" s="747"/>
      <c r="N74" s="747"/>
      <c r="O74" s="747"/>
      <c r="P74" s="747"/>
      <c r="Q74" s="747"/>
      <c r="R74" s="747"/>
      <c r="S74" s="745"/>
    </row>
    <row r="75" spans="1:19" ht="12.75">
      <c r="A75" s="890">
        <f>T40*100+1</f>
        <v>2601</v>
      </c>
      <c r="B75" s="1404" t="s">
        <v>714</v>
      </c>
      <c r="C75" s="1405"/>
      <c r="D75" s="1406"/>
      <c r="E75" s="1405"/>
      <c r="F75" s="1407"/>
      <c r="G75" s="1407"/>
      <c r="H75" s="1408">
        <f>Voorblad!E3</f>
        <v>2004</v>
      </c>
      <c r="I75" s="1397"/>
      <c r="J75" s="747"/>
      <c r="K75" s="747"/>
      <c r="L75" s="747"/>
      <c r="M75" s="747"/>
      <c r="N75" s="747"/>
      <c r="O75" s="747"/>
      <c r="P75" s="747"/>
      <c r="Q75" s="747"/>
      <c r="R75" s="747"/>
      <c r="S75" s="745"/>
    </row>
    <row r="76" spans="1:19" ht="12.75">
      <c r="A76" s="890">
        <f>A75+1</f>
        <v>2602</v>
      </c>
      <c r="B76" s="1404" t="str">
        <f>CONCATENATE("Datumwaarde van 1-1-",H75)</f>
        <v>Datumwaarde van 1-1-2004</v>
      </c>
      <c r="C76" s="1405"/>
      <c r="D76" s="1406"/>
      <c r="E76" s="1405"/>
      <c r="F76" s="1405"/>
      <c r="G76" s="1405"/>
      <c r="H76" s="1409">
        <f>DATE(H75,1,1)</f>
        <v>37987</v>
      </c>
      <c r="J76" s="747"/>
      <c r="K76" s="747"/>
      <c r="L76" s="747"/>
      <c r="M76" s="747"/>
      <c r="N76" s="747"/>
      <c r="O76" s="747"/>
      <c r="P76" s="747"/>
      <c r="Q76" s="747"/>
      <c r="R76" s="747"/>
      <c r="S76" s="745"/>
    </row>
    <row r="77" spans="1:19" ht="12.75">
      <c r="A77" s="890">
        <f>A76+1</f>
        <v>2603</v>
      </c>
      <c r="B77" s="1404" t="str">
        <f>CONCATENATE("Datumwaarde van 1-1-",H75+1)</f>
        <v>Datumwaarde van 1-1-2005</v>
      </c>
      <c r="C77" s="1407"/>
      <c r="D77" s="1410"/>
      <c r="E77" s="1407"/>
      <c r="F77" s="1407"/>
      <c r="G77" s="1407"/>
      <c r="H77" s="1411">
        <f>DATE(H75+1,1,1)</f>
        <v>38353</v>
      </c>
      <c r="I77" s="747"/>
      <c r="J77" s="747"/>
      <c r="K77" s="747"/>
      <c r="L77" s="747"/>
      <c r="M77" s="747"/>
      <c r="N77" s="747"/>
      <c r="O77" s="747"/>
      <c r="P77" s="747"/>
      <c r="Q77" s="747"/>
      <c r="R77" s="747"/>
      <c r="S77" s="745"/>
    </row>
    <row r="78" spans="1:19" ht="12.75">
      <c r="A78" s="890">
        <f>A77+1</f>
        <v>2604</v>
      </c>
      <c r="B78" s="1412" t="str">
        <f>CONCATENATE("Aantal dagen van ",H75)</f>
        <v>Aantal dagen van 2004</v>
      </c>
      <c r="C78" s="1413"/>
      <c r="D78" s="1414"/>
      <c r="E78" s="1413"/>
      <c r="F78" s="1413"/>
      <c r="G78" s="1413"/>
      <c r="H78" s="1415">
        <f>H77-H76</f>
        <v>366</v>
      </c>
      <c r="I78" s="747"/>
      <c r="J78" s="747"/>
      <c r="K78" s="747"/>
      <c r="L78" s="747"/>
      <c r="M78" s="747"/>
      <c r="N78" s="747"/>
      <c r="O78" s="747"/>
      <c r="P78" s="747"/>
      <c r="Q78" s="747"/>
      <c r="R78" s="747"/>
      <c r="S78" s="745"/>
    </row>
    <row r="79" spans="1:19" ht="12.75">
      <c r="A79" s="744"/>
      <c r="B79" s="745"/>
      <c r="C79" s="745"/>
      <c r="D79" s="746"/>
      <c r="E79" s="745"/>
      <c r="F79" s="745"/>
      <c r="G79" s="745"/>
      <c r="H79" s="747"/>
      <c r="I79" s="747"/>
      <c r="J79" s="747"/>
      <c r="K79" s="747"/>
      <c r="L79" s="747"/>
      <c r="M79" s="747"/>
      <c r="N79" s="747"/>
      <c r="O79" s="747"/>
      <c r="P79" s="747"/>
      <c r="Q79" s="747"/>
      <c r="R79" s="747"/>
      <c r="S79" s="745"/>
    </row>
  </sheetData>
  <sheetProtection password="C281" sheet="1" objects="1" scenarios="1"/>
  <mergeCells count="139">
    <mergeCell ref="B69:C69"/>
    <mergeCell ref="B70:C70"/>
    <mergeCell ref="B71:C71"/>
    <mergeCell ref="B65:C65"/>
    <mergeCell ref="B66:C66"/>
    <mergeCell ref="B67:C67"/>
    <mergeCell ref="B68:C68"/>
    <mergeCell ref="B61:C61"/>
    <mergeCell ref="B62:C62"/>
    <mergeCell ref="B63:C63"/>
    <mergeCell ref="B64:C64"/>
    <mergeCell ref="B57:C57"/>
    <mergeCell ref="B58:C58"/>
    <mergeCell ref="B59:C59"/>
    <mergeCell ref="B60:C60"/>
    <mergeCell ref="B53:C53"/>
    <mergeCell ref="B54:C54"/>
    <mergeCell ref="B55:C55"/>
    <mergeCell ref="B56:C56"/>
    <mergeCell ref="B49:C49"/>
    <mergeCell ref="B50:C50"/>
    <mergeCell ref="B51:C51"/>
    <mergeCell ref="B52:C52"/>
    <mergeCell ref="B45:C45"/>
    <mergeCell ref="B46:C46"/>
    <mergeCell ref="B47:C47"/>
    <mergeCell ref="B48:C48"/>
    <mergeCell ref="D59:E59"/>
    <mergeCell ref="F59:G59"/>
    <mergeCell ref="I59:J59"/>
    <mergeCell ref="K59:P59"/>
    <mergeCell ref="D58:E58"/>
    <mergeCell ref="F58:G58"/>
    <mergeCell ref="I58:J58"/>
    <mergeCell ref="K58:P58"/>
    <mergeCell ref="D57:E57"/>
    <mergeCell ref="F57:G57"/>
    <mergeCell ref="I57:J57"/>
    <mergeCell ref="K57:P57"/>
    <mergeCell ref="D56:E56"/>
    <mergeCell ref="F56:G56"/>
    <mergeCell ref="I56:J56"/>
    <mergeCell ref="K56:P56"/>
    <mergeCell ref="D55:E55"/>
    <mergeCell ref="F55:G55"/>
    <mergeCell ref="I55:J55"/>
    <mergeCell ref="K55:P55"/>
    <mergeCell ref="K53:P53"/>
    <mergeCell ref="D54:E54"/>
    <mergeCell ref="F54:G54"/>
    <mergeCell ref="I54:J54"/>
    <mergeCell ref="K54:P54"/>
    <mergeCell ref="F66:G66"/>
    <mergeCell ref="F67:G67"/>
    <mergeCell ref="F68:G68"/>
    <mergeCell ref="F69:G69"/>
    <mergeCell ref="F61:G61"/>
    <mergeCell ref="F62:G62"/>
    <mergeCell ref="F63:G63"/>
    <mergeCell ref="F64:G64"/>
    <mergeCell ref="F49:G49"/>
    <mergeCell ref="F50:G50"/>
    <mergeCell ref="F51:G51"/>
    <mergeCell ref="F52:G52"/>
    <mergeCell ref="F45:G45"/>
    <mergeCell ref="F46:G46"/>
    <mergeCell ref="F47:G47"/>
    <mergeCell ref="F48:G48"/>
    <mergeCell ref="I70:J70"/>
    <mergeCell ref="I71:J71"/>
    <mergeCell ref="D70:E70"/>
    <mergeCell ref="D71:E71"/>
    <mergeCell ref="F70:G70"/>
    <mergeCell ref="F71:G71"/>
    <mergeCell ref="K70:P70"/>
    <mergeCell ref="K71:P71"/>
    <mergeCell ref="D46:E46"/>
    <mergeCell ref="D62:E62"/>
    <mergeCell ref="D63:E63"/>
    <mergeCell ref="D64:E64"/>
    <mergeCell ref="D65:E65"/>
    <mergeCell ref="D66:E66"/>
    <mergeCell ref="D67:E67"/>
    <mergeCell ref="D68:E68"/>
    <mergeCell ref="K62:P62"/>
    <mergeCell ref="K67:P67"/>
    <mergeCell ref="K68:P68"/>
    <mergeCell ref="K69:P69"/>
    <mergeCell ref="K63:P63"/>
    <mergeCell ref="K64:P64"/>
    <mergeCell ref="K65:P65"/>
    <mergeCell ref="K66:P66"/>
    <mergeCell ref="D69:E69"/>
    <mergeCell ref="I65:J65"/>
    <mergeCell ref="I66:J66"/>
    <mergeCell ref="I62:J62"/>
    <mergeCell ref="I63:J63"/>
    <mergeCell ref="I64:J64"/>
    <mergeCell ref="I67:J67"/>
    <mergeCell ref="I68:J68"/>
    <mergeCell ref="I69:J69"/>
    <mergeCell ref="F65:G65"/>
    <mergeCell ref="I5:P5"/>
    <mergeCell ref="I46:J46"/>
    <mergeCell ref="I44:J44"/>
    <mergeCell ref="K44:P44"/>
    <mergeCell ref="K46:P46"/>
    <mergeCell ref="I45:J45"/>
    <mergeCell ref="K45:P45"/>
    <mergeCell ref="D49:E49"/>
    <mergeCell ref="I49:J49"/>
    <mergeCell ref="K49:P49"/>
    <mergeCell ref="K6:P6"/>
    <mergeCell ref="D45:E45"/>
    <mergeCell ref="D47:E47"/>
    <mergeCell ref="I47:J47"/>
    <mergeCell ref="K47:P47"/>
    <mergeCell ref="D48:E48"/>
    <mergeCell ref="I48:J48"/>
    <mergeCell ref="K48:P48"/>
    <mergeCell ref="D61:E61"/>
    <mergeCell ref="I61:J61"/>
    <mergeCell ref="K61:P61"/>
    <mergeCell ref="D51:E51"/>
    <mergeCell ref="I51:J51"/>
    <mergeCell ref="K51:P51"/>
    <mergeCell ref="D52:E52"/>
    <mergeCell ref="I52:J52"/>
    <mergeCell ref="K52:P52"/>
    <mergeCell ref="D60:E60"/>
    <mergeCell ref="I60:J60"/>
    <mergeCell ref="K60:P60"/>
    <mergeCell ref="D50:E50"/>
    <mergeCell ref="I50:J50"/>
    <mergeCell ref="K50:P50"/>
    <mergeCell ref="F60:G60"/>
    <mergeCell ref="D53:E53"/>
    <mergeCell ref="F53:G53"/>
    <mergeCell ref="I53:J53"/>
  </mergeCells>
  <conditionalFormatting sqref="A45:A72 A75:A78">
    <cfRule type="cellIs" priority="1" dxfId="7" operator="equal" stopIfTrue="1">
      <formula>0</formula>
    </cfRule>
  </conditionalFormatting>
  <conditionalFormatting sqref="Q33:T33 R7:R32 T7:T32 H33:I33 R35:R36 B7:P32">
    <cfRule type="expression" priority="2" dxfId="2" stopIfTrue="1">
      <formula>$Q$2=TRUE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1" manualBreakCount="1">
    <brk id="38" max="255" man="1"/>
  </rowBreaks>
  <drawing r:id="rId1"/>
</worksheet>
</file>

<file path=xl/worksheets/sheet15.xml><?xml version="1.0" encoding="utf-8"?>
<worksheet xmlns="http://schemas.openxmlformats.org/spreadsheetml/2006/main" xmlns:r="http://schemas.openxmlformats.org/officeDocument/2006/relationships">
  <sheetPr codeName="Blad15"/>
  <dimension ref="A1:Q43"/>
  <sheetViews>
    <sheetView showGridLines="0" zoomScale="86" zoomScaleNormal="86" workbookViewId="0" topLeftCell="A1">
      <selection activeCell="C7" sqref="C7"/>
    </sheetView>
  </sheetViews>
  <sheetFormatPr defaultColWidth="9.140625" defaultRowHeight="12.75"/>
  <cols>
    <col min="1" max="1" width="5.7109375" style="474" customWidth="1"/>
    <col min="2" max="2" width="81.8515625" style="440" customWidth="1"/>
    <col min="3" max="4" width="17.7109375" style="436" customWidth="1"/>
    <col min="5" max="5" width="17.7109375" style="440" customWidth="1"/>
    <col min="6" max="6" width="9.140625" style="440" customWidth="1"/>
    <col min="7" max="7" width="10.7109375" style="441" customWidth="1"/>
    <col min="8" max="8" width="10.7109375" style="442" customWidth="1"/>
    <col min="9" max="13" width="10.7109375" style="441" customWidth="1"/>
    <col min="14" max="21" width="9.140625" style="440" customWidth="1"/>
    <col min="22" max="22" width="1.7109375" style="440" customWidth="1"/>
    <col min="23" max="16384" width="9.140625" style="440" customWidth="1"/>
  </cols>
  <sheetData>
    <row r="1" spans="1:5" ht="15.75" customHeight="1">
      <c r="A1" s="732"/>
      <c r="B1" s="707"/>
      <c r="C1" s="2"/>
      <c r="D1" s="2"/>
      <c r="E1" s="707"/>
    </row>
    <row r="2" spans="1:13" s="446" customFormat="1" ht="15.75" customHeight="1">
      <c r="A2" s="6" t="str">
        <f>CONCATENATE("Bijlage ",LEFT(A5,1)," en ",LEFT(A28,1)," bij het nacalculatieformulier ",Voorblad!E3," ",Voorblad!$A$5)</f>
        <v>Bijlage G en H bij het nacalculatieformulier 2004 GGZ-instellingen</v>
      </c>
      <c r="B2" s="7"/>
      <c r="C2" s="8" t="b">
        <f>Voorblad!E28</f>
        <v>1</v>
      </c>
      <c r="D2" s="8"/>
      <c r="E2" s="1306">
        <f>F!T40+1</f>
        <v>27</v>
      </c>
      <c r="G2" s="447"/>
      <c r="H2" s="448"/>
      <c r="I2" s="447"/>
      <c r="J2" s="447"/>
      <c r="K2" s="447"/>
      <c r="L2" s="447"/>
      <c r="M2" s="447"/>
    </row>
    <row r="3" spans="1:8" s="453" customFormat="1" ht="12.75" customHeight="1">
      <c r="A3" s="677"/>
      <c r="B3" s="608"/>
      <c r="C3" s="42"/>
      <c r="D3" s="42"/>
      <c r="E3" s="608"/>
      <c r="H3" s="451"/>
    </row>
    <row r="4" spans="1:2" s="446" customFormat="1" ht="12.75" customHeight="1">
      <c r="A4" s="21"/>
      <c r="B4" s="222"/>
    </row>
    <row r="5" spans="1:5" s="453" customFormat="1" ht="12.75" customHeight="1">
      <c r="A5" s="677" t="s">
        <v>206</v>
      </c>
      <c r="B5" s="738" t="s">
        <v>208</v>
      </c>
      <c r="C5" s="175"/>
      <c r="D5" s="42"/>
      <c r="E5" s="608"/>
    </row>
    <row r="6" spans="2:8" s="453" customFormat="1" ht="12.75" customHeight="1">
      <c r="B6" s="1190"/>
      <c r="C6" s="223" t="str">
        <f>CONCATENATE("31-12-",Voorblad!E3-1," ")</f>
        <v>31-12-2003 </v>
      </c>
      <c r="D6" s="223" t="str">
        <f>CONCATENATE("31-12-",Voorblad!E3," ")</f>
        <v>31-12-2004 </v>
      </c>
      <c r="E6" s="223" t="str">
        <f>CONCATENATE("Gemiddeld ",Voorblad!E3," ")</f>
        <v>Gemiddeld 2004 </v>
      </c>
      <c r="H6" s="451"/>
    </row>
    <row r="7" spans="1:5" s="453" customFormat="1" ht="12.75" customHeight="1">
      <c r="A7" s="780">
        <f>(100*E2)+1</f>
        <v>2701</v>
      </c>
      <c r="B7" s="1235" t="s">
        <v>80</v>
      </c>
      <c r="C7" s="434"/>
      <c r="D7" s="434"/>
      <c r="E7" s="486">
        <f aca="true" t="shared" si="0" ref="E7:E18">(C7+D7)/2</f>
        <v>0</v>
      </c>
    </row>
    <row r="8" spans="1:5" s="453" customFormat="1" ht="12.75" customHeight="1">
      <c r="A8" s="780">
        <f>A7+1</f>
        <v>2702</v>
      </c>
      <c r="B8" s="897" t="s">
        <v>81</v>
      </c>
      <c r="C8" s="434"/>
      <c r="D8" s="434"/>
      <c r="E8" s="486">
        <f t="shared" si="0"/>
        <v>0</v>
      </c>
    </row>
    <row r="9" spans="1:5" s="453" customFormat="1" ht="12.75" customHeight="1">
      <c r="A9" s="780">
        <f aca="true" t="shared" si="1" ref="A9:A22">A8+1</f>
        <v>2703</v>
      </c>
      <c r="B9" s="897" t="s">
        <v>82</v>
      </c>
      <c r="C9" s="434"/>
      <c r="D9" s="434"/>
      <c r="E9" s="486">
        <f t="shared" si="0"/>
        <v>0</v>
      </c>
    </row>
    <row r="10" spans="1:17" s="453" customFormat="1" ht="12.75" customHeight="1">
      <c r="A10" s="780">
        <f t="shared" si="1"/>
        <v>2704</v>
      </c>
      <c r="B10" s="897" t="s">
        <v>83</v>
      </c>
      <c r="C10" s="434"/>
      <c r="D10" s="434"/>
      <c r="E10" s="486">
        <f t="shared" si="0"/>
        <v>0</v>
      </c>
      <c r="Q10" s="471"/>
    </row>
    <row r="11" spans="1:5" s="453" customFormat="1" ht="12.75" customHeight="1">
      <c r="A11" s="780">
        <f t="shared" si="1"/>
        <v>2705</v>
      </c>
      <c r="B11" s="897" t="s">
        <v>84</v>
      </c>
      <c r="C11" s="434"/>
      <c r="D11" s="434"/>
      <c r="E11" s="486">
        <f t="shared" si="0"/>
        <v>0</v>
      </c>
    </row>
    <row r="12" spans="1:5" s="453" customFormat="1" ht="12.75" customHeight="1">
      <c r="A12" s="780">
        <f t="shared" si="1"/>
        <v>2706</v>
      </c>
      <c r="B12" s="897" t="s">
        <v>85</v>
      </c>
      <c r="C12" s="434"/>
      <c r="D12" s="434"/>
      <c r="E12" s="486">
        <f t="shared" si="0"/>
        <v>0</v>
      </c>
    </row>
    <row r="13" spans="1:5" s="453" customFormat="1" ht="12.75" customHeight="1">
      <c r="A13" s="780">
        <f t="shared" si="1"/>
        <v>2707</v>
      </c>
      <c r="B13" s="897" t="s">
        <v>86</v>
      </c>
      <c r="C13" s="434"/>
      <c r="D13" s="434"/>
      <c r="E13" s="486">
        <f t="shared" si="0"/>
        <v>0</v>
      </c>
    </row>
    <row r="14" spans="1:5" s="453" customFormat="1" ht="12.75" customHeight="1">
      <c r="A14" s="780">
        <f t="shared" si="1"/>
        <v>2708</v>
      </c>
      <c r="B14" s="897" t="s">
        <v>87</v>
      </c>
      <c r="C14" s="434"/>
      <c r="D14" s="434"/>
      <c r="E14" s="486">
        <f t="shared" si="0"/>
        <v>0</v>
      </c>
    </row>
    <row r="15" spans="1:5" s="453" customFormat="1" ht="12.75" customHeight="1">
      <c r="A15" s="780">
        <f t="shared" si="1"/>
        <v>2709</v>
      </c>
      <c r="B15" s="897" t="s">
        <v>88</v>
      </c>
      <c r="C15" s="434"/>
      <c r="D15" s="434"/>
      <c r="E15" s="486">
        <f t="shared" si="0"/>
        <v>0</v>
      </c>
    </row>
    <row r="16" spans="1:5" s="453" customFormat="1" ht="12.75" customHeight="1">
      <c r="A16" s="780">
        <f t="shared" si="1"/>
        <v>2710</v>
      </c>
      <c r="B16" s="897" t="s">
        <v>89</v>
      </c>
      <c r="C16" s="434"/>
      <c r="D16" s="434"/>
      <c r="E16" s="486">
        <f t="shared" si="0"/>
        <v>0</v>
      </c>
    </row>
    <row r="17" spans="1:5" s="453" customFormat="1" ht="12.75" customHeight="1">
      <c r="A17" s="780">
        <f t="shared" si="1"/>
        <v>2711</v>
      </c>
      <c r="B17" s="897" t="s">
        <v>90</v>
      </c>
      <c r="C17" s="434"/>
      <c r="D17" s="434"/>
      <c r="E17" s="486">
        <f t="shared" si="0"/>
        <v>0</v>
      </c>
    </row>
    <row r="18" spans="1:5" s="453" customFormat="1" ht="12.75" customHeight="1">
      <c r="A18" s="780">
        <f t="shared" si="1"/>
        <v>2712</v>
      </c>
      <c r="B18" s="502"/>
      <c r="C18" s="434"/>
      <c r="D18" s="434"/>
      <c r="E18" s="486">
        <f t="shared" si="0"/>
        <v>0</v>
      </c>
    </row>
    <row r="19" spans="1:5" s="453" customFormat="1" ht="12.75" customHeight="1">
      <c r="A19" s="780">
        <f t="shared" si="1"/>
        <v>2713</v>
      </c>
      <c r="B19" s="835" t="str">
        <f>CONCATENATE("Totaal eigen vermogen *) conform jaarrekening (",A7," t/m ",A18,")")</f>
        <v>Totaal eigen vermogen *) conform jaarrekening (2701 t/m 2712)</v>
      </c>
      <c r="C19" s="854">
        <f>SUM(C7:C18)</f>
        <v>0</v>
      </c>
      <c r="D19" s="854">
        <f>SUM(D7:D18)</f>
        <v>0</v>
      </c>
      <c r="E19" s="985">
        <f>SUM(E7:E18)</f>
        <v>0</v>
      </c>
    </row>
    <row r="20" spans="1:5" s="453" customFormat="1" ht="12.75" customHeight="1">
      <c r="A20" s="780">
        <f t="shared" si="1"/>
        <v>2714</v>
      </c>
      <c r="B20" s="901" t="s">
        <v>666</v>
      </c>
      <c r="C20" s="984"/>
      <c r="D20" s="820">
        <v>0</v>
      </c>
      <c r="E20" s="899">
        <f>(C20+D20)/2</f>
        <v>0</v>
      </c>
    </row>
    <row r="21" spans="1:5" s="453" customFormat="1" ht="12.75" customHeight="1">
      <c r="A21" s="780">
        <f t="shared" si="1"/>
        <v>2715</v>
      </c>
      <c r="B21" s="255" t="s">
        <v>106</v>
      </c>
      <c r="C21" s="898">
        <v>0</v>
      </c>
      <c r="D21" s="820">
        <v>0</v>
      </c>
      <c r="E21" s="899">
        <f>(C21+D21)/2</f>
        <v>0</v>
      </c>
    </row>
    <row r="22" spans="1:5" s="453" customFormat="1" ht="12.75" customHeight="1">
      <c r="A22" s="780">
        <f t="shared" si="1"/>
        <v>2716</v>
      </c>
      <c r="B22" s="255" t="s">
        <v>9</v>
      </c>
      <c r="C22" s="898">
        <v>0</v>
      </c>
      <c r="D22" s="820">
        <v>0</v>
      </c>
      <c r="E22" s="899">
        <f>(C22+D22)/2</f>
        <v>0</v>
      </c>
    </row>
    <row r="23" spans="1:5" s="453" customFormat="1" ht="12.75" customHeight="1">
      <c r="A23" s="780">
        <f>A22+1</f>
        <v>2717</v>
      </c>
      <c r="B23" s="255" t="s">
        <v>10</v>
      </c>
      <c r="C23" s="898">
        <v>0</v>
      </c>
      <c r="D23" s="820">
        <v>0</v>
      </c>
      <c r="E23" s="899">
        <f>(C23+D23)/2</f>
        <v>0</v>
      </c>
    </row>
    <row r="24" spans="1:5" s="453" customFormat="1" ht="12.75" customHeight="1">
      <c r="A24" s="780">
        <f>A23+1</f>
        <v>2718</v>
      </c>
      <c r="B24" s="255" t="s">
        <v>41</v>
      </c>
      <c r="C24" s="898">
        <v>0</v>
      </c>
      <c r="D24" s="820">
        <v>0</v>
      </c>
      <c r="E24" s="899">
        <f>(C24+D24)/2</f>
        <v>0</v>
      </c>
    </row>
    <row r="25" spans="1:5" s="453" customFormat="1" ht="12.75" customHeight="1">
      <c r="A25" s="780">
        <f>A24+1</f>
        <v>2719</v>
      </c>
      <c r="B25" s="835" t="str">
        <f>CONCATENATE("In aanmerking te nemen eigen vermogen (",A19," -/- ",A20," t/m ",A24,")")</f>
        <v>In aanmerking te nemen eigen vermogen (2713 -/- 2714 t/m 2718)</v>
      </c>
      <c r="C25" s="854">
        <f>C19-SUM(C20:C24)</f>
        <v>0</v>
      </c>
      <c r="D25" s="854">
        <f>D19-SUM(D20:D24)</f>
        <v>0</v>
      </c>
      <c r="E25" s="854">
        <f>E19-SUM(E20:E24)</f>
        <v>0</v>
      </c>
    </row>
    <row r="26" spans="1:8" s="453" customFormat="1" ht="12.75" customHeight="1">
      <c r="A26" s="677"/>
      <c r="B26" s="608" t="s">
        <v>640</v>
      </c>
      <c r="C26" s="456"/>
      <c r="D26" s="456"/>
      <c r="H26" s="451"/>
    </row>
    <row r="27" spans="1:9" s="453" customFormat="1" ht="12.75" customHeight="1">
      <c r="A27" s="608"/>
      <c r="B27" s="704"/>
      <c r="C27" s="476"/>
      <c r="I27" s="456"/>
    </row>
    <row r="28" spans="1:3" s="475" customFormat="1" ht="12.75" customHeight="1">
      <c r="A28" s="677" t="s">
        <v>207</v>
      </c>
      <c r="B28" s="682" t="s">
        <v>517</v>
      </c>
      <c r="C28" s="523"/>
    </row>
    <row r="29" spans="2:9" s="453" customFormat="1" ht="12.75" customHeight="1">
      <c r="B29" s="1239"/>
      <c r="C29" s="1240"/>
      <c r="D29" s="1241"/>
      <c r="E29" s="221" t="s">
        <v>167</v>
      </c>
      <c r="I29" s="456"/>
    </row>
    <row r="30" spans="1:5" s="456" customFormat="1" ht="12.75" customHeight="1">
      <c r="A30" s="780">
        <f>A25+1</f>
        <v>2720</v>
      </c>
      <c r="B30" s="1236" t="str">
        <f>CONCATENATE("Rente lange leningen bijlage ",LEFT(F!A4)," (exclusief eventuele boeterente van conversies)")</f>
        <v>Rente lange leningen bijlage F (exclusief eventuele boeterente van conversies)</v>
      </c>
      <c r="C30" s="1237"/>
      <c r="D30" s="1238"/>
      <c r="E30" s="486">
        <f>F!T34</f>
        <v>0</v>
      </c>
    </row>
    <row r="31" spans="1:5" s="456" customFormat="1" ht="12.75" customHeight="1">
      <c r="A31" s="780">
        <f>A30+1</f>
        <v>2721</v>
      </c>
      <c r="B31" s="901" t="s">
        <v>105</v>
      </c>
      <c r="C31" s="513"/>
      <c r="D31" s="473"/>
      <c r="E31" s="434"/>
    </row>
    <row r="32" spans="1:5" s="456" customFormat="1" ht="12.75" customHeight="1">
      <c r="A32" s="780">
        <f>A31+1</f>
        <v>2722</v>
      </c>
      <c r="B32" s="900" t="s">
        <v>518</v>
      </c>
      <c r="C32" s="513"/>
      <c r="D32" s="473"/>
      <c r="E32" s="434"/>
    </row>
    <row r="33" spans="1:5" s="456" customFormat="1" ht="12.75" customHeight="1">
      <c r="A33" s="780">
        <f>A32+1</f>
        <v>2723</v>
      </c>
      <c r="B33" s="902" t="str">
        <f>CONCATENATE("Intrest leasingcontracten (corresponderend leningbedrag invullen op regel ",F!A36,")")</f>
        <v>Intrest leasingcontracten (corresponderend leningbedrag invullen op regel 2530)</v>
      </c>
      <c r="C33" s="903"/>
      <c r="D33" s="904"/>
      <c r="E33" s="783"/>
    </row>
    <row r="34" spans="1:5" s="456" customFormat="1" ht="12">
      <c r="A34" s="780">
        <f>A33+1</f>
        <v>2724</v>
      </c>
      <c r="B34" s="875" t="str">
        <f>CONCATENATE("Totaal regels ",A30," t/m ",A33)</f>
        <v>Totaal regels 2720 t/m 2723</v>
      </c>
      <c r="C34" s="905"/>
      <c r="D34" s="906"/>
      <c r="E34" s="873">
        <f>SUM(E30:E33)</f>
        <v>0</v>
      </c>
    </row>
    <row r="35" ht="12.75" customHeight="1"/>
    <row r="36" spans="1:5" ht="12.75" customHeight="1">
      <c r="A36" s="1015" t="s">
        <v>50</v>
      </c>
      <c r="B36" s="741"/>
      <c r="C36" s="741"/>
      <c r="D36" s="741"/>
      <c r="E36" s="741"/>
    </row>
    <row r="37" spans="1:5" ht="12.75" customHeight="1">
      <c r="A37" s="741"/>
      <c r="B37" s="741"/>
      <c r="C37" s="741"/>
      <c r="D37" s="741"/>
      <c r="E37" s="741"/>
    </row>
    <row r="38" spans="1:5" ht="12.75" customHeight="1">
      <c r="A38" s="741"/>
      <c r="B38" s="741"/>
      <c r="C38" s="741"/>
      <c r="D38" s="741"/>
      <c r="E38" s="741"/>
    </row>
    <row r="39" spans="1:5" ht="12.75" customHeight="1">
      <c r="A39" s="741"/>
      <c r="B39" s="741"/>
      <c r="C39" s="741"/>
      <c r="D39" s="741"/>
      <c r="E39" s="741"/>
    </row>
    <row r="40" spans="1:5" ht="12.75" customHeight="1">
      <c r="A40" s="741"/>
      <c r="B40" s="741"/>
      <c r="C40" s="741"/>
      <c r="D40" s="741"/>
      <c r="E40" s="741"/>
    </row>
    <row r="41" spans="1:5" ht="12.75">
      <c r="A41" s="741"/>
      <c r="B41" s="741"/>
      <c r="C41" s="741"/>
      <c r="D41" s="741"/>
      <c r="E41" s="741"/>
    </row>
    <row r="42" spans="1:5" ht="12.75">
      <c r="A42" s="741"/>
      <c r="B42" s="741"/>
      <c r="C42" s="741"/>
      <c r="D42" s="741"/>
      <c r="E42" s="741"/>
    </row>
    <row r="43" spans="1:5" ht="12.75">
      <c r="A43" s="742"/>
      <c r="B43" s="741"/>
      <c r="C43" s="743"/>
      <c r="D43" s="743"/>
      <c r="E43" s="741"/>
    </row>
  </sheetData>
  <sheetProtection password="C281" sheet="1" objects="1" scenarios="1"/>
  <conditionalFormatting sqref="C7:D18 B18 C21:D24 D20">
    <cfRule type="expression" priority="1" dxfId="2" stopIfTrue="1">
      <formula>$C$2=TRUE</formula>
    </cfRule>
  </conditionalFormatting>
  <conditionalFormatting sqref="E31:E33">
    <cfRule type="expression" priority="2" dxfId="2" stopIfTrue="1">
      <formula>$C$2=TRUE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drawing r:id="rId1"/>
</worksheet>
</file>

<file path=xl/worksheets/sheet16.xml><?xml version="1.0" encoding="utf-8"?>
<worksheet xmlns="http://schemas.openxmlformats.org/spreadsheetml/2006/main" xmlns:r="http://schemas.openxmlformats.org/officeDocument/2006/relationships">
  <dimension ref="A1:F130"/>
  <sheetViews>
    <sheetView showGridLines="0" zoomScale="86" zoomScaleNormal="86" workbookViewId="0" topLeftCell="A1">
      <selection activeCell="B9" sqref="B9"/>
    </sheetView>
  </sheetViews>
  <sheetFormatPr defaultColWidth="9.140625" defaultRowHeight="12.75"/>
  <cols>
    <col min="1" max="1" width="5.7109375" style="0" customWidth="1"/>
    <col min="2" max="2" width="109.57421875" style="0" customWidth="1"/>
    <col min="3" max="3" width="0.71875" style="0" customWidth="1"/>
    <col min="4" max="6" width="8.28125" style="0" customWidth="1"/>
    <col min="7" max="7" width="2.421875" style="0" customWidth="1"/>
  </cols>
  <sheetData>
    <row r="1" spans="1:6" ht="12.75">
      <c r="A1" s="986"/>
      <c r="B1" s="987"/>
      <c r="C1" s="987"/>
      <c r="D1" s="988"/>
      <c r="E1" s="988"/>
      <c r="F1" s="989"/>
    </row>
    <row r="2" spans="1:6" ht="15.75" customHeight="1">
      <c r="A2" s="990" t="str">
        <f>Inhoud!$A$2</f>
        <v>Nacalculatieformulier 2004 GGZ-instellingen</v>
      </c>
      <c r="B2" s="991"/>
      <c r="C2" s="1369" t="b">
        <f>Voorblad!E28</f>
        <v>1</v>
      </c>
      <c r="D2" s="1366"/>
      <c r="E2" s="1367"/>
      <c r="F2" s="1368">
        <f>'G-H'!E2+1</f>
        <v>28</v>
      </c>
    </row>
    <row r="3" spans="1:6" ht="12.75">
      <c r="A3" s="986"/>
      <c r="B3" s="987"/>
      <c r="C3" s="987"/>
      <c r="D3" s="988"/>
      <c r="E3" s="988"/>
      <c r="F3" s="989"/>
    </row>
    <row r="4" spans="1:6" ht="12.75">
      <c r="A4" s="992" t="s">
        <v>49</v>
      </c>
      <c r="B4" s="993"/>
      <c r="C4" s="994"/>
      <c r="D4" s="994"/>
      <c r="E4" s="994"/>
      <c r="F4" s="994"/>
    </row>
    <row r="5" spans="1:6" ht="12.75">
      <c r="A5" t="s">
        <v>44</v>
      </c>
      <c r="B5" s="996"/>
      <c r="C5" s="994"/>
      <c r="D5" s="994"/>
      <c r="E5" s="994"/>
      <c r="F5" s="994"/>
    </row>
    <row r="6" spans="1:6" ht="12.75">
      <c r="A6" s="995" t="s">
        <v>45</v>
      </c>
      <c r="B6" s="996"/>
      <c r="C6" s="994"/>
      <c r="D6" s="1725" t="str">
        <f>CONCATENATE("Instelling: ",Voorblad!F9,".",Voorblad!G9)</f>
        <v>Instelling: 120.</v>
      </c>
      <c r="E6" s="1726"/>
      <c r="F6" s="994"/>
    </row>
    <row r="7" spans="1:6" ht="12.75">
      <c r="A7" s="995" t="s">
        <v>48</v>
      </c>
      <c r="B7" s="996"/>
      <c r="C7" s="994"/>
      <c r="D7" s="994"/>
      <c r="E7" s="994"/>
      <c r="F7" s="994"/>
    </row>
    <row r="8" spans="1:6" ht="12.75">
      <c r="A8" s="997"/>
      <c r="B8" s="997"/>
      <c r="C8" s="994"/>
      <c r="D8" s="994"/>
      <c r="E8" s="994"/>
      <c r="F8" s="994"/>
    </row>
    <row r="9" spans="1:6" ht="12.75">
      <c r="A9" s="994"/>
      <c r="B9" s="994"/>
      <c r="C9" s="994"/>
      <c r="D9" s="1719" t="s">
        <v>42</v>
      </c>
      <c r="E9" s="1720"/>
      <c r="F9" s="1721"/>
    </row>
    <row r="10" spans="1:6" ht="12.75">
      <c r="A10" s="994"/>
      <c r="B10" s="994"/>
      <c r="C10" s="994"/>
      <c r="D10" s="998">
        <v>1</v>
      </c>
      <c r="E10" s="998">
        <v>2</v>
      </c>
      <c r="F10" s="998">
        <v>3</v>
      </c>
    </row>
    <row r="11" spans="1:5" ht="12.75">
      <c r="A11" s="992" t="s">
        <v>43</v>
      </c>
      <c r="B11" s="994"/>
      <c r="C11" s="994"/>
      <c r="D11" s="994"/>
      <c r="E11" s="994"/>
    </row>
    <row r="12" spans="1:6" ht="12.75">
      <c r="A12" s="1707">
        <v>1</v>
      </c>
      <c r="B12" s="1706" t="s">
        <v>52</v>
      </c>
      <c r="C12" s="1697"/>
      <c r="D12" s="1694"/>
      <c r="E12" s="1694"/>
      <c r="F12" s="1696"/>
    </row>
    <row r="13" spans="1:6" ht="12.75">
      <c r="A13" s="1708"/>
      <c r="B13" s="1706"/>
      <c r="C13" s="1697"/>
      <c r="D13" s="1695"/>
      <c r="E13" s="1695"/>
      <c r="F13" s="1696"/>
    </row>
    <row r="14" spans="1:6" ht="12.75">
      <c r="A14" s="1709"/>
      <c r="B14" s="1706"/>
      <c r="C14" s="1697"/>
      <c r="D14" s="1695"/>
      <c r="E14" s="1695"/>
      <c r="F14" s="1696"/>
    </row>
    <row r="15" spans="1:6" ht="12.75">
      <c r="A15" s="1707">
        <f>A12+1</f>
        <v>2</v>
      </c>
      <c r="B15" s="1705" t="s">
        <v>796</v>
      </c>
      <c r="C15" s="1697"/>
      <c r="D15" s="1694"/>
      <c r="E15" s="1694"/>
      <c r="F15" s="1696"/>
    </row>
    <row r="16" spans="1:6" ht="12.75">
      <c r="A16" s="1708"/>
      <c r="B16" s="1706"/>
      <c r="C16" s="1697"/>
      <c r="D16" s="1695"/>
      <c r="E16" s="1695"/>
      <c r="F16" s="1696"/>
    </row>
    <row r="17" spans="1:6" ht="12.75">
      <c r="A17" s="1709"/>
      <c r="B17" s="1706"/>
      <c r="C17" s="1697"/>
      <c r="D17" s="1695"/>
      <c r="E17" s="1695"/>
      <c r="F17" s="1696"/>
    </row>
    <row r="19" ht="12.75">
      <c r="A19" s="992" t="s">
        <v>53</v>
      </c>
    </row>
    <row r="20" spans="1:6" ht="12.75">
      <c r="A20" s="1707">
        <f>A15+1</f>
        <v>3</v>
      </c>
      <c r="B20" s="1705" t="s">
        <v>621</v>
      </c>
      <c r="C20" s="1697"/>
      <c r="D20" s="1694"/>
      <c r="E20" s="1699"/>
      <c r="F20" s="1722"/>
    </row>
    <row r="21" spans="1:6" ht="12.75">
      <c r="A21" s="1708"/>
      <c r="B21" s="1706"/>
      <c r="C21" s="1697"/>
      <c r="D21" s="1695"/>
      <c r="E21" s="1696"/>
      <c r="F21" s="1723"/>
    </row>
    <row r="22" spans="1:6" ht="12.75">
      <c r="A22" s="1709"/>
      <c r="B22" s="1706"/>
      <c r="C22" s="1697"/>
      <c r="D22" s="1698"/>
      <c r="E22" s="1700"/>
      <c r="F22" s="1724"/>
    </row>
    <row r="23" spans="1:6" ht="12.75">
      <c r="A23" s="1707">
        <f>A20+1</f>
        <v>4</v>
      </c>
      <c r="B23" s="1705" t="s">
        <v>620</v>
      </c>
      <c r="C23" s="1697"/>
      <c r="D23" s="1694"/>
      <c r="E23" s="1694"/>
      <c r="F23" s="1698"/>
    </row>
    <row r="24" spans="1:6" ht="12.75">
      <c r="A24" s="1708"/>
      <c r="B24" s="1706"/>
      <c r="C24" s="1697"/>
      <c r="D24" s="1695"/>
      <c r="E24" s="1695"/>
      <c r="F24" s="1701"/>
    </row>
    <row r="25" spans="1:6" ht="12.75">
      <c r="A25" s="1709"/>
      <c r="B25" s="1706"/>
      <c r="C25" s="1697"/>
      <c r="D25" s="1698"/>
      <c r="E25" s="1698"/>
      <c r="F25" s="1701"/>
    </row>
    <row r="26" spans="1:6" ht="12.75">
      <c r="A26" s="1707">
        <f>A23+1</f>
        <v>5</v>
      </c>
      <c r="B26" s="1705" t="str">
        <f>CONCATENATE("Wijkt de definitieve productie meer dan 0,5% (zie regel ",Productie!A152,") af van de voorlopige werkelijke productie, zoals die is opgegeven in het budgetformulier ",Voorblad!$E$3+1,"?")</f>
        <v>Wijkt de definitieve productie meer dan 0,5% (zie regel 1023) af van de voorlopige werkelijke productie, zoals die is opgegeven in het budgetformulier 2005?</v>
      </c>
      <c r="C26" s="1697"/>
      <c r="D26" s="1694"/>
      <c r="E26" s="1694"/>
      <c r="F26" s="1699"/>
    </row>
    <row r="27" spans="1:6" ht="12.75">
      <c r="A27" s="1708"/>
      <c r="B27" s="1706"/>
      <c r="C27" s="1697"/>
      <c r="D27" s="1695"/>
      <c r="E27" s="1695"/>
      <c r="F27" s="1696"/>
    </row>
    <row r="28" spans="1:6" ht="12.75">
      <c r="A28" s="1709"/>
      <c r="B28" s="1706"/>
      <c r="C28" s="1697"/>
      <c r="D28" s="1698"/>
      <c r="E28" s="1698"/>
      <c r="F28" s="1696"/>
    </row>
    <row r="29" spans="1:6" ht="12.75">
      <c r="A29" s="1707">
        <f>A26+1</f>
        <v>6</v>
      </c>
      <c r="B29" s="1705" t="s">
        <v>641</v>
      </c>
      <c r="C29" s="1697"/>
      <c r="D29" s="1694"/>
      <c r="E29" s="1694"/>
      <c r="F29" s="1696"/>
    </row>
    <row r="30" spans="1:6" ht="12.75">
      <c r="A30" s="1708"/>
      <c r="B30" s="1706"/>
      <c r="C30" s="1697"/>
      <c r="D30" s="1695"/>
      <c r="E30" s="1695"/>
      <c r="F30" s="1696"/>
    </row>
    <row r="31" spans="1:6" ht="12.75">
      <c r="A31" s="1709"/>
      <c r="B31" s="1706"/>
      <c r="C31" s="1697"/>
      <c r="D31" s="1698"/>
      <c r="E31" s="1698"/>
      <c r="F31" s="1696"/>
    </row>
    <row r="32" spans="1:6" ht="12.75">
      <c r="A32" s="1707">
        <f>A29+1</f>
        <v>7</v>
      </c>
      <c r="B32" s="1705" t="s">
        <v>778</v>
      </c>
      <c r="C32" s="1697"/>
      <c r="D32" s="1694"/>
      <c r="E32" s="1694"/>
      <c r="F32" s="1700"/>
    </row>
    <row r="33" spans="1:6" ht="12.75">
      <c r="A33" s="1708"/>
      <c r="B33" s="1706"/>
      <c r="C33" s="1697"/>
      <c r="D33" s="1695"/>
      <c r="E33" s="1695"/>
      <c r="F33" s="1715"/>
    </row>
    <row r="34" spans="1:6" ht="12.75">
      <c r="A34" s="1709"/>
      <c r="B34" s="1706"/>
      <c r="C34" s="1697"/>
      <c r="D34" s="1698"/>
      <c r="E34" s="1698"/>
      <c r="F34" s="1699"/>
    </row>
    <row r="35" spans="1:6" ht="12.75">
      <c r="A35" s="1707">
        <f>A32+1</f>
        <v>8</v>
      </c>
      <c r="B35" s="1705" t="s">
        <v>779</v>
      </c>
      <c r="C35" s="1697"/>
      <c r="D35" s="1694"/>
      <c r="E35" s="1694"/>
      <c r="F35" s="1700"/>
    </row>
    <row r="36" spans="1:6" ht="12.75">
      <c r="A36" s="1708"/>
      <c r="B36" s="1706"/>
      <c r="C36" s="1697"/>
      <c r="D36" s="1695"/>
      <c r="E36" s="1695"/>
      <c r="F36" s="1715"/>
    </row>
    <row r="37" spans="1:6" ht="12.75">
      <c r="A37" s="1709"/>
      <c r="B37" s="1706"/>
      <c r="C37" s="1697"/>
      <c r="D37" s="1698"/>
      <c r="E37" s="1698"/>
      <c r="F37" s="1699"/>
    </row>
    <row r="38" spans="2:3" ht="12.75">
      <c r="B38" s="1019"/>
      <c r="C38" s="1052"/>
    </row>
    <row r="39" ht="12.75">
      <c r="A39" s="992" t="s">
        <v>777</v>
      </c>
    </row>
    <row r="40" spans="1:6" ht="12.75">
      <c r="A40" s="1707">
        <f>A35+1</f>
        <v>9</v>
      </c>
      <c r="B40" s="1705" t="s">
        <v>647</v>
      </c>
      <c r="C40" s="1697"/>
      <c r="D40" s="1694"/>
      <c r="E40" s="1694"/>
      <c r="F40" s="1700"/>
    </row>
    <row r="41" spans="1:6" ht="12.75">
      <c r="A41" s="1708"/>
      <c r="B41" s="1706"/>
      <c r="C41" s="1697"/>
      <c r="D41" s="1695"/>
      <c r="E41" s="1695"/>
      <c r="F41" s="1715"/>
    </row>
    <row r="42" spans="1:6" ht="12.75">
      <c r="A42" s="1709"/>
      <c r="B42" s="1706"/>
      <c r="C42" s="1697"/>
      <c r="D42" s="1698"/>
      <c r="E42" s="1698"/>
      <c r="F42" s="1699"/>
    </row>
    <row r="46" spans="1:6" ht="12.75">
      <c r="A46" s="986"/>
      <c r="B46" s="987"/>
      <c r="C46" s="987"/>
      <c r="D46" s="988"/>
      <c r="E46" s="988"/>
      <c r="F46" s="989"/>
    </row>
    <row r="47" spans="1:6" ht="15.75" customHeight="1">
      <c r="A47" s="990" t="str">
        <f>Inhoud!$A$2</f>
        <v>Nacalculatieformulier 2004 GGZ-instellingen</v>
      </c>
      <c r="B47" s="991"/>
      <c r="C47" s="991"/>
      <c r="D47" s="1366"/>
      <c r="E47" s="1367"/>
      <c r="F47" s="1368">
        <f>F2+1</f>
        <v>29</v>
      </c>
    </row>
    <row r="48" spans="1:6" ht="12.75">
      <c r="A48" s="1081"/>
      <c r="B48" s="1082"/>
      <c r="C48" s="1082"/>
      <c r="D48" s="1083"/>
      <c r="E48" s="1084"/>
      <c r="F48" s="1085"/>
    </row>
    <row r="49" spans="1:6" ht="12.75">
      <c r="A49" s="1081"/>
      <c r="B49" s="1082"/>
      <c r="C49" s="1082"/>
      <c r="D49" s="1725" t="str">
        <f>CONCATENATE("Instelling: ",Voorblad!F9,".",Voorblad!G9)</f>
        <v>Instelling: 120.</v>
      </c>
      <c r="E49" s="1726"/>
      <c r="F49" s="1085"/>
    </row>
    <row r="50" spans="1:6" ht="12.75">
      <c r="A50" s="986"/>
      <c r="B50" s="987"/>
      <c r="C50" s="987"/>
      <c r="D50" s="988"/>
      <c r="E50" s="988"/>
      <c r="F50" s="989"/>
    </row>
    <row r="51" spans="1:6" ht="12.75">
      <c r="A51" s="992" t="s">
        <v>51</v>
      </c>
      <c r="B51" s="993"/>
      <c r="C51" s="994"/>
      <c r="D51" s="1719" t="s">
        <v>42</v>
      </c>
      <c r="E51" s="1720"/>
      <c r="F51" s="1721"/>
    </row>
    <row r="52" spans="1:6" ht="12.75">
      <c r="A52" s="994"/>
      <c r="B52" s="994"/>
      <c r="C52" s="994"/>
      <c r="D52" s="998">
        <v>1</v>
      </c>
      <c r="E52" s="998">
        <v>2</v>
      </c>
      <c r="F52" s="998">
        <v>3</v>
      </c>
    </row>
    <row r="53" spans="1:6" ht="12.75">
      <c r="A53" s="992" t="s">
        <v>54</v>
      </c>
      <c r="B53" s="994"/>
      <c r="C53" s="994"/>
      <c r="D53" s="1390"/>
      <c r="E53" s="1390"/>
      <c r="F53" s="1390"/>
    </row>
    <row r="54" spans="1:6" ht="12.75">
      <c r="A54" s="1707">
        <f>A40+1</f>
        <v>10</v>
      </c>
      <c r="B54" s="1705" t="s">
        <v>720</v>
      </c>
      <c r="C54" s="1697"/>
      <c r="D54" s="1694"/>
      <c r="E54" s="1694"/>
      <c r="F54" s="1696"/>
    </row>
    <row r="55" spans="1:6" ht="12.75">
      <c r="A55" s="1708"/>
      <c r="B55" s="1706"/>
      <c r="C55" s="1697"/>
      <c r="D55" s="1695"/>
      <c r="E55" s="1695"/>
      <c r="F55" s="1696"/>
    </row>
    <row r="56" spans="1:6" ht="12.75">
      <c r="A56" s="1709"/>
      <c r="B56" s="1706"/>
      <c r="C56" s="1697"/>
      <c r="D56" s="1698"/>
      <c r="E56" s="1698"/>
      <c r="F56" s="1696"/>
    </row>
    <row r="57" spans="1:6" ht="12.75">
      <c r="A57" s="1707">
        <f>A54+1</f>
        <v>11</v>
      </c>
      <c r="B57" s="1705" t="s">
        <v>788</v>
      </c>
      <c r="C57" s="1697"/>
      <c r="D57" s="1694"/>
      <c r="E57" s="1694"/>
      <c r="F57" s="1696"/>
    </row>
    <row r="58" spans="1:6" ht="12.75">
      <c r="A58" s="1708"/>
      <c r="B58" s="1706"/>
      <c r="C58" s="1697"/>
      <c r="D58" s="1695"/>
      <c r="E58" s="1695"/>
      <c r="F58" s="1696"/>
    </row>
    <row r="59" spans="1:6" ht="12.75">
      <c r="A59" s="1709"/>
      <c r="B59" s="1706"/>
      <c r="C59" s="1697"/>
      <c r="D59" s="1698"/>
      <c r="E59" s="1698"/>
      <c r="F59" s="1696"/>
    </row>
    <row r="60" spans="1:6" ht="12.75">
      <c r="A60" s="1707">
        <f>A57+1</f>
        <v>12</v>
      </c>
      <c r="B60" s="1705" t="s">
        <v>789</v>
      </c>
      <c r="C60" s="1697"/>
      <c r="D60" s="1694"/>
      <c r="E60" s="1699"/>
      <c r="F60" s="1698"/>
    </row>
    <row r="61" spans="1:6" ht="12.75">
      <c r="A61" s="1708"/>
      <c r="B61" s="1706"/>
      <c r="C61" s="1697"/>
      <c r="D61" s="1695"/>
      <c r="E61" s="1696"/>
      <c r="F61" s="1701"/>
    </row>
    <row r="62" spans="1:6" ht="12.75">
      <c r="A62" s="1709"/>
      <c r="B62" s="1706"/>
      <c r="C62" s="1697"/>
      <c r="D62" s="1698"/>
      <c r="E62" s="1700"/>
      <c r="F62" s="1701"/>
    </row>
    <row r="63" spans="1:6" ht="12.75">
      <c r="A63" s="1707">
        <f>A60+1</f>
        <v>13</v>
      </c>
      <c r="B63" s="1705" t="s">
        <v>550</v>
      </c>
      <c r="C63" s="1697"/>
      <c r="D63" s="1694"/>
      <c r="E63" s="1699"/>
      <c r="F63" s="1701"/>
    </row>
    <row r="64" spans="1:6" ht="12.75">
      <c r="A64" s="1708"/>
      <c r="B64" s="1706"/>
      <c r="C64" s="1697"/>
      <c r="D64" s="1695"/>
      <c r="E64" s="1696"/>
      <c r="F64" s="1701"/>
    </row>
    <row r="65" spans="1:6" ht="12.75">
      <c r="A65" s="1709"/>
      <c r="B65" s="1706"/>
      <c r="C65" s="1697"/>
      <c r="D65" s="1698"/>
      <c r="E65" s="1700"/>
      <c r="F65" s="1701"/>
    </row>
    <row r="66" spans="1:6" ht="12.75">
      <c r="A66" s="1707">
        <f>A63+1</f>
        <v>14</v>
      </c>
      <c r="B66" s="1705" t="s">
        <v>793</v>
      </c>
      <c r="C66" s="1697"/>
      <c r="D66" s="1694"/>
      <c r="E66" s="1699"/>
      <c r="F66" s="1701"/>
    </row>
    <row r="67" spans="1:6" ht="12.75">
      <c r="A67" s="1708"/>
      <c r="B67" s="1706"/>
      <c r="C67" s="1697"/>
      <c r="D67" s="1695"/>
      <c r="E67" s="1696"/>
      <c r="F67" s="1701"/>
    </row>
    <row r="68" spans="1:6" ht="12.75">
      <c r="A68" s="1709"/>
      <c r="B68" s="1706"/>
      <c r="C68" s="1697"/>
      <c r="D68" s="1698"/>
      <c r="E68" s="1700"/>
      <c r="F68" s="1701"/>
    </row>
    <row r="69" spans="1:6" ht="12.75">
      <c r="A69" s="1707">
        <f>A66+1</f>
        <v>15</v>
      </c>
      <c r="B69" s="1705" t="s">
        <v>479</v>
      </c>
      <c r="C69" s="1697"/>
      <c r="D69" s="1694"/>
      <c r="E69" s="1699"/>
      <c r="F69" s="1701"/>
    </row>
    <row r="70" spans="1:6" ht="12.75">
      <c r="A70" s="1708"/>
      <c r="B70" s="1706"/>
      <c r="C70" s="1697"/>
      <c r="D70" s="1695"/>
      <c r="E70" s="1696"/>
      <c r="F70" s="1701"/>
    </row>
    <row r="71" spans="1:6" ht="12.75">
      <c r="A71" s="1709"/>
      <c r="B71" s="1706"/>
      <c r="C71" s="1697"/>
      <c r="D71" s="1698"/>
      <c r="E71" s="1700"/>
      <c r="F71" s="1701"/>
    </row>
    <row r="72" spans="1:6" ht="12.75">
      <c r="A72" s="1707">
        <f>A69+1</f>
        <v>16</v>
      </c>
      <c r="B72" s="1713" t="str">
        <f>CONCATENATE("Zijn de verschillen op de regels ",Afschrijvingen!A26,", ",Afschrijvingen!A38,", ",'A-E'!A25," en ",'A-E'!A118," van het nacalculatieformulier verklaard? Als er geen verschillen zijn, kies dan nvt.")</f>
        <v>Zijn de verschillen op de regels 1317, 1325, 2217 en 2420 van het nacalculatieformulier verklaard? Als er geen verschillen zijn, kies dan nvt.</v>
      </c>
      <c r="C72" s="1697"/>
      <c r="D72" s="1694"/>
      <c r="E72" s="1699"/>
      <c r="F72" s="1701"/>
    </row>
    <row r="73" spans="1:6" ht="12.75">
      <c r="A73" s="1708"/>
      <c r="B73" s="1714"/>
      <c r="C73" s="1697"/>
      <c r="D73" s="1695"/>
      <c r="E73" s="1696"/>
      <c r="F73" s="1701"/>
    </row>
    <row r="74" spans="1:6" ht="12.75">
      <c r="A74" s="1709"/>
      <c r="B74" s="1714"/>
      <c r="C74" s="1697"/>
      <c r="D74" s="1698"/>
      <c r="E74" s="1700"/>
      <c r="F74" s="1701"/>
    </row>
    <row r="75" spans="1:6" ht="12.75">
      <c r="A75" s="1707">
        <f>A72+1</f>
        <v>17</v>
      </c>
      <c r="B75" s="1705" t="s">
        <v>887</v>
      </c>
      <c r="C75" s="1697"/>
      <c r="D75" s="1694"/>
      <c r="E75" s="1699"/>
      <c r="F75" s="1701"/>
    </row>
    <row r="76" spans="1:6" ht="12.75">
      <c r="A76" s="1708"/>
      <c r="B76" s="1706"/>
      <c r="C76" s="1697"/>
      <c r="D76" s="1695"/>
      <c r="E76" s="1696"/>
      <c r="F76" s="1701"/>
    </row>
    <row r="77" spans="1:6" ht="12.75">
      <c r="A77" s="1709"/>
      <c r="B77" s="1706"/>
      <c r="C77" s="1697"/>
      <c r="D77" s="1698"/>
      <c r="E77" s="1700"/>
      <c r="F77" s="1701"/>
    </row>
    <row r="78" spans="1:6" ht="12.75">
      <c r="A78" s="1707">
        <f>A75+1</f>
        <v>18</v>
      </c>
      <c r="B78" s="1705" t="s">
        <v>790</v>
      </c>
      <c r="C78" s="1697"/>
      <c r="D78" s="1694"/>
      <c r="E78" s="1699"/>
      <c r="F78" s="1701"/>
    </row>
    <row r="79" spans="1:6" ht="12.75">
      <c r="A79" s="1708"/>
      <c r="B79" s="1706"/>
      <c r="C79" s="1697"/>
      <c r="D79" s="1695"/>
      <c r="E79" s="1696"/>
      <c r="F79" s="1701"/>
    </row>
    <row r="80" spans="1:6" ht="12.75">
      <c r="A80" s="1709"/>
      <c r="B80" s="1706"/>
      <c r="C80" s="1697"/>
      <c r="D80" s="1698"/>
      <c r="E80" s="1700"/>
      <c r="F80" s="1701"/>
    </row>
    <row r="81" spans="1:6" ht="12.75">
      <c r="A81" s="1707">
        <f>A78+1</f>
        <v>19</v>
      </c>
      <c r="B81" s="1705" t="s">
        <v>791</v>
      </c>
      <c r="C81" s="1697"/>
      <c r="D81" s="1694"/>
      <c r="E81" s="1699"/>
      <c r="F81" s="1701"/>
    </row>
    <row r="82" spans="1:6" ht="12.75">
      <c r="A82" s="1708"/>
      <c r="B82" s="1706"/>
      <c r="C82" s="1697"/>
      <c r="D82" s="1695"/>
      <c r="E82" s="1696"/>
      <c r="F82" s="1701"/>
    </row>
    <row r="83" spans="1:6" ht="12.75">
      <c r="A83" s="1709"/>
      <c r="B83" s="1706"/>
      <c r="C83" s="1697"/>
      <c r="D83" s="1698"/>
      <c r="E83" s="1700"/>
      <c r="F83" s="1701"/>
    </row>
    <row r="84" spans="1:6" ht="12.75">
      <c r="A84" s="1707">
        <f>A81+1</f>
        <v>20</v>
      </c>
      <c r="B84" s="1705" t="s">
        <v>889</v>
      </c>
      <c r="C84" s="1697"/>
      <c r="D84" s="1694"/>
      <c r="E84" s="1699"/>
      <c r="F84" s="1701"/>
    </row>
    <row r="85" spans="1:6" ht="12.75">
      <c r="A85" s="1708"/>
      <c r="B85" s="1706"/>
      <c r="C85" s="1697"/>
      <c r="D85" s="1695"/>
      <c r="E85" s="1696"/>
      <c r="F85" s="1701"/>
    </row>
    <row r="86" spans="1:6" ht="12.75">
      <c r="A86" s="1709"/>
      <c r="B86" s="1706"/>
      <c r="C86" s="1697"/>
      <c r="D86" s="1698"/>
      <c r="E86" s="1700"/>
      <c r="F86" s="1701"/>
    </row>
    <row r="87" spans="1:6" ht="12.75">
      <c r="A87" s="1707">
        <f>A84+1</f>
        <v>21</v>
      </c>
      <c r="B87" s="1705" t="s">
        <v>801</v>
      </c>
      <c r="C87" s="1697"/>
      <c r="D87" s="1694"/>
      <c r="E87" s="1699"/>
      <c r="F87" s="1701"/>
    </row>
    <row r="88" spans="1:6" ht="12.75">
      <c r="A88" s="1708"/>
      <c r="B88" s="1706"/>
      <c r="C88" s="1697"/>
      <c r="D88" s="1695"/>
      <c r="E88" s="1696"/>
      <c r="F88" s="1701"/>
    </row>
    <row r="89" spans="1:6" ht="12.75">
      <c r="A89" s="1709"/>
      <c r="B89" s="1706"/>
      <c r="C89" s="1697"/>
      <c r="D89" s="1698"/>
      <c r="E89" s="1700"/>
      <c r="F89" s="1701"/>
    </row>
    <row r="91" spans="1:6" ht="12.75">
      <c r="A91" s="986"/>
      <c r="B91" s="987"/>
      <c r="C91" s="987"/>
      <c r="D91" s="988"/>
      <c r="E91" s="988"/>
      <c r="F91" s="989"/>
    </row>
    <row r="92" spans="1:6" ht="15.75" customHeight="1">
      <c r="A92" s="990" t="str">
        <f>Inhoud!$A$2</f>
        <v>Nacalculatieformulier 2004 GGZ-instellingen</v>
      </c>
      <c r="B92" s="991"/>
      <c r="C92" s="991"/>
      <c r="D92" s="1366"/>
      <c r="E92" s="1367"/>
      <c r="F92" s="1368">
        <f>F47+1</f>
        <v>30</v>
      </c>
    </row>
    <row r="93" spans="1:6" ht="12.75">
      <c r="A93" s="1081"/>
      <c r="B93" s="1082"/>
      <c r="C93" s="1082"/>
      <c r="D93" s="1083"/>
      <c r="E93" s="1084"/>
      <c r="F93" s="1085"/>
    </row>
    <row r="94" spans="1:6" ht="12.75">
      <c r="A94" s="1081"/>
      <c r="B94" s="1082"/>
      <c r="C94" s="1082"/>
      <c r="D94" s="1725" t="str">
        <f>CONCATENATE("Instelling: ",Voorblad!F9,".",Voorblad!G9)</f>
        <v>Instelling: 120.</v>
      </c>
      <c r="E94" s="1726"/>
      <c r="F94" s="1085"/>
    </row>
    <row r="95" spans="1:6" ht="12.75">
      <c r="A95" s="986"/>
      <c r="B95" s="987"/>
      <c r="C95" s="987"/>
      <c r="D95" s="988"/>
      <c r="E95" s="988"/>
      <c r="F95" s="989"/>
    </row>
    <row r="96" spans="1:6" ht="12.75">
      <c r="A96" s="992" t="s">
        <v>51</v>
      </c>
      <c r="B96" s="993"/>
      <c r="C96" s="994"/>
      <c r="D96" s="1719" t="s">
        <v>42</v>
      </c>
      <c r="E96" s="1720"/>
      <c r="F96" s="1721"/>
    </row>
    <row r="97" spans="1:6" ht="12.75">
      <c r="A97" s="994"/>
      <c r="B97" s="994"/>
      <c r="C97" s="994"/>
      <c r="D97" s="998">
        <v>1</v>
      </c>
      <c r="E97" s="998">
        <v>2</v>
      </c>
      <c r="F97" s="998">
        <v>3</v>
      </c>
    </row>
    <row r="98" spans="1:6" ht="12.75">
      <c r="A98" s="992" t="s">
        <v>54</v>
      </c>
      <c r="B98" s="994"/>
      <c r="C98" s="994"/>
      <c r="D98" s="1390"/>
      <c r="E98" s="1390"/>
      <c r="F98" s="1390"/>
    </row>
    <row r="99" spans="1:6" ht="12.75">
      <c r="A99" s="1707">
        <f>A87+1</f>
        <v>22</v>
      </c>
      <c r="B99" s="1705" t="s">
        <v>551</v>
      </c>
      <c r="C99" s="1697"/>
      <c r="D99" s="1694"/>
      <c r="E99" s="1694"/>
      <c r="F99" s="1700"/>
    </row>
    <row r="100" spans="1:6" ht="12.75">
      <c r="A100" s="1708"/>
      <c r="B100" s="1706"/>
      <c r="C100" s="1697"/>
      <c r="D100" s="1695"/>
      <c r="E100" s="1695"/>
      <c r="F100" s="1715"/>
    </row>
    <row r="101" spans="1:6" ht="12.75">
      <c r="A101" s="1709"/>
      <c r="B101" s="1706"/>
      <c r="C101" s="1697"/>
      <c r="D101" s="1695"/>
      <c r="E101" s="1695"/>
      <c r="F101" s="1699"/>
    </row>
    <row r="102" spans="1:6" ht="12.75">
      <c r="A102" s="1702">
        <f>A99+1</f>
        <v>23</v>
      </c>
      <c r="B102" s="1705" t="s">
        <v>565</v>
      </c>
      <c r="C102" s="1697"/>
      <c r="D102" s="1694"/>
      <c r="E102" s="1694"/>
      <c r="F102" s="1700"/>
    </row>
    <row r="103" spans="1:6" ht="12.75">
      <c r="A103" s="1703"/>
      <c r="B103" s="1706"/>
      <c r="C103" s="1697"/>
      <c r="D103" s="1695"/>
      <c r="E103" s="1695"/>
      <c r="F103" s="1715"/>
    </row>
    <row r="104" spans="1:6" ht="12.75">
      <c r="A104" s="1704"/>
      <c r="B104" s="1706"/>
      <c r="C104" s="1697"/>
      <c r="D104" s="1698"/>
      <c r="E104" s="1698"/>
      <c r="F104" s="1699"/>
    </row>
    <row r="105" spans="1:6" ht="12.75">
      <c r="A105" s="1702">
        <f>A102+1</f>
        <v>24</v>
      </c>
      <c r="B105" s="1705" t="s">
        <v>552</v>
      </c>
      <c r="C105" s="1697"/>
      <c r="D105" s="1694"/>
      <c r="E105" s="1694"/>
      <c r="F105" s="1698"/>
    </row>
    <row r="106" spans="1:6" ht="12.75">
      <c r="A106" s="1703"/>
      <c r="B106" s="1706"/>
      <c r="C106" s="1697"/>
      <c r="D106" s="1695"/>
      <c r="E106" s="1695"/>
      <c r="F106" s="1701"/>
    </row>
    <row r="107" spans="1:6" ht="12.75">
      <c r="A107" s="1704"/>
      <c r="B107" s="1706"/>
      <c r="C107" s="1697"/>
      <c r="D107" s="1698"/>
      <c r="E107" s="1698"/>
      <c r="F107" s="1701"/>
    </row>
    <row r="108" spans="1:6" ht="12.75">
      <c r="A108" s="1702">
        <f>A105+1</f>
        <v>25</v>
      </c>
      <c r="B108" s="1716" t="s">
        <v>792</v>
      </c>
      <c r="C108" s="1053"/>
      <c r="D108" s="1694"/>
      <c r="E108" s="1694"/>
      <c r="F108" s="1715"/>
    </row>
    <row r="109" spans="1:6" ht="12.75">
      <c r="A109" s="1703"/>
      <c r="B109" s="1717"/>
      <c r="C109" s="1053"/>
      <c r="D109" s="1695"/>
      <c r="E109" s="1695"/>
      <c r="F109" s="1715"/>
    </row>
    <row r="110" spans="1:6" ht="12.75">
      <c r="A110" s="1704"/>
      <c r="B110" s="1718"/>
      <c r="C110" s="1053"/>
      <c r="D110" s="1698"/>
      <c r="E110" s="1698"/>
      <c r="F110" s="1715"/>
    </row>
    <row r="111" spans="1:6" ht="12.75">
      <c r="A111" s="1702">
        <f>A108+1</f>
        <v>26</v>
      </c>
      <c r="B111" s="1705" t="s">
        <v>719</v>
      </c>
      <c r="C111" s="1697"/>
      <c r="D111" s="1694"/>
      <c r="E111" s="1694"/>
      <c r="F111" s="1701"/>
    </row>
    <row r="112" spans="1:6" ht="12.75">
      <c r="A112" s="1703"/>
      <c r="B112" s="1706"/>
      <c r="C112" s="1697"/>
      <c r="D112" s="1695"/>
      <c r="E112" s="1695"/>
      <c r="F112" s="1701"/>
    </row>
    <row r="113" spans="1:6" ht="12.75">
      <c r="A113" s="1704"/>
      <c r="B113" s="1706"/>
      <c r="C113" s="1697"/>
      <c r="D113" s="1698"/>
      <c r="E113" s="1698"/>
      <c r="F113" s="1701"/>
    </row>
    <row r="114" spans="1:6" ht="12.75">
      <c r="A114" s="1702">
        <f>A111+1</f>
        <v>27</v>
      </c>
      <c r="B114" s="1705" t="s">
        <v>508</v>
      </c>
      <c r="C114" s="1697"/>
      <c r="D114" s="1694"/>
      <c r="E114" s="1694"/>
      <c r="F114" s="1701"/>
    </row>
    <row r="115" spans="1:6" ht="12.75">
      <c r="A115" s="1703"/>
      <c r="B115" s="1706"/>
      <c r="C115" s="1697"/>
      <c r="D115" s="1695"/>
      <c r="E115" s="1695"/>
      <c r="F115" s="1701"/>
    </row>
    <row r="116" spans="1:6" ht="12.75">
      <c r="A116" s="1704"/>
      <c r="B116" s="1706"/>
      <c r="C116" s="1697"/>
      <c r="D116" s="1698"/>
      <c r="E116" s="1698"/>
      <c r="F116" s="1701"/>
    </row>
    <row r="118" ht="12.75">
      <c r="A118" s="992" t="s">
        <v>55</v>
      </c>
    </row>
    <row r="119" spans="1:6" ht="12.75">
      <c r="A119" s="1702">
        <f>A114+1</f>
        <v>28</v>
      </c>
      <c r="B119" s="1713" t="str">
        <f>CONCATENATE("Zijn de overige mutaties op regel ",Mutaties!A19," toegelicht? Indien geen overige mutaties zijn opgevoerd, kies dan nvt.")</f>
        <v>Zijn de overige mutaties op regel 2011 toegelicht? Indien geen overige mutaties zijn opgevoerd, kies dan nvt.</v>
      </c>
      <c r="C119" s="1697"/>
      <c r="D119" s="1694"/>
      <c r="E119" s="1694"/>
      <c r="F119" s="1715"/>
    </row>
    <row r="120" spans="1:6" ht="12.75">
      <c r="A120" s="1703"/>
      <c r="B120" s="1714"/>
      <c r="C120" s="1697"/>
      <c r="D120" s="1695"/>
      <c r="E120" s="1695"/>
      <c r="F120" s="1715"/>
    </row>
    <row r="121" spans="1:6" ht="12.75">
      <c r="A121" s="1704"/>
      <c r="B121" s="1714"/>
      <c r="C121" s="1697"/>
      <c r="D121" s="1698"/>
      <c r="E121" s="1698"/>
      <c r="F121" s="1715"/>
    </row>
    <row r="122" spans="1:6" ht="12.75">
      <c r="A122" s="1702">
        <f>A119+1</f>
        <v>29</v>
      </c>
      <c r="B122" s="1713" t="str">
        <f>CONCATENATE("Is het verschil op regel ",Mutaties!A24," van het nacalculatieformulier verklaard? Als er geen verschil is, kies dan nvt.")</f>
        <v>Is het verschil op regel 2016 van het nacalculatieformulier verklaard? Als er geen verschil is, kies dan nvt.</v>
      </c>
      <c r="C122" s="1697"/>
      <c r="D122" s="1694"/>
      <c r="E122" s="1694"/>
      <c r="F122" s="1715"/>
    </row>
    <row r="123" spans="1:6" ht="12.75">
      <c r="A123" s="1703"/>
      <c r="B123" s="1714"/>
      <c r="C123" s="1697"/>
      <c r="D123" s="1695"/>
      <c r="E123" s="1695"/>
      <c r="F123" s="1715"/>
    </row>
    <row r="124" spans="1:6" ht="12.75">
      <c r="A124" s="1704"/>
      <c r="B124" s="1714"/>
      <c r="C124" s="1697"/>
      <c r="D124" s="1698"/>
      <c r="E124" s="1698"/>
      <c r="F124" s="1715"/>
    </row>
    <row r="125" spans="1:6" ht="12.75">
      <c r="A125" s="994"/>
      <c r="B125" s="999"/>
      <c r="C125" s="994"/>
      <c r="D125" s="994"/>
      <c r="E125" s="994"/>
      <c r="F125" s="994"/>
    </row>
    <row r="126" spans="1:6" ht="12.75">
      <c r="A126" s="1710" t="s">
        <v>553</v>
      </c>
      <c r="B126" s="1711"/>
      <c r="C126" s="994"/>
      <c r="D126" s="994"/>
      <c r="E126" s="994"/>
      <c r="F126" s="994"/>
    </row>
    <row r="127" spans="1:6" ht="12.75">
      <c r="A127" s="1710"/>
      <c r="B127" s="1711"/>
      <c r="C127" s="994"/>
      <c r="D127" s="994"/>
      <c r="E127" s="994"/>
      <c r="F127" s="994"/>
    </row>
    <row r="128" spans="1:6" ht="12.75">
      <c r="A128" s="1710"/>
      <c r="B128" s="1711"/>
      <c r="C128" s="994"/>
      <c r="D128" s="994"/>
      <c r="E128" s="994"/>
      <c r="F128" s="994"/>
    </row>
    <row r="129" spans="1:6" ht="12.75">
      <c r="A129" s="1712"/>
      <c r="B129" s="1711"/>
      <c r="C129" s="994"/>
      <c r="D129" s="994"/>
      <c r="E129" s="994"/>
      <c r="F129" s="994"/>
    </row>
    <row r="130" spans="1:6" ht="12.75">
      <c r="A130" s="997"/>
      <c r="B130" s="997"/>
      <c r="C130" s="997"/>
      <c r="D130" s="997"/>
      <c r="E130" s="1000"/>
      <c r="F130" s="997"/>
    </row>
  </sheetData>
  <sheetProtection password="C281" sheet="1" objects="1" scenarios="1"/>
  <mergeCells count="180">
    <mergeCell ref="E114:E116"/>
    <mergeCell ref="F114:F116"/>
    <mergeCell ref="F102:F104"/>
    <mergeCell ref="A114:A116"/>
    <mergeCell ref="B114:B116"/>
    <mergeCell ref="C114:C116"/>
    <mergeCell ref="D114:D116"/>
    <mergeCell ref="F105:F107"/>
    <mergeCell ref="E102:E104"/>
    <mergeCell ref="E105:E107"/>
    <mergeCell ref="E69:E71"/>
    <mergeCell ref="F69:F71"/>
    <mergeCell ref="F40:F42"/>
    <mergeCell ref="F54:F56"/>
    <mergeCell ref="F57:F59"/>
    <mergeCell ref="D51:F51"/>
    <mergeCell ref="E60:E62"/>
    <mergeCell ref="F60:F62"/>
    <mergeCell ref="D63:D65"/>
    <mergeCell ref="D6:E6"/>
    <mergeCell ref="D49:E49"/>
    <mergeCell ref="D94:E94"/>
    <mergeCell ref="D20:D22"/>
    <mergeCell ref="E40:E42"/>
    <mergeCell ref="E54:E56"/>
    <mergeCell ref="E57:E59"/>
    <mergeCell ref="D23:D25"/>
    <mergeCell ref="D9:F9"/>
    <mergeCell ref="D69:D71"/>
    <mergeCell ref="D12:D14"/>
    <mergeCell ref="A20:A22"/>
    <mergeCell ref="A12:A14"/>
    <mergeCell ref="B12:B14"/>
    <mergeCell ref="C12:C14"/>
    <mergeCell ref="B20:B22"/>
    <mergeCell ref="C20:C22"/>
    <mergeCell ref="A15:A17"/>
    <mergeCell ref="B15:B17"/>
    <mergeCell ref="C15:C17"/>
    <mergeCell ref="E12:E14"/>
    <mergeCell ref="F12:F14"/>
    <mergeCell ref="F35:F37"/>
    <mergeCell ref="F32:F34"/>
    <mergeCell ref="E29:E31"/>
    <mergeCell ref="E32:E34"/>
    <mergeCell ref="F23:F25"/>
    <mergeCell ref="E35:E37"/>
    <mergeCell ref="F20:F22"/>
    <mergeCell ref="F26:F28"/>
    <mergeCell ref="F29:F31"/>
    <mergeCell ref="B23:B25"/>
    <mergeCell ref="C23:C25"/>
    <mergeCell ref="E20:E22"/>
    <mergeCell ref="B26:B28"/>
    <mergeCell ref="C26:C28"/>
    <mergeCell ref="E23:E25"/>
    <mergeCell ref="E26:E28"/>
    <mergeCell ref="D26:D28"/>
    <mergeCell ref="B29:B31"/>
    <mergeCell ref="A26:A28"/>
    <mergeCell ref="A23:A25"/>
    <mergeCell ref="A32:A34"/>
    <mergeCell ref="B32:B34"/>
    <mergeCell ref="A29:A31"/>
    <mergeCell ref="C32:C34"/>
    <mergeCell ref="D32:D34"/>
    <mergeCell ref="C29:C31"/>
    <mergeCell ref="D29:D31"/>
    <mergeCell ref="A35:A37"/>
    <mergeCell ref="B35:B37"/>
    <mergeCell ref="C35:C37"/>
    <mergeCell ref="D35:D37"/>
    <mergeCell ref="A40:A42"/>
    <mergeCell ref="B40:B42"/>
    <mergeCell ref="C40:C42"/>
    <mergeCell ref="D40:D42"/>
    <mergeCell ref="A57:A59"/>
    <mergeCell ref="B57:B59"/>
    <mergeCell ref="C57:C59"/>
    <mergeCell ref="D57:D59"/>
    <mergeCell ref="A54:A56"/>
    <mergeCell ref="B54:B56"/>
    <mergeCell ref="C54:C56"/>
    <mergeCell ref="D54:D56"/>
    <mergeCell ref="A60:A62"/>
    <mergeCell ref="B60:B62"/>
    <mergeCell ref="C60:C62"/>
    <mergeCell ref="D60:D62"/>
    <mergeCell ref="B72:B74"/>
    <mergeCell ref="A63:A65"/>
    <mergeCell ref="B63:B65"/>
    <mergeCell ref="C63:C65"/>
    <mergeCell ref="A69:A71"/>
    <mergeCell ref="B69:B71"/>
    <mergeCell ref="C69:C71"/>
    <mergeCell ref="F75:F77"/>
    <mergeCell ref="E72:E74"/>
    <mergeCell ref="F72:F74"/>
    <mergeCell ref="A66:A68"/>
    <mergeCell ref="B66:B68"/>
    <mergeCell ref="C66:C68"/>
    <mergeCell ref="D66:D68"/>
    <mergeCell ref="E66:E68"/>
    <mergeCell ref="F66:F68"/>
    <mergeCell ref="A72:A74"/>
    <mergeCell ref="A75:A77"/>
    <mergeCell ref="B75:B77"/>
    <mergeCell ref="C75:C77"/>
    <mergeCell ref="D75:D77"/>
    <mergeCell ref="C81:C83"/>
    <mergeCell ref="D81:D83"/>
    <mergeCell ref="E78:E80"/>
    <mergeCell ref="F78:F80"/>
    <mergeCell ref="E81:E83"/>
    <mergeCell ref="F81:F83"/>
    <mergeCell ref="F87:F89"/>
    <mergeCell ref="A84:A86"/>
    <mergeCell ref="B84:B86"/>
    <mergeCell ref="A87:A89"/>
    <mergeCell ref="B87:B89"/>
    <mergeCell ref="C87:C89"/>
    <mergeCell ref="D87:D89"/>
    <mergeCell ref="E84:E86"/>
    <mergeCell ref="F84:F86"/>
    <mergeCell ref="C84:C86"/>
    <mergeCell ref="D84:D86"/>
    <mergeCell ref="E99:E101"/>
    <mergeCell ref="C99:C101"/>
    <mergeCell ref="E87:E89"/>
    <mergeCell ref="C102:C104"/>
    <mergeCell ref="D102:D104"/>
    <mergeCell ref="D99:D101"/>
    <mergeCell ref="D96:F96"/>
    <mergeCell ref="F99:F101"/>
    <mergeCell ref="F111:F113"/>
    <mergeCell ref="E108:E110"/>
    <mergeCell ref="A111:A113"/>
    <mergeCell ref="B111:B113"/>
    <mergeCell ref="B108:B110"/>
    <mergeCell ref="A108:A110"/>
    <mergeCell ref="C111:C113"/>
    <mergeCell ref="D111:D113"/>
    <mergeCell ref="F108:F110"/>
    <mergeCell ref="C105:C107"/>
    <mergeCell ref="D105:D107"/>
    <mergeCell ref="D108:D110"/>
    <mergeCell ref="E111:E113"/>
    <mergeCell ref="F122:F124"/>
    <mergeCell ref="E119:E121"/>
    <mergeCell ref="A122:A124"/>
    <mergeCell ref="C122:C124"/>
    <mergeCell ref="A119:A121"/>
    <mergeCell ref="B119:B121"/>
    <mergeCell ref="C119:C121"/>
    <mergeCell ref="D119:D121"/>
    <mergeCell ref="F119:F121"/>
    <mergeCell ref="A126:B129"/>
    <mergeCell ref="B122:B124"/>
    <mergeCell ref="D122:D124"/>
    <mergeCell ref="E122:E124"/>
    <mergeCell ref="A105:A107"/>
    <mergeCell ref="B105:B107"/>
    <mergeCell ref="A78:A80"/>
    <mergeCell ref="B78:B80"/>
    <mergeCell ref="A99:A101"/>
    <mergeCell ref="A102:A104"/>
    <mergeCell ref="B102:B104"/>
    <mergeCell ref="B99:B101"/>
    <mergeCell ref="A81:A83"/>
    <mergeCell ref="B81:B83"/>
    <mergeCell ref="D15:D17"/>
    <mergeCell ref="E15:E17"/>
    <mergeCell ref="F15:F17"/>
    <mergeCell ref="C78:C80"/>
    <mergeCell ref="D78:D80"/>
    <mergeCell ref="C72:C74"/>
    <mergeCell ref="D72:D74"/>
    <mergeCell ref="E63:E65"/>
    <mergeCell ref="F63:F65"/>
    <mergeCell ref="E75:E77"/>
  </mergeCells>
  <conditionalFormatting sqref="D119:F124 D99:E113 F105:F107 F111:F113 D114:F116 F23:F25 D12:E17 D20:E37 D40:E42 D69:F89 D54:E68 F60:F68">
    <cfRule type="expression" priority="1" dxfId="2" stopIfTrue="1">
      <formula>$C$2=TRUE</formula>
    </cfRule>
  </conditionalFormatting>
  <printOptions/>
  <pageMargins left="0.3937007874015748" right="0.3937007874015748" top="0.3937007874015748" bottom="0.3937007874015748" header="0.5118110236220472" footer="0.5118110236220472"/>
  <pageSetup horizontalDpi="600" verticalDpi="600" orientation="landscape" paperSize="9" scale="95" r:id="rId3"/>
  <rowBreaks count="2" manualBreakCount="2">
    <brk id="45" max="255" man="1"/>
    <brk id="90" max="6" man="1"/>
  </rowBreaks>
  <drawing r:id="rId2"/>
  <legacyDrawing r:id="rId1"/>
</worksheet>
</file>

<file path=xl/worksheets/sheet17.xml><?xml version="1.0" encoding="utf-8"?>
<worksheet xmlns="http://schemas.openxmlformats.org/spreadsheetml/2006/main" xmlns:r="http://schemas.openxmlformats.org/officeDocument/2006/relationships">
  <sheetPr codeName="Blad17"/>
  <dimension ref="A1:K94"/>
  <sheetViews>
    <sheetView showGridLines="0" zoomScale="86" zoomScaleNormal="86" zoomScaleSheetLayoutView="86" workbookViewId="0" topLeftCell="A1">
      <selection activeCell="F16" sqref="F16"/>
    </sheetView>
  </sheetViews>
  <sheetFormatPr defaultColWidth="9.140625" defaultRowHeight="12.75"/>
  <cols>
    <col min="1" max="1" width="5.7109375" style="467" customWidth="1"/>
    <col min="2" max="2" width="46.421875" style="453" customWidth="1"/>
    <col min="3" max="3" width="30.8515625" style="453" customWidth="1"/>
    <col min="4" max="4" width="8.7109375" style="489" customWidth="1"/>
    <col min="5" max="5" width="13.7109375" style="456" customWidth="1"/>
    <col min="6" max="8" width="13.7109375" style="453" customWidth="1"/>
    <col min="9" max="9" width="9.00390625" style="471" bestFit="1" customWidth="1"/>
    <col min="10" max="16384" width="9.140625" style="453" customWidth="1"/>
  </cols>
  <sheetData>
    <row r="1" spans="1:11" ht="15.75" customHeight="1">
      <c r="A1" s="41"/>
      <c r="B1" s="42"/>
      <c r="C1" s="42"/>
      <c r="D1" s="42"/>
      <c r="E1" s="43"/>
      <c r="F1" s="42"/>
      <c r="G1" s="45"/>
      <c r="H1" s="455"/>
      <c r="I1" s="456"/>
      <c r="K1" s="451"/>
    </row>
    <row r="2" spans="1:11" s="515" customFormat="1" ht="15.75" customHeight="1">
      <c r="A2" s="1016" t="str">
        <f>CONCATENATE("Lijst met aanvullende vragen ",Voorblad!E3," ",Voorblad!A5)</f>
        <v>Lijst met aanvullende vragen 2004 GGZ-instellingen</v>
      </c>
      <c r="B2" s="637"/>
      <c r="C2" s="637"/>
      <c r="D2" s="639"/>
      <c r="E2" s="640" t="b">
        <f>Voorblad!E28</f>
        <v>1</v>
      </c>
      <c r="F2" s="640"/>
      <c r="G2" s="546"/>
      <c r="H2" s="1302">
        <f>Vragen!F92+1</f>
        <v>31</v>
      </c>
      <c r="K2" s="516"/>
    </row>
    <row r="3" spans="1:11" ht="12">
      <c r="A3" s="41"/>
      <c r="B3" s="42"/>
      <c r="C3" s="42"/>
      <c r="D3" s="42"/>
      <c r="E3" s="43"/>
      <c r="F3" s="42"/>
      <c r="G3" s="45"/>
      <c r="H3" s="455"/>
      <c r="I3" s="456"/>
      <c r="K3" s="451"/>
    </row>
    <row r="4" spans="1:11" ht="12.75" customHeight="1">
      <c r="A4" s="14" t="s">
        <v>890</v>
      </c>
      <c r="B4" s="42"/>
      <c r="C4" s="42"/>
      <c r="D4" s="42"/>
      <c r="E4" s="1731" t="str">
        <f>CONCATENATE("Instelling: ",Voorblad!F9,".",Voorblad!G9)</f>
        <v>Instelling: 120.</v>
      </c>
      <c r="F4" s="1657"/>
      <c r="G4" s="1658"/>
      <c r="H4" s="455"/>
      <c r="I4" s="456"/>
      <c r="K4" s="451"/>
    </row>
    <row r="5" spans="2:11" ht="12" customHeight="1">
      <c r="B5" s="1371"/>
      <c r="C5" s="1371"/>
      <c r="D5" s="1371"/>
      <c r="E5" s="1732">
        <f>Voorblad!C31</f>
        <v>0</v>
      </c>
      <c r="F5" s="1733"/>
      <c r="G5" s="1734"/>
      <c r="H5" s="455"/>
      <c r="I5" s="456"/>
      <c r="K5" s="451"/>
    </row>
    <row r="6" spans="1:11" ht="12" customHeight="1">
      <c r="A6" s="1485" t="s">
        <v>629</v>
      </c>
      <c r="B6" s="1730"/>
      <c r="C6" s="1730"/>
      <c r="D6" s="1730"/>
      <c r="E6" s="1730"/>
      <c r="F6" s="1730"/>
      <c r="G6" s="1730"/>
      <c r="H6" s="455"/>
      <c r="I6" s="456"/>
      <c r="K6" s="451"/>
    </row>
    <row r="7" spans="1:11" ht="12" customHeight="1">
      <c r="A7" s="1730"/>
      <c r="B7" s="1730"/>
      <c r="C7" s="1730"/>
      <c r="D7" s="1730"/>
      <c r="E7" s="1730"/>
      <c r="F7" s="1730"/>
      <c r="G7" s="1730"/>
      <c r="H7" s="455"/>
      <c r="I7" s="456"/>
      <c r="K7" s="451"/>
    </row>
    <row r="8" spans="1:11" ht="12" customHeight="1">
      <c r="A8" s="1730"/>
      <c r="B8" s="1730"/>
      <c r="C8" s="1730"/>
      <c r="D8" s="1730"/>
      <c r="E8" s="1730"/>
      <c r="F8" s="1730"/>
      <c r="G8" s="1730"/>
      <c r="H8" s="455"/>
      <c r="I8" s="456"/>
      <c r="K8" s="451"/>
    </row>
    <row r="9" spans="1:9" ht="12.75" customHeight="1">
      <c r="A9" s="1371"/>
      <c r="B9" s="1371"/>
      <c r="C9" s="1371"/>
      <c r="D9" s="1371"/>
      <c r="E9" s="1371"/>
      <c r="F9" s="1371"/>
      <c r="G9" s="1371"/>
      <c r="H9" s="501"/>
      <c r="I9" s="501"/>
    </row>
    <row r="10" spans="1:9" ht="12.75" customHeight="1">
      <c r="A10" s="652" t="s">
        <v>632</v>
      </c>
      <c r="B10" s="1371"/>
      <c r="C10" s="1371"/>
      <c r="D10" s="1371"/>
      <c r="E10" s="1371"/>
      <c r="F10" s="1371"/>
      <c r="G10" s="1371"/>
      <c r="H10" s="511"/>
      <c r="I10" s="511"/>
    </row>
    <row r="11" spans="2:9" ht="12.75" customHeight="1">
      <c r="B11"/>
      <c r="C11"/>
      <c r="D11"/>
      <c r="E11"/>
      <c r="F11"/>
      <c r="G11"/>
      <c r="H11" s="477"/>
      <c r="I11" s="488"/>
    </row>
    <row r="12" spans="1:9" s="496" customFormat="1" ht="12.75" customHeight="1">
      <c r="A12"/>
      <c r="H12" s="477"/>
      <c r="I12" s="488"/>
    </row>
    <row r="13" spans="1:8" ht="12.75" customHeight="1">
      <c r="A13" s="26"/>
      <c r="B13" s="1054" t="s">
        <v>566</v>
      </c>
      <c r="C13" s="1054" t="s">
        <v>567</v>
      </c>
      <c r="D13" s="1054" t="s">
        <v>512</v>
      </c>
      <c r="E13" s="1054" t="s">
        <v>509</v>
      </c>
      <c r="F13" s="1054" t="s">
        <v>568</v>
      </c>
      <c r="G13" s="1054" t="s">
        <v>511</v>
      </c>
      <c r="H13" s="1054" t="s">
        <v>569</v>
      </c>
    </row>
    <row r="14" spans="1:8" ht="12.75" customHeight="1">
      <c r="A14" s="26"/>
      <c r="B14" s="1055"/>
      <c r="C14" s="1055" t="s">
        <v>570</v>
      </c>
      <c r="D14" s="1055" t="s">
        <v>571</v>
      </c>
      <c r="E14" s="1055" t="s">
        <v>510</v>
      </c>
      <c r="F14" s="1055" t="s">
        <v>75</v>
      </c>
      <c r="G14" s="1055" t="s">
        <v>75</v>
      </c>
      <c r="H14" s="1055" t="s">
        <v>75</v>
      </c>
    </row>
    <row r="15" spans="1:9" ht="12.75" customHeight="1">
      <c r="A15" s="677"/>
      <c r="B15" s="1056"/>
      <c r="C15" s="1056"/>
      <c r="D15" s="1056" t="s">
        <v>572</v>
      </c>
      <c r="E15" s="1056" t="s">
        <v>573</v>
      </c>
      <c r="F15" s="1056" t="s">
        <v>574</v>
      </c>
      <c r="G15" s="1056" t="s">
        <v>574</v>
      </c>
      <c r="H15" s="1056" t="s">
        <v>574</v>
      </c>
      <c r="I15"/>
    </row>
    <row r="16" spans="1:9" ht="12.75" customHeight="1">
      <c r="A16" s="1057">
        <f>(H2*100)+1</f>
        <v>3101</v>
      </c>
      <c r="B16" s="1058" t="s">
        <v>80</v>
      </c>
      <c r="C16" s="1058" t="s">
        <v>575</v>
      </c>
      <c r="D16"/>
      <c r="E16" s="1059">
        <f>'G-H'!D7</f>
        <v>0</v>
      </c>
      <c r="F16" s="1060"/>
      <c r="G16" s="1060"/>
      <c r="H16" s="1455"/>
      <c r="I16"/>
    </row>
    <row r="17" spans="1:9" ht="12.75" customHeight="1">
      <c r="A17" s="979">
        <f aca="true" t="shared" si="0" ref="A17:A41">A16+1</f>
        <v>3102</v>
      </c>
      <c r="B17" s="1061" t="s">
        <v>81</v>
      </c>
      <c r="C17" s="1058" t="s">
        <v>575</v>
      </c>
      <c r="D17"/>
      <c r="E17" s="1059">
        <f>'G-H'!D8</f>
        <v>0</v>
      </c>
      <c r="F17" s="1060"/>
      <c r="G17" s="1060"/>
      <c r="H17" s="1456"/>
      <c r="I17"/>
    </row>
    <row r="18" spans="1:9" ht="12.75" customHeight="1">
      <c r="A18" s="979">
        <f t="shared" si="0"/>
        <v>3103</v>
      </c>
      <c r="B18" s="1061" t="s">
        <v>82</v>
      </c>
      <c r="C18" s="1058" t="s">
        <v>575</v>
      </c>
      <c r="D18"/>
      <c r="E18" s="1059">
        <f>'G-H'!D9</f>
        <v>0</v>
      </c>
      <c r="F18" s="1060"/>
      <c r="G18" s="1060"/>
      <c r="H18" s="1456"/>
      <c r="I18"/>
    </row>
    <row r="19" spans="1:9" ht="12.75" customHeight="1">
      <c r="A19" s="979">
        <f t="shared" si="0"/>
        <v>3104</v>
      </c>
      <c r="B19" s="1061" t="s">
        <v>83</v>
      </c>
      <c r="C19" s="1058" t="s">
        <v>575</v>
      </c>
      <c r="D19"/>
      <c r="E19" s="1059">
        <f>'G-H'!D10</f>
        <v>0</v>
      </c>
      <c r="F19" s="1060"/>
      <c r="G19" s="1060"/>
      <c r="H19" s="1456"/>
      <c r="I19"/>
    </row>
    <row r="20" spans="1:9" ht="12.75" customHeight="1">
      <c r="A20" s="979">
        <f t="shared" si="0"/>
        <v>3105</v>
      </c>
      <c r="B20" s="1061" t="s">
        <v>84</v>
      </c>
      <c r="C20" s="1058" t="s">
        <v>575</v>
      </c>
      <c r="D20"/>
      <c r="E20" s="1059">
        <f>'G-H'!D11</f>
        <v>0</v>
      </c>
      <c r="F20" s="1060"/>
      <c r="G20" s="1060"/>
      <c r="H20" s="1456"/>
      <c r="I20"/>
    </row>
    <row r="21" spans="1:9" ht="12.75" customHeight="1">
      <c r="A21" s="979">
        <f t="shared" si="0"/>
        <v>3106</v>
      </c>
      <c r="B21" s="1061" t="s">
        <v>85</v>
      </c>
      <c r="C21" s="1058" t="s">
        <v>575</v>
      </c>
      <c r="D21"/>
      <c r="E21" s="1059">
        <f>'G-H'!D12</f>
        <v>0</v>
      </c>
      <c r="F21" s="1060"/>
      <c r="G21" s="1060"/>
      <c r="H21" s="1456"/>
      <c r="I21"/>
    </row>
    <row r="22" spans="1:9" ht="12.75" customHeight="1">
      <c r="A22" s="979">
        <f t="shared" si="0"/>
        <v>3107</v>
      </c>
      <c r="B22" s="1061" t="s">
        <v>86</v>
      </c>
      <c r="C22" s="1058" t="s">
        <v>575</v>
      </c>
      <c r="D22"/>
      <c r="E22" s="1059">
        <f>'G-H'!D13</f>
        <v>0</v>
      </c>
      <c r="F22" s="1060"/>
      <c r="G22" s="1060"/>
      <c r="H22" s="1456"/>
      <c r="I22"/>
    </row>
    <row r="23" spans="1:9" ht="12.75" customHeight="1">
      <c r="A23" s="979">
        <f t="shared" si="0"/>
        <v>3108</v>
      </c>
      <c r="B23" s="1061" t="s">
        <v>576</v>
      </c>
      <c r="C23" s="1058" t="s">
        <v>575</v>
      </c>
      <c r="D23"/>
      <c r="E23" s="1059">
        <f>'G-H'!D14</f>
        <v>0</v>
      </c>
      <c r="F23" s="1060"/>
      <c r="G23" s="1060"/>
      <c r="H23" s="1456"/>
      <c r="I23"/>
    </row>
    <row r="24" spans="1:9" ht="12.75" customHeight="1">
      <c r="A24" s="979">
        <f t="shared" si="0"/>
        <v>3109</v>
      </c>
      <c r="B24" s="1061" t="s">
        <v>88</v>
      </c>
      <c r="C24" s="1058" t="s">
        <v>575</v>
      </c>
      <c r="D24"/>
      <c r="E24" s="1059">
        <f>'G-H'!D15</f>
        <v>0</v>
      </c>
      <c r="F24" s="1060"/>
      <c r="G24" s="1060"/>
      <c r="H24" s="1456"/>
      <c r="I24"/>
    </row>
    <row r="25" spans="1:9" ht="12.75" customHeight="1">
      <c r="A25" s="979">
        <f t="shared" si="0"/>
        <v>3110</v>
      </c>
      <c r="B25" s="1061" t="s">
        <v>89</v>
      </c>
      <c r="C25" s="1058" t="s">
        <v>575</v>
      </c>
      <c r="D25"/>
      <c r="E25" s="1059">
        <f>'G-H'!D16</f>
        <v>0</v>
      </c>
      <c r="F25" s="1060"/>
      <c r="G25" s="1060"/>
      <c r="H25" s="1456"/>
      <c r="I25"/>
    </row>
    <row r="26" spans="1:9" ht="12.75" customHeight="1">
      <c r="A26" s="979">
        <f t="shared" si="0"/>
        <v>3111</v>
      </c>
      <c r="B26" s="1061" t="s">
        <v>90</v>
      </c>
      <c r="C26" s="1058" t="s">
        <v>575</v>
      </c>
      <c r="D26"/>
      <c r="E26" s="1059">
        <f>'G-H'!D17</f>
        <v>0</v>
      </c>
      <c r="F26" s="1060"/>
      <c r="G26" s="1060"/>
      <c r="H26" s="1060"/>
      <c r="I26"/>
    </row>
    <row r="27" spans="1:9" ht="12.75" customHeight="1">
      <c r="A27" s="979">
        <f t="shared" si="0"/>
        <v>3112</v>
      </c>
      <c r="B27" s="1061" t="s">
        <v>577</v>
      </c>
      <c r="C27" s="1058" t="s">
        <v>575</v>
      </c>
      <c r="D27"/>
      <c r="E27" s="1059">
        <f>'G-H'!D22+'G-H'!D23+'G-H'!D24</f>
        <v>0</v>
      </c>
      <c r="F27"/>
      <c r="G27" s="1452"/>
      <c r="H27" s="1456"/>
      <c r="I27"/>
    </row>
    <row r="28" spans="1:9" ht="12.75" customHeight="1">
      <c r="A28" s="979">
        <f t="shared" si="0"/>
        <v>3113</v>
      </c>
      <c r="B28" s="1061" t="s">
        <v>214</v>
      </c>
      <c r="C28" s="1061" t="s">
        <v>578</v>
      </c>
      <c r="D28"/>
      <c r="E28" s="1059">
        <f>'Rentecalc.'!E10</f>
        <v>0</v>
      </c>
      <c r="F28"/>
      <c r="G28" s="1453"/>
      <c r="H28" s="1456"/>
      <c r="I28"/>
    </row>
    <row r="29" spans="1:9" ht="12.75" customHeight="1">
      <c r="A29" s="979">
        <f t="shared" si="0"/>
        <v>3114</v>
      </c>
      <c r="B29" s="1061" t="s">
        <v>579</v>
      </c>
      <c r="C29" s="1061" t="s">
        <v>578</v>
      </c>
      <c r="D29"/>
      <c r="E29" s="1059">
        <f>'Rentecalc.'!E11</f>
        <v>0</v>
      </c>
      <c r="F29"/>
      <c r="G29" s="1060"/>
      <c r="H29" s="1456"/>
      <c r="I29"/>
    </row>
    <row r="30" spans="1:9" ht="12.75" customHeight="1">
      <c r="A30" s="979">
        <f t="shared" si="0"/>
        <v>3115</v>
      </c>
      <c r="B30" s="1061" t="s">
        <v>580</v>
      </c>
      <c r="C30" s="1061" t="s">
        <v>578</v>
      </c>
      <c r="D30"/>
      <c r="E30" s="1059">
        <f>'Rentecalc.'!E12</f>
        <v>0</v>
      </c>
      <c r="F30"/>
      <c r="G30" s="1060"/>
      <c r="H30" s="1456"/>
      <c r="I30"/>
    </row>
    <row r="31" spans="1:9" ht="12.75">
      <c r="A31" s="979">
        <f t="shared" si="0"/>
        <v>3116</v>
      </c>
      <c r="B31" s="1061" t="s">
        <v>581</v>
      </c>
      <c r="C31" s="1061" t="s">
        <v>578</v>
      </c>
      <c r="D31"/>
      <c r="E31" s="1059">
        <f>'Rentecalc.'!E13</f>
        <v>0</v>
      </c>
      <c r="F31"/>
      <c r="G31" s="1452"/>
      <c r="H31" s="1456"/>
      <c r="I31"/>
    </row>
    <row r="32" spans="1:9" ht="12.75">
      <c r="A32" s="979">
        <f t="shared" si="0"/>
        <v>3117</v>
      </c>
      <c r="B32" s="1061" t="s">
        <v>203</v>
      </c>
      <c r="C32" s="1061" t="s">
        <v>578</v>
      </c>
      <c r="D32"/>
      <c r="E32" s="1059">
        <f>'Rentecalc.'!E14</f>
        <v>0</v>
      </c>
      <c r="F32"/>
      <c r="G32" s="1454"/>
      <c r="H32" s="1456"/>
      <c r="I32"/>
    </row>
    <row r="33" spans="1:9" ht="12.75">
      <c r="A33" s="979">
        <f t="shared" si="0"/>
        <v>3118</v>
      </c>
      <c r="B33" s="1061" t="s">
        <v>582</v>
      </c>
      <c r="C33" s="1061" t="s">
        <v>578</v>
      </c>
      <c r="D33"/>
      <c r="E33" s="1059">
        <f>'Rentecalc.'!E17</f>
        <v>0</v>
      </c>
      <c r="F33"/>
      <c r="G33" s="1454"/>
      <c r="H33" s="1456"/>
      <c r="I33"/>
    </row>
    <row r="34" spans="1:9" ht="12.75">
      <c r="A34" s="979">
        <f t="shared" si="0"/>
        <v>3119</v>
      </c>
      <c r="B34" s="1061" t="s">
        <v>583</v>
      </c>
      <c r="C34" s="1061" t="s">
        <v>578</v>
      </c>
      <c r="D34"/>
      <c r="E34" s="1059">
        <f>'Rentecalc.'!E18</f>
        <v>0</v>
      </c>
      <c r="F34"/>
      <c r="G34" s="1453"/>
      <c r="H34" s="1456"/>
      <c r="I34"/>
    </row>
    <row r="35" spans="1:9" ht="12.75">
      <c r="A35" s="979">
        <f t="shared" si="0"/>
        <v>3120</v>
      </c>
      <c r="B35" s="1061" t="s">
        <v>584</v>
      </c>
      <c r="C35" s="1058" t="s">
        <v>575</v>
      </c>
      <c r="D35"/>
      <c r="E35" s="1059">
        <f>Afschrijvingen!K36</f>
        <v>0</v>
      </c>
      <c r="F35" s="1062"/>
      <c r="G35" s="1062"/>
      <c r="H35" s="1456"/>
      <c r="I35"/>
    </row>
    <row r="36" spans="1:9" ht="12.75">
      <c r="A36" s="979">
        <f t="shared" si="0"/>
        <v>3121</v>
      </c>
      <c r="B36" s="1061" t="s">
        <v>585</v>
      </c>
      <c r="C36" s="1058" t="s">
        <v>575</v>
      </c>
      <c r="D36"/>
      <c r="E36" s="1059">
        <f>Afschrijvingen!K35</f>
        <v>0</v>
      </c>
      <c r="F36" s="1062"/>
      <c r="G36" s="1062"/>
      <c r="H36" s="1456"/>
      <c r="I36"/>
    </row>
    <row r="37" spans="1:9" ht="12.75">
      <c r="A37" s="979">
        <f t="shared" si="0"/>
        <v>3122</v>
      </c>
      <c r="B37" s="1063" t="s">
        <v>586</v>
      </c>
      <c r="C37" s="1058" t="s">
        <v>575</v>
      </c>
      <c r="D37" s="1064"/>
      <c r="E37" s="1059">
        <f>Afschrijvingen!K33</f>
        <v>0</v>
      </c>
      <c r="F37" s="1062"/>
      <c r="G37" s="1060"/>
      <c r="H37" s="1456"/>
      <c r="I37"/>
    </row>
    <row r="38" spans="1:9" ht="12.75">
      <c r="A38" s="979">
        <f t="shared" si="0"/>
        <v>3123</v>
      </c>
      <c r="B38" s="1063" t="s">
        <v>587</v>
      </c>
      <c r="C38" s="1058" t="s">
        <v>575</v>
      </c>
      <c r="D38" s="1064"/>
      <c r="E38" s="1062"/>
      <c r="F38" s="1062"/>
      <c r="G38" s="1060"/>
      <c r="H38" s="1456"/>
      <c r="I38"/>
    </row>
    <row r="39" spans="1:9" ht="12.75">
      <c r="A39" s="979">
        <f t="shared" si="0"/>
        <v>3124</v>
      </c>
      <c r="B39" s="1063" t="str">
        <f>CONCATENATE("Schuld lange leningen voorzover niet vermeld onder regel ",A33)</f>
        <v>Schuld lange leningen voorzover niet vermeld onder regel 3118</v>
      </c>
      <c r="C39" s="1063" t="s">
        <v>588</v>
      </c>
      <c r="D39" s="1064"/>
      <c r="E39" s="1062"/>
      <c r="F39" s="1062"/>
      <c r="G39" s="1060"/>
      <c r="H39" s="1456"/>
      <c r="I39"/>
    </row>
    <row r="40" spans="1:9" ht="12.75">
      <c r="A40" s="979">
        <f t="shared" si="0"/>
        <v>3125</v>
      </c>
      <c r="B40" s="1061" t="s">
        <v>589</v>
      </c>
      <c r="C40" s="1061" t="s">
        <v>578</v>
      </c>
      <c r="D40"/>
      <c r="E40" s="1059">
        <f>'Rentecalc.'!E25</f>
        <v>0</v>
      </c>
      <c r="F40"/>
      <c r="G40"/>
      <c r="H40" s="1456"/>
      <c r="I40"/>
    </row>
    <row r="41" spans="1:9" ht="12.75">
      <c r="A41" s="979">
        <f t="shared" si="0"/>
        <v>3126</v>
      </c>
      <c r="B41" s="1061" t="s">
        <v>590</v>
      </c>
      <c r="C41" s="1061" t="s">
        <v>591</v>
      </c>
      <c r="D41"/>
      <c r="E41" s="1065"/>
      <c r="F41" s="1065"/>
      <c r="G41" s="1060"/>
      <c r="H41" s="1457"/>
      <c r="I41"/>
    </row>
    <row r="42" spans="1:9" ht="12.75">
      <c r="A42"/>
      <c r="B42" s="1066"/>
      <c r="C42" s="1066"/>
      <c r="D42"/>
      <c r="E42"/>
      <c r="F42"/>
      <c r="G42"/>
      <c r="H42"/>
      <c r="I42"/>
    </row>
    <row r="43" spans="1:9" ht="12.75">
      <c r="A43" s="453"/>
      <c r="D43" s="453"/>
      <c r="E43" s="453"/>
      <c r="H43"/>
      <c r="I43"/>
    </row>
    <row r="44" spans="1:9" ht="12.75">
      <c r="A44"/>
      <c r="B44"/>
      <c r="C44"/>
      <c r="D44"/>
      <c r="E44"/>
      <c r="F44"/>
      <c r="G44"/>
      <c r="H44"/>
      <c r="I44"/>
    </row>
    <row r="45" spans="1:9" ht="15.75" customHeight="1">
      <c r="A45" s="41"/>
      <c r="B45" s="42"/>
      <c r="C45" s="42"/>
      <c r="D45" s="42"/>
      <c r="E45" s="43"/>
      <c r="F45" s="42"/>
      <c r="G45" s="45"/>
      <c r="H45" s="455"/>
      <c r="I45"/>
    </row>
    <row r="46" spans="1:9" ht="15.75" customHeight="1">
      <c r="A46" s="622" t="str">
        <f>A2</f>
        <v>Lijst met aanvullende vragen 2004 GGZ-instellingen</v>
      </c>
      <c r="B46" s="637"/>
      <c r="C46" s="637"/>
      <c r="D46" s="639"/>
      <c r="E46" s="640"/>
      <c r="F46" s="640"/>
      <c r="G46" s="546"/>
      <c r="H46" s="1302">
        <f>H2+1</f>
        <v>32</v>
      </c>
      <c r="I46"/>
    </row>
    <row r="47" spans="1:9" ht="15" customHeight="1">
      <c r="A47" s="635"/>
      <c r="B47" s="91"/>
      <c r="C47" s="91"/>
      <c r="D47" s="632"/>
      <c r="E47" s="633"/>
      <c r="F47" s="633"/>
      <c r="G47" s="516"/>
      <c r="H47" s="634"/>
      <c r="I47"/>
    </row>
    <row r="48" spans="1:9" ht="15" customHeight="1">
      <c r="A48" s="635"/>
      <c r="B48" s="91"/>
      <c r="C48" s="91"/>
      <c r="D48" s="632"/>
      <c r="E48" s="1731" t="str">
        <f>CONCATENATE("Instelling: ",Voorblad!F9,".",Voorblad!G9)</f>
        <v>Instelling: 120.</v>
      </c>
      <c r="F48" s="1657"/>
      <c r="G48" s="1658"/>
      <c r="H48" s="634"/>
      <c r="I48"/>
    </row>
    <row r="49" spans="1:9" ht="12.75">
      <c r="A49"/>
      <c r="B49"/>
      <c r="C49"/>
      <c r="D49"/>
      <c r="E49" s="1732">
        <f>E5</f>
        <v>0</v>
      </c>
      <c r="F49" s="1735"/>
      <c r="G49" s="1736"/>
      <c r="H49"/>
      <c r="I49"/>
    </row>
    <row r="50" spans="1:9" ht="12.75">
      <c r="A50"/>
      <c r="H50"/>
      <c r="I50"/>
    </row>
    <row r="51" spans="1:9" ht="12.75">
      <c r="A51"/>
      <c r="B51" s="1054" t="s">
        <v>566</v>
      </c>
      <c r="C51" s="1054" t="s">
        <v>567</v>
      </c>
      <c r="D51" s="1054" t="s">
        <v>512</v>
      </c>
      <c r="E51" s="1054" t="s">
        <v>509</v>
      </c>
      <c r="F51" s="1054" t="s">
        <v>568</v>
      </c>
      <c r="G51" s="1054" t="s">
        <v>511</v>
      </c>
      <c r="H51" s="1054" t="s">
        <v>569</v>
      </c>
      <c r="I51"/>
    </row>
    <row r="52" spans="1:9" ht="12.75">
      <c r="A52"/>
      <c r="B52" s="1055"/>
      <c r="C52" s="1055" t="s">
        <v>570</v>
      </c>
      <c r="D52" s="1055" t="s">
        <v>571</v>
      </c>
      <c r="E52" s="1055" t="s">
        <v>510</v>
      </c>
      <c r="F52" s="1055" t="s">
        <v>75</v>
      </c>
      <c r="G52" s="1055" t="s">
        <v>75</v>
      </c>
      <c r="H52" s="1055" t="s">
        <v>75</v>
      </c>
      <c r="I52"/>
    </row>
    <row r="53" spans="1:9" ht="12.75">
      <c r="A53"/>
      <c r="B53" s="1056"/>
      <c r="C53" s="1056"/>
      <c r="D53" s="1056" t="s">
        <v>572</v>
      </c>
      <c r="E53" s="1056" t="s">
        <v>573</v>
      </c>
      <c r="F53" s="1056" t="s">
        <v>574</v>
      </c>
      <c r="G53" s="1056" t="s">
        <v>574</v>
      </c>
      <c r="H53" s="1056" t="s">
        <v>574</v>
      </c>
      <c r="I53"/>
    </row>
    <row r="54" spans="1:9" ht="12.75">
      <c r="A54" s="1057">
        <f>(H46*100)+1</f>
        <v>3201</v>
      </c>
      <c r="B54" s="1061" t="s">
        <v>592</v>
      </c>
      <c r="C54" s="1061" t="s">
        <v>593</v>
      </c>
      <c r="D54" s="1067">
        <v>431</v>
      </c>
      <c r="E54" s="1065"/>
      <c r="F54" s="1065"/>
      <c r="G54" s="1065"/>
      <c r="H54" s="1065"/>
      <c r="I54"/>
    </row>
    <row r="55" spans="1:9" ht="12.75">
      <c r="A55" s="979">
        <f aca="true" t="shared" si="1" ref="A55:A76">A54+1</f>
        <v>3202</v>
      </c>
      <c r="B55" s="1061" t="s">
        <v>594</v>
      </c>
      <c r="C55" s="1061"/>
      <c r="D55" s="1067">
        <v>4541</v>
      </c>
      <c r="E55" s="1065"/>
      <c r="F55" s="1065"/>
      <c r="G55" s="1065"/>
      <c r="H55" s="1065"/>
      <c r="I55"/>
    </row>
    <row r="56" spans="1:9" ht="12.75">
      <c r="A56" s="979">
        <f t="shared" si="1"/>
        <v>3203</v>
      </c>
      <c r="B56" s="1061" t="s">
        <v>595</v>
      </c>
      <c r="C56" s="1061" t="s">
        <v>596</v>
      </c>
      <c r="D56" s="1067">
        <v>4541</v>
      </c>
      <c r="E56" s="1065"/>
      <c r="F56" s="1065"/>
      <c r="G56" s="1065"/>
      <c r="H56" s="1065"/>
      <c r="I56"/>
    </row>
    <row r="57" spans="1:9" ht="12.75">
      <c r="A57" s="979">
        <f t="shared" si="1"/>
        <v>3204</v>
      </c>
      <c r="B57" s="1061" t="s">
        <v>597</v>
      </c>
      <c r="C57" s="1061"/>
      <c r="D57" s="1067">
        <v>4541</v>
      </c>
      <c r="E57" s="1065"/>
      <c r="F57" s="1065"/>
      <c r="G57" s="1065"/>
      <c r="H57" s="1065"/>
      <c r="I57"/>
    </row>
    <row r="58" spans="1:9" ht="12.75">
      <c r="A58" s="979">
        <f t="shared" si="1"/>
        <v>3205</v>
      </c>
      <c r="B58" s="1061" t="s">
        <v>598</v>
      </c>
      <c r="C58" s="1061"/>
      <c r="D58" s="1067">
        <v>443</v>
      </c>
      <c r="E58" s="1065"/>
      <c r="F58"/>
      <c r="G58" s="1065"/>
      <c r="H58" s="1065"/>
      <c r="I58"/>
    </row>
    <row r="59" spans="1:9" ht="12.75">
      <c r="A59" s="979">
        <f t="shared" si="1"/>
        <v>3206</v>
      </c>
      <c r="B59" s="1061" t="s">
        <v>599</v>
      </c>
      <c r="C59" s="1061"/>
      <c r="D59" s="1067">
        <v>4621</v>
      </c>
      <c r="E59" s="1065"/>
      <c r="F59"/>
      <c r="G59" s="1065"/>
      <c r="H59" s="1065"/>
      <c r="I59"/>
    </row>
    <row r="60" spans="1:9" ht="12.75">
      <c r="A60" s="979">
        <f t="shared" si="1"/>
        <v>3207</v>
      </c>
      <c r="B60" s="1061" t="s">
        <v>600</v>
      </c>
      <c r="C60" s="1061"/>
      <c r="D60" s="1067">
        <v>473</v>
      </c>
      <c r="E60" s="1065"/>
      <c r="F60" s="1065"/>
      <c r="G60" s="1065"/>
      <c r="H60" s="1065"/>
      <c r="I60"/>
    </row>
    <row r="61" spans="1:9" ht="12.75">
      <c r="A61" s="979">
        <f t="shared" si="1"/>
        <v>3208</v>
      </c>
      <c r="B61" s="1061" t="s">
        <v>601</v>
      </c>
      <c r="C61" s="1727" t="s">
        <v>602</v>
      </c>
      <c r="D61" s="1068">
        <v>411</v>
      </c>
      <c r="E61" s="1065"/>
      <c r="F61" s="1065"/>
      <c r="G61" s="1065"/>
      <c r="H61" s="1065"/>
      <c r="I61"/>
    </row>
    <row r="62" spans="1:9" ht="12.75">
      <c r="A62" s="979">
        <f t="shared" si="1"/>
        <v>3209</v>
      </c>
      <c r="B62" s="1061" t="s">
        <v>603</v>
      </c>
      <c r="C62" s="1728"/>
      <c r="D62" s="1068">
        <v>412</v>
      </c>
      <c r="E62" s="1065"/>
      <c r="F62" s="1065"/>
      <c r="G62" s="1065"/>
      <c r="H62" s="1065"/>
      <c r="I62"/>
    </row>
    <row r="63" spans="1:9" ht="12.75">
      <c r="A63" s="979">
        <f t="shared" si="1"/>
        <v>3210</v>
      </c>
      <c r="B63" s="1061" t="s">
        <v>604</v>
      </c>
      <c r="C63" s="1728"/>
      <c r="D63" s="1068">
        <v>413</v>
      </c>
      <c r="E63" s="1065"/>
      <c r="F63" s="1065"/>
      <c r="G63" s="1065"/>
      <c r="H63" s="1065"/>
      <c r="I63"/>
    </row>
    <row r="64" spans="1:9" ht="12.75">
      <c r="A64" s="979">
        <f t="shared" si="1"/>
        <v>3211</v>
      </c>
      <c r="B64" s="1061" t="s">
        <v>605</v>
      </c>
      <c r="C64" s="1728"/>
      <c r="D64" s="1068">
        <v>414</v>
      </c>
      <c r="E64" s="1065"/>
      <c r="F64" s="1065"/>
      <c r="G64" s="1065"/>
      <c r="H64" s="1065"/>
      <c r="I64"/>
    </row>
    <row r="65" spans="1:9" ht="12.75">
      <c r="A65" s="979">
        <f t="shared" si="1"/>
        <v>3212</v>
      </c>
      <c r="B65" s="1061" t="s">
        <v>606</v>
      </c>
      <c r="C65" s="1729"/>
      <c r="D65" s="1068">
        <v>415</v>
      </c>
      <c r="E65" s="1065"/>
      <c r="F65" s="1065"/>
      <c r="G65" s="1065"/>
      <c r="H65" s="1065"/>
      <c r="I65"/>
    </row>
    <row r="66" spans="1:9" ht="12.75">
      <c r="A66" s="979">
        <f t="shared" si="1"/>
        <v>3213</v>
      </c>
      <c r="B66" s="938" t="s">
        <v>607</v>
      </c>
      <c r="C66" s="1061" t="s">
        <v>608</v>
      </c>
      <c r="D66" s="1067">
        <v>418</v>
      </c>
      <c r="E66" s="1065"/>
      <c r="F66" s="1065"/>
      <c r="G66" s="1065"/>
      <c r="H66" s="1065"/>
      <c r="I66"/>
    </row>
    <row r="67" spans="1:9" ht="12.75">
      <c r="A67" s="979">
        <f t="shared" si="1"/>
        <v>3214</v>
      </c>
      <c r="B67" s="938" t="s">
        <v>609</v>
      </c>
      <c r="C67" s="1061" t="s">
        <v>610</v>
      </c>
      <c r="D67" s="1067" t="s">
        <v>611</v>
      </c>
      <c r="E67" s="1065"/>
      <c r="F67" s="1065"/>
      <c r="G67" s="1065"/>
      <c r="H67" s="1065"/>
      <c r="I67"/>
    </row>
    <row r="68" spans="1:9" ht="12.75">
      <c r="A68" s="979">
        <f t="shared" si="1"/>
        <v>3215</v>
      </c>
      <c r="B68" s="938" t="s">
        <v>612</v>
      </c>
      <c r="C68" s="1061" t="s">
        <v>613</v>
      </c>
      <c r="D68" s="1067">
        <v>422</v>
      </c>
      <c r="E68" s="1065"/>
      <c r="F68" s="1065"/>
      <c r="G68" s="1065"/>
      <c r="H68" s="1065"/>
      <c r="I68"/>
    </row>
    <row r="69" spans="1:9" ht="12.75">
      <c r="A69" s="979">
        <f t="shared" si="1"/>
        <v>3216</v>
      </c>
      <c r="B69" s="938" t="s">
        <v>614</v>
      </c>
      <c r="C69" s="1061"/>
      <c r="D69" s="1067">
        <v>423</v>
      </c>
      <c r="E69" s="1065"/>
      <c r="F69" s="1065"/>
      <c r="G69" s="1065"/>
      <c r="H69" s="1065"/>
      <c r="I69"/>
    </row>
    <row r="70" spans="1:9" ht="12.75">
      <c r="A70" s="979">
        <f t="shared" si="1"/>
        <v>3217</v>
      </c>
      <c r="B70" s="938" t="s">
        <v>615</v>
      </c>
      <c r="C70" s="1061"/>
      <c r="D70" s="1067">
        <v>43</v>
      </c>
      <c r="E70" s="1065"/>
      <c r="F70" s="1065"/>
      <c r="G70" s="1065"/>
      <c r="H70" s="1065"/>
      <c r="I70"/>
    </row>
    <row r="71" spans="1:9" ht="12.75">
      <c r="A71" s="979">
        <f t="shared" si="1"/>
        <v>3218</v>
      </c>
      <c r="B71" s="938" t="s">
        <v>616</v>
      </c>
      <c r="C71" s="1061"/>
      <c r="D71" s="1067">
        <v>44</v>
      </c>
      <c r="E71" s="1065"/>
      <c r="F71" s="1065"/>
      <c r="G71" s="1065"/>
      <c r="H71" s="1065"/>
      <c r="I71"/>
    </row>
    <row r="72" spans="1:9" ht="12.75">
      <c r="A72" s="979">
        <f t="shared" si="1"/>
        <v>3219</v>
      </c>
      <c r="B72" s="938" t="s">
        <v>623</v>
      </c>
      <c r="C72" s="1061"/>
      <c r="D72" s="1067">
        <v>45</v>
      </c>
      <c r="E72" s="1065"/>
      <c r="F72" s="1065"/>
      <c r="G72" s="1065"/>
      <c r="H72" s="1065"/>
      <c r="I72"/>
    </row>
    <row r="73" spans="1:9" ht="12.75">
      <c r="A73" s="979">
        <f t="shared" si="1"/>
        <v>3220</v>
      </c>
      <c r="B73" s="938" t="s">
        <v>624</v>
      </c>
      <c r="C73" s="1061"/>
      <c r="D73" s="1067">
        <v>46</v>
      </c>
      <c r="E73" s="1065"/>
      <c r="F73" s="1065"/>
      <c r="G73" s="1065"/>
      <c r="H73" s="1065"/>
      <c r="I73"/>
    </row>
    <row r="74" spans="1:9" ht="12.75">
      <c r="A74" s="979">
        <f t="shared" si="1"/>
        <v>3221</v>
      </c>
      <c r="B74" s="938" t="s">
        <v>625</v>
      </c>
      <c r="C74" s="1061"/>
      <c r="D74" s="1067">
        <v>47</v>
      </c>
      <c r="E74" s="1065"/>
      <c r="F74" s="1065"/>
      <c r="G74" s="1065"/>
      <c r="H74" s="1065"/>
      <c r="I74"/>
    </row>
    <row r="75" spans="1:9" ht="12.75">
      <c r="A75" s="979">
        <f t="shared" si="1"/>
        <v>3222</v>
      </c>
      <c r="B75" s="938" t="s">
        <v>626</v>
      </c>
      <c r="C75" s="1061"/>
      <c r="D75" s="1067">
        <v>48</v>
      </c>
      <c r="E75" s="1065"/>
      <c r="F75" s="1065"/>
      <c r="G75" s="1065"/>
      <c r="H75" s="1065"/>
      <c r="I75"/>
    </row>
    <row r="76" spans="1:9" ht="12.75">
      <c r="A76" s="979">
        <f t="shared" si="1"/>
        <v>3223</v>
      </c>
      <c r="B76" s="938" t="s">
        <v>627</v>
      </c>
      <c r="C76" s="1061"/>
      <c r="D76" s="1067" t="s">
        <v>628</v>
      </c>
      <c r="E76" s="1065"/>
      <c r="F76" s="1065"/>
      <c r="G76" s="1065"/>
      <c r="H76" s="1065"/>
      <c r="I76"/>
    </row>
    <row r="77" spans="2:9" ht="12.75">
      <c r="B77"/>
      <c r="C77"/>
      <c r="D77"/>
      <c r="E77"/>
      <c r="F77"/>
      <c r="G77"/>
      <c r="H77"/>
      <c r="I77"/>
    </row>
    <row r="78" spans="1:9" ht="12.75">
      <c r="A78" s="467" t="s">
        <v>50</v>
      </c>
      <c r="B78" s="585"/>
      <c r="C78" s="585"/>
      <c r="D78" s="585"/>
      <c r="E78" s="585"/>
      <c r="F78" s="585"/>
      <c r="G78" s="585"/>
      <c r="H78"/>
      <c r="I78"/>
    </row>
    <row r="79" spans="1:9" ht="12.75">
      <c r="A79" s="1069"/>
      <c r="B79" s="748"/>
      <c r="C79" s="748"/>
      <c r="D79" s="748"/>
      <c r="E79" s="748"/>
      <c r="F79" s="748"/>
      <c r="G79" s="748"/>
      <c r="H79"/>
      <c r="I79"/>
    </row>
    <row r="80" spans="1:9" ht="12.75">
      <c r="A80" s="1069"/>
      <c r="B80" s="748"/>
      <c r="C80" s="748"/>
      <c r="D80" s="1070"/>
      <c r="E80" s="579"/>
      <c r="F80" s="748"/>
      <c r="G80" s="748"/>
      <c r="H80"/>
      <c r="I80"/>
    </row>
    <row r="81" spans="1:9" ht="12.75">
      <c r="A81" s="1069"/>
      <c r="B81" s="748"/>
      <c r="C81" s="748"/>
      <c r="D81" s="1070"/>
      <c r="E81" s="579"/>
      <c r="F81" s="748"/>
      <c r="G81" s="748"/>
      <c r="H81"/>
      <c r="I81"/>
    </row>
    <row r="82" spans="1:9" ht="12.75">
      <c r="A82" s="1069"/>
      <c r="B82" s="748"/>
      <c r="C82" s="748"/>
      <c r="D82" s="1070"/>
      <c r="E82" s="579"/>
      <c r="F82" s="748"/>
      <c r="G82" s="748"/>
      <c r="H82"/>
      <c r="I82"/>
    </row>
    <row r="83" spans="1:9" ht="12.75">
      <c r="A83" s="1069"/>
      <c r="B83" s="748"/>
      <c r="C83" s="748"/>
      <c r="D83" s="1070"/>
      <c r="E83" s="579"/>
      <c r="F83" s="748"/>
      <c r="G83" s="748"/>
      <c r="H83"/>
      <c r="I83"/>
    </row>
    <row r="84" spans="1:9" ht="12.75">
      <c r="A84" s="1069"/>
      <c r="B84" s="748"/>
      <c r="C84" s="748"/>
      <c r="D84" s="1070"/>
      <c r="E84" s="579"/>
      <c r="F84" s="748"/>
      <c r="G84" s="748"/>
      <c r="H84"/>
      <c r="I84"/>
    </row>
    <row r="85" spans="1:9" ht="12.75">
      <c r="A85" s="1069"/>
      <c r="B85" s="748"/>
      <c r="C85" s="748"/>
      <c r="D85" s="1070"/>
      <c r="E85" s="579"/>
      <c r="F85" s="748"/>
      <c r="G85" s="748"/>
      <c r="H85"/>
      <c r="I85"/>
    </row>
    <row r="86" spans="1:9" ht="12.75">
      <c r="A86" s="1069"/>
      <c r="B86" s="748"/>
      <c r="C86" s="748"/>
      <c r="D86" s="1070"/>
      <c r="E86" s="579"/>
      <c r="F86" s="748"/>
      <c r="G86" s="748"/>
      <c r="H86"/>
      <c r="I86"/>
    </row>
    <row r="87" spans="1:9" ht="12.75">
      <c r="A87" s="1069"/>
      <c r="B87" s="748"/>
      <c r="C87" s="748"/>
      <c r="D87" s="1070"/>
      <c r="E87" s="579"/>
      <c r="F87" s="748"/>
      <c r="G87" s="748"/>
      <c r="H87"/>
      <c r="I87"/>
    </row>
    <row r="88" spans="1:9" ht="12.75">
      <c r="A88" s="1069"/>
      <c r="B88" s="748"/>
      <c r="C88" s="748"/>
      <c r="D88" s="1070"/>
      <c r="E88" s="579"/>
      <c r="F88" s="748"/>
      <c r="G88" s="748"/>
      <c r="H88"/>
      <c r="I88"/>
    </row>
    <row r="89" spans="8:9" ht="12.75">
      <c r="H89"/>
      <c r="I89"/>
    </row>
    <row r="90" spans="8:9" ht="12.75">
      <c r="H90"/>
      <c r="I90"/>
    </row>
    <row r="91" spans="8:9" ht="12.75">
      <c r="H91"/>
      <c r="I91"/>
    </row>
    <row r="92" spans="8:9" ht="12.75">
      <c r="H92"/>
      <c r="I92"/>
    </row>
    <row r="93" spans="8:9" ht="12.75">
      <c r="H93"/>
      <c r="I93"/>
    </row>
    <row r="94" spans="8:9" ht="12.75">
      <c r="H94"/>
      <c r="I94"/>
    </row>
  </sheetData>
  <sheetProtection password="C281" sheet="1" objects="1" scenarios="1"/>
  <mergeCells count="6">
    <mergeCell ref="C61:C65"/>
    <mergeCell ref="A6:G8"/>
    <mergeCell ref="E4:G4"/>
    <mergeCell ref="E5:G5"/>
    <mergeCell ref="E48:G48"/>
    <mergeCell ref="E49:G49"/>
  </mergeCells>
  <conditionalFormatting sqref="H26 E60:F76 E54:F57 E58:E59 E38:E39 F16:G26 G29:G30 E41:G41 G54:H76 F35:G39">
    <cfRule type="expression" priority="1" dxfId="2" stopIfTrue="1">
      <formula>$E$2=TRUE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Footer>&amp;C&amp;"Arial,Vet"&amp;8
</oddFooter>
  </headerFooter>
  <rowBreaks count="1" manualBreakCount="1">
    <brk id="44" max="255" man="1"/>
  </rowBreaks>
  <drawing r:id="rId1"/>
</worksheet>
</file>

<file path=xl/worksheets/sheet18.xml><?xml version="1.0" encoding="utf-8"?>
<worksheet xmlns="http://schemas.openxmlformats.org/spreadsheetml/2006/main" xmlns:r="http://schemas.openxmlformats.org/officeDocument/2006/relationships">
  <sheetPr codeName="Blad271"/>
  <dimension ref="A2:G67"/>
  <sheetViews>
    <sheetView showGridLines="0" workbookViewId="0" topLeftCell="A1">
      <selection activeCell="L9" sqref="L9"/>
    </sheetView>
  </sheetViews>
  <sheetFormatPr defaultColWidth="9.140625" defaultRowHeight="12.75"/>
  <cols>
    <col min="1" max="1" width="3.28125" style="1447" customWidth="1"/>
    <col min="2" max="2" width="30.8515625" style="1448" customWidth="1"/>
    <col min="3" max="3" width="33.8515625" style="1421" customWidth="1"/>
    <col min="4" max="7" width="17.7109375" style="1421" customWidth="1"/>
    <col min="8" max="16384" width="8.8515625" style="1421" customWidth="1"/>
  </cols>
  <sheetData>
    <row r="2" spans="1:7" ht="12">
      <c r="A2" s="1449" t="s">
        <v>491</v>
      </c>
      <c r="B2" s="1450"/>
      <c r="C2" s="1451"/>
      <c r="D2" s="1451"/>
      <c r="E2" s="1451"/>
      <c r="F2" s="1451"/>
      <c r="G2" s="1451"/>
    </row>
    <row r="4" spans="1:7" s="1423" customFormat="1" ht="12.75" customHeight="1">
      <c r="A4" s="1744" t="s">
        <v>468</v>
      </c>
      <c r="B4" s="1745"/>
      <c r="C4" s="1745"/>
      <c r="D4" s="1745"/>
      <c r="E4" s="1745"/>
      <c r="F4" s="1745"/>
      <c r="G4" s="1745"/>
    </row>
    <row r="5" s="1423" customFormat="1" ht="12.75" customHeight="1">
      <c r="A5" s="1424"/>
    </row>
    <row r="6" spans="1:7" s="1422" customFormat="1" ht="12.75" customHeight="1">
      <c r="A6" s="1425">
        <v>1</v>
      </c>
      <c r="B6" s="1426" t="s">
        <v>469</v>
      </c>
      <c r="C6" s="461"/>
      <c r="D6" s="461"/>
      <c r="E6" s="461"/>
      <c r="F6" s="461"/>
      <c r="G6" s="461"/>
    </row>
    <row r="7" spans="1:7" s="1422" customFormat="1" ht="12.75" customHeight="1">
      <c r="A7" s="1425"/>
      <c r="B7" s="1420"/>
      <c r="C7" s="461"/>
      <c r="D7" s="461"/>
      <c r="E7" s="461"/>
      <c r="F7" s="461"/>
      <c r="G7" s="461"/>
    </row>
    <row r="8" spans="1:7" s="1429" customFormat="1" ht="12.75" customHeight="1">
      <c r="A8" s="1427" t="s">
        <v>456</v>
      </c>
      <c r="B8" s="1428" t="s">
        <v>470</v>
      </c>
      <c r="C8" s="1426"/>
      <c r="D8" s="1426"/>
      <c r="E8" s="1426"/>
      <c r="F8" s="1426"/>
      <c r="G8" s="1426"/>
    </row>
    <row r="9" spans="1:7" s="1422" customFormat="1" ht="24.75" customHeight="1">
      <c r="A9" s="1637" t="s">
        <v>492</v>
      </c>
      <c r="B9" s="1637"/>
      <c r="C9" s="1637"/>
      <c r="D9" s="1637"/>
      <c r="E9" s="1637"/>
      <c r="F9" s="1637"/>
      <c r="G9" s="1637"/>
    </row>
    <row r="10" spans="1:7" s="1422" customFormat="1" ht="12" customHeight="1">
      <c r="A10" s="1420"/>
      <c r="B10" s="1420"/>
      <c r="C10" s="1420"/>
      <c r="D10" s="1420"/>
      <c r="E10" s="1420"/>
      <c r="F10" s="1420"/>
      <c r="G10" s="1420"/>
    </row>
    <row r="11" spans="1:7" s="1429" customFormat="1" ht="12.75" customHeight="1">
      <c r="A11" s="1427" t="s">
        <v>773</v>
      </c>
      <c r="B11" s="1428" t="s">
        <v>471</v>
      </c>
      <c r="C11" s="461"/>
      <c r="D11" s="461"/>
      <c r="E11" s="461"/>
      <c r="F11" s="461"/>
      <c r="G11" s="461"/>
    </row>
    <row r="12" spans="1:7" s="1422" customFormat="1" ht="12.75" customHeight="1">
      <c r="A12" s="1430">
        <v>1</v>
      </c>
      <c r="B12" s="461" t="s">
        <v>493</v>
      </c>
      <c r="C12" s="1426"/>
      <c r="D12" s="1426"/>
      <c r="E12" s="1426"/>
      <c r="F12" s="1426"/>
      <c r="G12" s="1426"/>
    </row>
    <row r="13" spans="1:7" s="1422" customFormat="1" ht="24.75" customHeight="1">
      <c r="A13" s="1430">
        <v>2</v>
      </c>
      <c r="B13" s="1637" t="s">
        <v>494</v>
      </c>
      <c r="C13" s="1637"/>
      <c r="D13" s="1637"/>
      <c r="E13" s="1637"/>
      <c r="F13" s="1637"/>
      <c r="G13" s="1637"/>
    </row>
    <row r="14" spans="1:7" s="1422" customFormat="1" ht="12.75" customHeight="1">
      <c r="A14" s="1430">
        <v>3</v>
      </c>
      <c r="B14" s="1637" t="s">
        <v>495</v>
      </c>
      <c r="C14" s="1637"/>
      <c r="D14" s="1637"/>
      <c r="E14" s="1637"/>
      <c r="F14" s="1637"/>
      <c r="G14" s="1637"/>
    </row>
    <row r="15" spans="1:7" s="1422" customFormat="1" ht="11.25" customHeight="1">
      <c r="A15" s="1430">
        <v>4</v>
      </c>
      <c r="B15" s="1637" t="s">
        <v>496</v>
      </c>
      <c r="C15" s="1637"/>
      <c r="D15" s="1637"/>
      <c r="E15" s="1637"/>
      <c r="F15" s="1637"/>
      <c r="G15" s="1637"/>
    </row>
    <row r="16" spans="1:7" s="1422" customFormat="1" ht="11.25" customHeight="1">
      <c r="A16" s="1430"/>
      <c r="B16" s="1746"/>
      <c r="C16" s="1746"/>
      <c r="D16" s="1746"/>
      <c r="E16" s="1746"/>
      <c r="F16" s="1746"/>
      <c r="G16" s="1746"/>
    </row>
    <row r="17" spans="1:7" s="1422" customFormat="1" ht="12.75" customHeight="1">
      <c r="A17" s="1430"/>
      <c r="B17" s="1420"/>
      <c r="C17" s="1420"/>
      <c r="D17" s="1420"/>
      <c r="E17" s="1420"/>
      <c r="F17" s="1420"/>
      <c r="G17" s="1420"/>
    </row>
    <row r="18" spans="1:7" s="1429" customFormat="1" ht="12.75" customHeight="1">
      <c r="A18" s="1425">
        <v>2</v>
      </c>
      <c r="B18" s="1426" t="s">
        <v>472</v>
      </c>
      <c r="C18" s="461"/>
      <c r="D18" s="461"/>
      <c r="E18" s="461"/>
      <c r="F18" s="461"/>
      <c r="G18" s="461"/>
    </row>
    <row r="19" spans="1:7" s="1422" customFormat="1" ht="12">
      <c r="A19" s="1427" t="s">
        <v>445</v>
      </c>
      <c r="B19" s="1428" t="s">
        <v>473</v>
      </c>
      <c r="C19" s="1426"/>
      <c r="D19" s="1426"/>
      <c r="E19" s="1426"/>
      <c r="F19" s="1426"/>
      <c r="G19" s="1426"/>
    </row>
    <row r="20" spans="1:7" s="1422" customFormat="1" ht="12.75" customHeight="1">
      <c r="A20" s="1637" t="s">
        <v>497</v>
      </c>
      <c r="B20" s="1637"/>
      <c r="C20" s="1637"/>
      <c r="D20" s="1637"/>
      <c r="E20" s="1637"/>
      <c r="F20" s="1637"/>
      <c r="G20" s="1637"/>
    </row>
    <row r="21" spans="1:7" s="1422" customFormat="1" ht="12.75" customHeight="1">
      <c r="A21" s="1637"/>
      <c r="B21" s="1637"/>
      <c r="C21" s="1637"/>
      <c r="D21" s="1637"/>
      <c r="E21" s="1637"/>
      <c r="F21" s="1637"/>
      <c r="G21" s="1637"/>
    </row>
    <row r="22" spans="1:7" s="1422" customFormat="1" ht="12.75" customHeight="1">
      <c r="A22" s="1746"/>
      <c r="B22" s="1746"/>
      <c r="C22" s="1746"/>
      <c r="D22" s="1746"/>
      <c r="E22" s="1746"/>
      <c r="F22" s="1746"/>
      <c r="G22" s="1746"/>
    </row>
    <row r="23" spans="1:7" s="1422" customFormat="1" ht="12.75" customHeight="1">
      <c r="A23" s="1746"/>
      <c r="B23" s="1746"/>
      <c r="C23" s="1746"/>
      <c r="D23" s="1746"/>
      <c r="E23" s="1746"/>
      <c r="F23" s="1746"/>
      <c r="G23" s="1746"/>
    </row>
    <row r="24" spans="1:7" s="1422" customFormat="1" ht="12.75" customHeight="1">
      <c r="A24" s="1637" t="s">
        <v>498</v>
      </c>
      <c r="B24" s="1746"/>
      <c r="C24" s="1746"/>
      <c r="D24" s="1746"/>
      <c r="E24" s="1746"/>
      <c r="F24" s="1746"/>
      <c r="G24" s="1746"/>
    </row>
    <row r="25" spans="1:7" s="1422" customFormat="1" ht="12.75" customHeight="1">
      <c r="A25" s="1746"/>
      <c r="B25" s="1746"/>
      <c r="C25" s="1746"/>
      <c r="D25" s="1746"/>
      <c r="E25" s="1746"/>
      <c r="F25" s="1746"/>
      <c r="G25" s="1746"/>
    </row>
    <row r="26" spans="1:7" s="1422" customFormat="1" ht="12.75" customHeight="1">
      <c r="A26" s="1746"/>
      <c r="B26" s="1746"/>
      <c r="C26" s="1746"/>
      <c r="D26" s="1746"/>
      <c r="E26" s="1746"/>
      <c r="F26" s="1746"/>
      <c r="G26" s="1746"/>
    </row>
    <row r="27" spans="1:7" s="1422" customFormat="1" ht="12" customHeight="1">
      <c r="A27" s="1431"/>
      <c r="B27" s="1431"/>
      <c r="C27" s="1431"/>
      <c r="D27" s="1431"/>
      <c r="E27" s="1431"/>
      <c r="F27" s="1431"/>
      <c r="G27" s="1431"/>
    </row>
    <row r="28" spans="1:7" s="1422" customFormat="1" ht="12.75" customHeight="1">
      <c r="A28" s="1427" t="s">
        <v>446</v>
      </c>
      <c r="B28" s="1428" t="s">
        <v>474</v>
      </c>
      <c r="C28" s="1432"/>
      <c r="D28" s="1432"/>
      <c r="E28" s="1432"/>
      <c r="F28" s="1432"/>
      <c r="G28" s="1432"/>
    </row>
    <row r="29" spans="1:7" s="1422" customFormat="1" ht="12.75" customHeight="1">
      <c r="A29" s="1743" t="s">
        <v>499</v>
      </c>
      <c r="B29" s="1743"/>
      <c r="C29" s="1743"/>
      <c r="D29" s="1743"/>
      <c r="E29" s="1743"/>
      <c r="F29" s="1743"/>
      <c r="G29" s="1743"/>
    </row>
    <row r="30" spans="1:7" s="1422" customFormat="1" ht="12.75" customHeight="1">
      <c r="A30" s="1637" t="s">
        <v>475</v>
      </c>
      <c r="B30" s="1637"/>
      <c r="C30" s="1637"/>
      <c r="D30" s="1637"/>
      <c r="E30" s="1637"/>
      <c r="F30" s="1637"/>
      <c r="G30" s="1637"/>
    </row>
    <row r="31" spans="1:7" s="1422" customFormat="1" ht="12.75" customHeight="1">
      <c r="A31" s="1637" t="s">
        <v>476</v>
      </c>
      <c r="B31" s="1637"/>
      <c r="C31" s="1637"/>
      <c r="D31" s="1637"/>
      <c r="E31" s="1637"/>
      <c r="F31" s="1637"/>
      <c r="G31" s="1637"/>
    </row>
    <row r="32" spans="1:7" s="1422" customFormat="1" ht="12.75" customHeight="1">
      <c r="A32" s="1637" t="s">
        <v>477</v>
      </c>
      <c r="B32" s="1637"/>
      <c r="C32" s="1637"/>
      <c r="D32" s="1637"/>
      <c r="E32" s="1637"/>
      <c r="F32" s="1637"/>
      <c r="G32" s="1637"/>
    </row>
    <row r="33" spans="1:7" s="1422" customFormat="1" ht="12.75" customHeight="1">
      <c r="A33" s="1637" t="s">
        <v>478</v>
      </c>
      <c r="B33" s="1637"/>
      <c r="C33" s="1637"/>
      <c r="D33" s="1637"/>
      <c r="E33" s="1637"/>
      <c r="F33" s="1637"/>
      <c r="G33" s="1637"/>
    </row>
    <row r="34" spans="1:7" s="1422" customFormat="1" ht="25.5" customHeight="1">
      <c r="A34" s="1743" t="s">
        <v>500</v>
      </c>
      <c r="B34" s="1743"/>
      <c r="C34" s="1743"/>
      <c r="D34" s="1743"/>
      <c r="E34" s="1743"/>
      <c r="F34" s="1743"/>
      <c r="G34" s="1743"/>
    </row>
    <row r="35" spans="1:7" s="1422" customFormat="1" ht="12.75" customHeight="1">
      <c r="A35" s="1433"/>
      <c r="B35" s="1433"/>
      <c r="C35" s="1433"/>
      <c r="D35" s="1433"/>
      <c r="E35" s="1433"/>
      <c r="F35" s="1433"/>
      <c r="G35" s="1433"/>
    </row>
    <row r="36" spans="1:7" s="1422" customFormat="1" ht="12.75" customHeight="1">
      <c r="A36" s="1434">
        <v>3</v>
      </c>
      <c r="B36" s="1435" t="s">
        <v>480</v>
      </c>
      <c r="C36" s="1436"/>
      <c r="D36" s="1436"/>
      <c r="E36" s="1436"/>
      <c r="F36" s="1436"/>
      <c r="G36" s="1436"/>
    </row>
    <row r="37" spans="1:7" s="1422" customFormat="1" ht="12.75" customHeight="1">
      <c r="A37" s="1637" t="s">
        <v>481</v>
      </c>
      <c r="B37" s="1637"/>
      <c r="C37" s="1637"/>
      <c r="D37" s="1637"/>
      <c r="E37" s="1637"/>
      <c r="F37" s="1637"/>
      <c r="G37" s="1637"/>
    </row>
    <row r="38" spans="1:7" s="1422" customFormat="1" ht="12.75" customHeight="1">
      <c r="A38" s="1431"/>
      <c r="B38" s="1431"/>
      <c r="C38" s="1431"/>
      <c r="D38" s="1431"/>
      <c r="E38" s="1431"/>
      <c r="F38" s="1431"/>
      <c r="G38" s="1431"/>
    </row>
    <row r="39" spans="1:7" s="1422" customFormat="1" ht="12.75" customHeight="1">
      <c r="A39" s="1431"/>
      <c r="B39" s="1431"/>
      <c r="C39" s="1431"/>
      <c r="D39" s="1431"/>
      <c r="E39" s="1431"/>
      <c r="F39" s="1431"/>
      <c r="G39" s="1431"/>
    </row>
    <row r="40" spans="1:7" ht="12">
      <c r="A40" s="1449" t="s">
        <v>491</v>
      </c>
      <c r="B40" s="1450"/>
      <c r="C40" s="1451"/>
      <c r="D40" s="1451"/>
      <c r="E40" s="1451"/>
      <c r="F40" s="1451"/>
      <c r="G40" s="1451"/>
    </row>
    <row r="41" spans="1:7" s="1422" customFormat="1" ht="12.75" customHeight="1">
      <c r="A41" s="1431"/>
      <c r="B41" s="1431"/>
      <c r="C41" s="1431"/>
      <c r="D41" s="1431"/>
      <c r="E41" s="1431"/>
      <c r="F41" s="1431"/>
      <c r="G41" s="1431"/>
    </row>
    <row r="42" spans="1:7" s="1422" customFormat="1" ht="15" customHeight="1">
      <c r="A42" s="1744" t="s">
        <v>482</v>
      </c>
      <c r="B42" s="1745"/>
      <c r="C42" s="1745"/>
      <c r="D42" s="1745"/>
      <c r="E42" s="1745"/>
      <c r="F42" s="1745"/>
      <c r="G42" s="1745"/>
    </row>
    <row r="43" spans="1:7" ht="12.75">
      <c r="A43" s="1437"/>
      <c r="B43" s="1437"/>
      <c r="C43" s="1437"/>
      <c r="D43" s="1437"/>
      <c r="E43" s="1437"/>
      <c r="F43" s="1437"/>
      <c r="G43" s="1437"/>
    </row>
    <row r="44" spans="1:7" ht="12">
      <c r="A44" s="1438">
        <v>4</v>
      </c>
      <c r="B44" s="1439" t="s">
        <v>501</v>
      </c>
      <c r="C44" s="1439"/>
      <c r="D44" s="1439"/>
      <c r="E44" s="1439"/>
      <c r="F44" s="1439"/>
      <c r="G44" s="1439"/>
    </row>
    <row r="45" spans="1:7" ht="11.25">
      <c r="A45" s="1440"/>
      <c r="B45" s="1431"/>
      <c r="C45" s="1436"/>
      <c r="D45" s="1436"/>
      <c r="E45" s="1436"/>
      <c r="F45" s="1436"/>
      <c r="G45" s="1436"/>
    </row>
    <row r="46" spans="1:7" ht="12">
      <c r="A46" s="1441" t="s">
        <v>483</v>
      </c>
      <c r="B46" s="1431"/>
      <c r="C46" s="1436"/>
      <c r="D46" s="1436"/>
      <c r="E46" s="1436"/>
      <c r="F46" s="1436"/>
      <c r="G46" s="1436"/>
    </row>
    <row r="47" spans="1:7" ht="11.25">
      <c r="A47" s="1738" t="s">
        <v>502</v>
      </c>
      <c r="B47" s="1738"/>
      <c r="C47" s="1738"/>
      <c r="D47" s="1738"/>
      <c r="E47" s="1738"/>
      <c r="F47" s="1738"/>
      <c r="G47" s="1738"/>
    </row>
    <row r="48" spans="1:7" ht="11.25">
      <c r="A48" s="1440"/>
      <c r="B48" s="1431"/>
      <c r="C48" s="1436"/>
      <c r="D48" s="1436"/>
      <c r="E48" s="1436"/>
      <c r="F48" s="1436"/>
      <c r="G48" s="1436"/>
    </row>
    <row r="49" spans="1:7" ht="11.25">
      <c r="A49" s="1440"/>
      <c r="B49" s="1431"/>
      <c r="C49" s="1436"/>
      <c r="D49" s="1436"/>
      <c r="E49" s="1436"/>
      <c r="F49" s="1436"/>
      <c r="G49" s="1436"/>
    </row>
    <row r="50" spans="1:7" ht="12">
      <c r="A50" s="1434" t="s">
        <v>484</v>
      </c>
      <c r="B50" s="1431"/>
      <c r="C50" s="1436"/>
      <c r="D50" s="1436"/>
      <c r="E50" s="1436"/>
      <c r="F50" s="1436"/>
      <c r="G50" s="1436"/>
    </row>
    <row r="51" spans="1:7" ht="34.5" customHeight="1">
      <c r="A51" s="1637" t="s">
        <v>47</v>
      </c>
      <c r="B51" s="1637"/>
      <c r="C51" s="1637"/>
      <c r="D51" s="1637"/>
      <c r="E51" s="1637"/>
      <c r="F51" s="1637"/>
      <c r="G51" s="1637"/>
    </row>
    <row r="52" spans="1:7" ht="11.25">
      <c r="A52" s="1440"/>
      <c r="B52" s="1431"/>
      <c r="C52" s="1436"/>
      <c r="D52" s="1436"/>
      <c r="E52" s="1436"/>
      <c r="F52" s="1436"/>
      <c r="G52" s="1436"/>
    </row>
    <row r="53" spans="1:7" ht="12">
      <c r="A53" s="1434" t="s">
        <v>485</v>
      </c>
      <c r="B53" s="1431"/>
      <c r="C53" s="1436"/>
      <c r="D53" s="1436"/>
      <c r="E53" s="1436"/>
      <c r="F53" s="1436"/>
      <c r="G53" s="1436"/>
    </row>
    <row r="54" spans="1:7" ht="33" customHeight="1">
      <c r="A54" s="1637" t="s">
        <v>503</v>
      </c>
      <c r="B54" s="1637"/>
      <c r="C54" s="1637"/>
      <c r="D54" s="1637"/>
      <c r="E54" s="1637"/>
      <c r="F54" s="1637"/>
      <c r="G54" s="1637"/>
    </row>
    <row r="55" spans="1:7" ht="60.75" customHeight="1">
      <c r="A55" s="1637" t="s">
        <v>513</v>
      </c>
      <c r="B55" s="1637"/>
      <c r="C55" s="1637"/>
      <c r="D55" s="1637"/>
      <c r="E55" s="1637"/>
      <c r="F55" s="1637"/>
      <c r="G55" s="1637"/>
    </row>
    <row r="56" spans="1:7" ht="11.25">
      <c r="A56" s="1431"/>
      <c r="B56" s="1431"/>
      <c r="C56" s="1431"/>
      <c r="D56" s="1431"/>
      <c r="E56" s="1431"/>
      <c r="F56" s="1431"/>
      <c r="G56" s="1431"/>
    </row>
    <row r="57" spans="1:7" ht="11.25">
      <c r="A57" s="1737" t="s">
        <v>486</v>
      </c>
      <c r="B57" s="1637"/>
      <c r="C57" s="1637"/>
      <c r="D57" s="1637"/>
      <c r="E57" s="1637"/>
      <c r="F57" s="1637"/>
      <c r="G57" s="1637"/>
    </row>
    <row r="58" spans="1:7" ht="11.25">
      <c r="A58" s="1637" t="s">
        <v>487</v>
      </c>
      <c r="B58" s="1637"/>
      <c r="C58" s="1637"/>
      <c r="D58" s="1637"/>
      <c r="E58" s="1637"/>
      <c r="F58" s="1637"/>
      <c r="G58" s="1637"/>
    </row>
    <row r="59" spans="1:7" ht="11.25">
      <c r="A59" s="1420"/>
      <c r="B59" s="1420"/>
      <c r="C59" s="1420"/>
      <c r="D59" s="1420"/>
      <c r="E59" s="1420"/>
      <c r="F59" s="1420"/>
      <c r="G59" s="1420"/>
    </row>
    <row r="60" spans="1:7" ht="12">
      <c r="A60" s="1434" t="s">
        <v>488</v>
      </c>
      <c r="B60" s="1431"/>
      <c r="C60" s="1436"/>
      <c r="D60" s="1436"/>
      <c r="E60" s="1436"/>
      <c r="F60" s="1436"/>
      <c r="G60" s="1436"/>
    </row>
    <row r="61" spans="1:7" ht="49.5" customHeight="1">
      <c r="A61" s="1637" t="s">
        <v>46</v>
      </c>
      <c r="B61" s="1637"/>
      <c r="C61" s="1637"/>
      <c r="D61" s="1637"/>
      <c r="E61" s="1637"/>
      <c r="F61" s="1637"/>
      <c r="G61" s="1637"/>
    </row>
    <row r="62" spans="1:7" ht="11.25">
      <c r="A62" s="1442"/>
      <c r="B62" s="1431"/>
      <c r="C62" s="1431"/>
      <c r="D62" s="1431"/>
      <c r="E62" s="1431"/>
      <c r="F62" s="1431"/>
      <c r="G62" s="1431"/>
    </row>
    <row r="63" spans="1:7" ht="11.25">
      <c r="A63" s="1739" t="s">
        <v>489</v>
      </c>
      <c r="B63" s="1739"/>
      <c r="C63" s="1739"/>
      <c r="D63" s="1739"/>
      <c r="E63" s="1739"/>
      <c r="F63" s="1739"/>
      <c r="G63" s="1739"/>
    </row>
    <row r="64" spans="1:7" ht="11.25">
      <c r="A64" s="1440"/>
      <c r="B64" s="1431"/>
      <c r="C64" s="1436"/>
      <c r="D64" s="1436"/>
      <c r="E64" s="1436"/>
      <c r="F64" s="1436"/>
      <c r="G64" s="1436"/>
    </row>
    <row r="65" spans="1:7" ht="11.25">
      <c r="A65" s="1443"/>
      <c r="B65" s="1444"/>
      <c r="C65" s="1445"/>
      <c r="D65" s="1445"/>
      <c r="E65" s="1445"/>
      <c r="F65" s="1436"/>
      <c r="G65" s="1436"/>
    </row>
    <row r="66" spans="1:7" ht="11.25">
      <c r="A66" s="1740" t="s">
        <v>490</v>
      </c>
      <c r="B66" s="1740"/>
      <c r="C66" s="1740"/>
      <c r="D66" s="1740"/>
      <c r="E66" s="1740"/>
      <c r="F66" s="1436"/>
      <c r="G66" s="1436"/>
    </row>
    <row r="67" spans="1:7" ht="11.25">
      <c r="A67" s="1443"/>
      <c r="B67" s="1444"/>
      <c r="C67" s="1446"/>
      <c r="D67" s="1741"/>
      <c r="E67" s="1742"/>
      <c r="F67" s="1436"/>
      <c r="G67" s="1436"/>
    </row>
  </sheetData>
  <sheetProtection password="C281" sheet="1" objects="1" scenarios="1"/>
  <mergeCells count="25">
    <mergeCell ref="A4:G4"/>
    <mergeCell ref="A9:G9"/>
    <mergeCell ref="B13:G13"/>
    <mergeCell ref="B14:G14"/>
    <mergeCell ref="B15:G16"/>
    <mergeCell ref="A20:G23"/>
    <mergeCell ref="A24:G26"/>
    <mergeCell ref="A30:G30"/>
    <mergeCell ref="A29:G29"/>
    <mergeCell ref="A63:G63"/>
    <mergeCell ref="A66:E66"/>
    <mergeCell ref="D67:E67"/>
    <mergeCell ref="A34:G34"/>
    <mergeCell ref="A42:G42"/>
    <mergeCell ref="A37:G37"/>
    <mergeCell ref="A61:G61"/>
    <mergeCell ref="A58:G58"/>
    <mergeCell ref="A31:G31"/>
    <mergeCell ref="A32:G32"/>
    <mergeCell ref="A33:G33"/>
    <mergeCell ref="A57:G57"/>
    <mergeCell ref="A47:G47"/>
    <mergeCell ref="A51:G51"/>
    <mergeCell ref="A54:G54"/>
    <mergeCell ref="A55:G55"/>
  </mergeCells>
  <printOptions/>
  <pageMargins left="0.3937007874015748" right="0.3937007874015748" top="0.3937007874015748" bottom="0.3937007874015748" header="0.5905511811023623" footer="0.31496062992125984"/>
  <pageSetup horizontalDpi="300" verticalDpi="300" orientation="landscape" paperSize="9" scale="95" r:id="rId2"/>
  <rowBreaks count="1" manualBreakCount="1">
    <brk id="38" max="6" man="1"/>
  </rowBreaks>
  <drawing r:id="rId1"/>
</worksheet>
</file>

<file path=xl/worksheets/sheet2.xml><?xml version="1.0" encoding="utf-8"?>
<worksheet xmlns="http://schemas.openxmlformats.org/spreadsheetml/2006/main" xmlns:r="http://schemas.openxmlformats.org/officeDocument/2006/relationships">
  <sheetPr codeName="Blad2"/>
  <dimension ref="A1:T69"/>
  <sheetViews>
    <sheetView showGridLines="0" tabSelected="1" zoomScale="86" zoomScaleNormal="86" workbookViewId="0" topLeftCell="A1">
      <selection activeCell="M9" sqref="M9:O9"/>
    </sheetView>
  </sheetViews>
  <sheetFormatPr defaultColWidth="9.140625" defaultRowHeight="12.75"/>
  <cols>
    <col min="1" max="1" width="6.7109375" style="440" customWidth="1"/>
    <col min="2" max="2" width="6.7109375" style="436" customWidth="1"/>
    <col min="3" max="4" width="8.140625" style="440" customWidth="1"/>
    <col min="5" max="5" width="26.28125" style="440" customWidth="1"/>
    <col min="6" max="7" width="6.7109375" style="440" customWidth="1"/>
    <col min="8" max="8" width="2.7109375" style="440" customWidth="1"/>
    <col min="9" max="9" width="6.7109375" style="440" customWidth="1"/>
    <col min="10" max="10" width="6.7109375" style="436" customWidth="1"/>
    <col min="11" max="11" width="8.57421875" style="436" customWidth="1"/>
    <col min="12" max="12" width="10.7109375" style="436" customWidth="1"/>
    <col min="13" max="13" width="24.7109375" style="436" customWidth="1"/>
    <col min="14" max="15" width="6.7109375" style="440" customWidth="1"/>
    <col min="16" max="16384" width="9.140625" style="440" customWidth="1"/>
  </cols>
  <sheetData>
    <row r="1" spans="1:15" s="527" customFormat="1" ht="15" customHeight="1">
      <c r="A1" s="752" t="s">
        <v>888</v>
      </c>
      <c r="B1" s="753"/>
      <c r="C1" s="753"/>
      <c r="D1" s="753"/>
      <c r="E1" s="753"/>
      <c r="F1" s="754"/>
      <c r="G1" s="1419"/>
      <c r="H1" s="755"/>
      <c r="I1" s="755"/>
      <c r="J1" s="756"/>
      <c r="K1" s="756"/>
      <c r="L1" s="756"/>
      <c r="M1" s="756"/>
      <c r="N1" s="755"/>
      <c r="O1" s="755"/>
    </row>
    <row r="2" spans="1:15" s="528" customFormat="1" ht="12.75" customHeight="1">
      <c r="A2" s="757"/>
      <c r="B2" s="757"/>
      <c r="C2" s="757"/>
      <c r="D2" s="757"/>
      <c r="E2" s="757"/>
      <c r="F2" s="757"/>
      <c r="G2" s="757"/>
      <c r="H2" s="757"/>
      <c r="I2" s="757"/>
      <c r="J2" s="758"/>
      <c r="K2" s="758"/>
      <c r="L2" s="758"/>
      <c r="M2" s="758"/>
      <c r="N2" s="757"/>
      <c r="O2" s="757"/>
    </row>
    <row r="3" spans="1:16" ht="25.5">
      <c r="A3" s="759" t="s">
        <v>221</v>
      </c>
      <c r="B3" s="759"/>
      <c r="C3" s="759"/>
      <c r="D3" s="759"/>
      <c r="E3" s="760">
        <v>2004</v>
      </c>
      <c r="F3" s="761" t="str">
        <f>CONCATENATE("INZENDEN VOOR 1 NOVEMBER ",E3+1)</f>
        <v>INZENDEN VOOR 1 NOVEMBER 2005</v>
      </c>
      <c r="G3" s="762"/>
      <c r="H3" s="763"/>
      <c r="I3" s="763"/>
      <c r="J3" s="764"/>
      <c r="K3" s="764"/>
      <c r="L3" s="764"/>
      <c r="M3" s="765">
        <f>IF(OR(Voorblad!E3=2004,Voorblad!E3=2008,Voorblad!E3=2012),366,365)</f>
        <v>366</v>
      </c>
      <c r="N3" s="764"/>
      <c r="O3" s="764"/>
      <c r="P3" s="463"/>
    </row>
    <row r="4" spans="1:15" ht="12.75">
      <c r="A4" s="707"/>
      <c r="B4" s="2"/>
      <c r="C4" s="707"/>
      <c r="D4" s="707"/>
      <c r="E4" s="707"/>
      <c r="F4" s="707"/>
      <c r="G4" s="707"/>
      <c r="H4" s="766"/>
      <c r="I4" s="707"/>
      <c r="J4" s="2"/>
      <c r="K4" s="2"/>
      <c r="L4" s="2"/>
      <c r="M4" s="2"/>
      <c r="N4" s="707"/>
      <c r="O4" s="707"/>
    </row>
    <row r="5" spans="1:15" s="436" customFormat="1" ht="20.25" customHeight="1">
      <c r="A5" s="1360" t="s">
        <v>716</v>
      </c>
      <c r="B5" s="2"/>
      <c r="C5" s="2"/>
      <c r="D5" s="2"/>
      <c r="E5" s="2"/>
      <c r="F5" s="2"/>
      <c r="G5" s="965"/>
      <c r="H5" s="5"/>
      <c r="I5" s="2"/>
      <c r="J5" s="2"/>
      <c r="K5" s="2"/>
      <c r="L5" s="2"/>
      <c r="M5" s="1510" t="s">
        <v>232</v>
      </c>
      <c r="N5" s="1511"/>
      <c r="O5" s="1512"/>
    </row>
    <row r="6" spans="1:15" s="436" customFormat="1" ht="15">
      <c r="A6" s="1361" t="s">
        <v>876</v>
      </c>
      <c r="B6" s="2"/>
      <c r="C6" s="2"/>
      <c r="D6" s="2"/>
      <c r="E6" s="2"/>
      <c r="F6" s="2"/>
      <c r="G6" s="2"/>
      <c r="H6" s="5"/>
      <c r="I6" s="2"/>
      <c r="J6" s="2"/>
      <c r="K6" s="2"/>
      <c r="L6" s="1093" t="s">
        <v>233</v>
      </c>
      <c r="M6" s="1516" t="str">
        <f>CONCATENATE(RIGHT(E3,4),"-5/1")</f>
        <v>2004-5/1</v>
      </c>
      <c r="N6" s="1517"/>
      <c r="O6" s="1518"/>
    </row>
    <row r="7" spans="1:15" s="436" customFormat="1" ht="12.75">
      <c r="A7" s="2"/>
      <c r="B7" s="2"/>
      <c r="C7" s="2"/>
      <c r="D7" s="2"/>
      <c r="E7" s="2"/>
      <c r="F7" s="2"/>
      <c r="G7" s="2"/>
      <c r="H7" s="5"/>
      <c r="I7" s="2"/>
      <c r="J7" s="2"/>
      <c r="K7" s="2"/>
      <c r="L7" s="767" t="s">
        <v>91</v>
      </c>
      <c r="M7" s="1519"/>
      <c r="N7" s="1520"/>
      <c r="O7" s="1521"/>
    </row>
    <row r="8" spans="1:15" s="436" customFormat="1" ht="12.75">
      <c r="A8" s="1513" t="str">
        <f>IF(OR($G9=0),"U dient het CTG/ZAio nummer in te vullen.","")</f>
        <v>U dient het CTG/ZAio nummer in te vullen.</v>
      </c>
      <c r="B8" s="1514"/>
      <c r="C8" s="1514"/>
      <c r="D8" s="1514"/>
      <c r="E8" s="1515"/>
      <c r="F8" s="1341" t="s">
        <v>299</v>
      </c>
      <c r="G8" s="1347" t="s">
        <v>298</v>
      </c>
      <c r="H8" s="5"/>
      <c r="I8" s="2"/>
      <c r="J8" s="2"/>
      <c r="K8" s="2"/>
      <c r="L8" s="982" t="s">
        <v>231</v>
      </c>
      <c r="M8" s="1505"/>
      <c r="N8" s="1506"/>
      <c r="O8" s="1507"/>
    </row>
    <row r="9" spans="1:15" s="463" customFormat="1" ht="12.75">
      <c r="A9" s="1342" t="s">
        <v>872</v>
      </c>
      <c r="B9" s="351"/>
      <c r="C9" s="351"/>
      <c r="D9" s="351"/>
      <c r="E9" s="665"/>
      <c r="F9" s="1346">
        <v>120</v>
      </c>
      <c r="G9" s="1389"/>
      <c r="H9" s="766"/>
      <c r="I9" s="766"/>
      <c r="J9" s="5"/>
      <c r="K9" s="5"/>
      <c r="L9" s="982" t="s">
        <v>935</v>
      </c>
      <c r="M9" s="1523">
        <v>38414</v>
      </c>
      <c r="N9" s="1524"/>
      <c r="O9" s="1525"/>
    </row>
    <row r="10" spans="2:15" s="463" customFormat="1" ht="12.75">
      <c r="B10" s="2"/>
      <c r="C10" s="707"/>
      <c r="D10" s="707"/>
      <c r="E10" s="707"/>
      <c r="F10" s="707"/>
      <c r="G10" s="707"/>
      <c r="H10" s="766"/>
      <c r="I10" s="766"/>
      <c r="J10" s="5"/>
      <c r="K10" s="5"/>
      <c r="L10" s="5"/>
      <c r="M10" s="90"/>
      <c r="N10" s="768"/>
      <c r="O10" s="768"/>
    </row>
    <row r="11" spans="1:15" s="451" customFormat="1" ht="12.75" customHeight="1">
      <c r="A11" s="1508" t="str">
        <f>CONCATENATE("Met het oog op de tijdige indiening wordt de instelling verzocht het formulier na gereedkoming direct te ondertekenen en gelijktijdig te verzenden aan het zorgkantoor en aan het CTG/ZAio (per post en per e-mail). Het CTG/ZAio zal tot 1 november ",E3+1," wachten met afhandeling, zodat partijen de gelegenheid hebben het nacalculatieverzoek gezamenlijk in te dienen. ")</f>
        <v>Met het oog op de tijdige indiening wordt de instelling verzocht het formulier na gereedkoming direct te ondertekenen en gelijktijdig te verzenden aan het zorgkantoor en aan het CTG/ZAio (per post en per e-mail). Het CTG/ZAio zal tot 1 november 2005 wachten met afhandeling, zodat partijen de gelegenheid hebben het nacalculatieverzoek gezamenlijk in te dienen. </v>
      </c>
      <c r="B11" s="1509"/>
      <c r="C11" s="1509"/>
      <c r="D11" s="1509"/>
      <c r="E11" s="1509"/>
      <c r="F11" s="1509"/>
      <c r="G11" s="1509"/>
      <c r="H11" s="1509"/>
      <c r="I11" s="1509"/>
      <c r="J11" s="1509"/>
      <c r="K11" s="1509"/>
      <c r="L11" s="1509"/>
      <c r="M11" s="1509"/>
      <c r="N11" s="1509"/>
      <c r="O11" s="1509"/>
    </row>
    <row r="12" spans="1:15" s="451" customFormat="1" ht="12.75" customHeight="1">
      <c r="A12" s="1509"/>
      <c r="B12" s="1509"/>
      <c r="C12" s="1509"/>
      <c r="D12" s="1509"/>
      <c r="E12" s="1509"/>
      <c r="F12" s="1509"/>
      <c r="G12" s="1509"/>
      <c r="H12" s="1509"/>
      <c r="I12" s="1509"/>
      <c r="J12" s="1509"/>
      <c r="K12" s="1509"/>
      <c r="L12" s="1509"/>
      <c r="M12" s="1509"/>
      <c r="N12" s="1509"/>
      <c r="O12" s="1509"/>
    </row>
    <row r="13" spans="1:15" s="451" customFormat="1" ht="12.75" customHeight="1">
      <c r="A13" s="1509"/>
      <c r="B13" s="1509"/>
      <c r="C13" s="1509"/>
      <c r="D13" s="1509"/>
      <c r="E13" s="1509"/>
      <c r="F13" s="1509"/>
      <c r="G13" s="1509"/>
      <c r="H13" s="1509"/>
      <c r="I13" s="1509"/>
      <c r="J13" s="1509"/>
      <c r="K13" s="1509"/>
      <c r="L13" s="1509"/>
      <c r="M13" s="1509"/>
      <c r="N13" s="1509"/>
      <c r="O13" s="1509"/>
    </row>
    <row r="14" spans="1:15" s="451" customFormat="1" ht="12.75" customHeight="1" thickBot="1">
      <c r="A14" s="529"/>
      <c r="B14" s="529"/>
      <c r="C14" s="529"/>
      <c r="D14" s="529"/>
      <c r="E14" s="529"/>
      <c r="F14" s="529"/>
      <c r="G14" s="529"/>
      <c r="H14" s="529"/>
      <c r="I14" s="529"/>
      <c r="J14" s="529"/>
      <c r="K14" s="529"/>
      <c r="L14" s="529"/>
      <c r="M14" s="529"/>
      <c r="N14" s="529"/>
      <c r="O14" s="529"/>
    </row>
    <row r="15" spans="2:14" ht="12.75">
      <c r="B15" s="530"/>
      <c r="C15" s="531" t="s">
        <v>638</v>
      </c>
      <c r="D15" s="531"/>
      <c r="E15" s="532"/>
      <c r="F15" s="532"/>
      <c r="G15" s="532"/>
      <c r="H15" s="532"/>
      <c r="I15" s="532"/>
      <c r="J15" s="533"/>
      <c r="K15" s="533"/>
      <c r="L15" s="533"/>
      <c r="M15" s="533"/>
      <c r="N15" s="534"/>
    </row>
    <row r="16" spans="2:14" ht="12.75">
      <c r="B16" s="535"/>
      <c r="C16"/>
      <c r="D16"/>
      <c r="E16" s="463"/>
      <c r="F16" s="463"/>
      <c r="G16" s="463"/>
      <c r="H16" s="463"/>
      <c r="I16" s="463"/>
      <c r="J16" s="439"/>
      <c r="K16" s="439"/>
      <c r="L16" s="439"/>
      <c r="M16" s="439"/>
      <c r="N16" s="536"/>
    </row>
    <row r="17" spans="2:14" ht="12.75" customHeight="1">
      <c r="B17" s="535"/>
      <c r="C17" s="463"/>
      <c r="D17" s="463"/>
      <c r="E17" s="1504" t="s">
        <v>554</v>
      </c>
      <c r="F17" s="1522"/>
      <c r="G17" s="1522"/>
      <c r="H17" s="1522"/>
      <c r="I17" s="1522"/>
      <c r="J17" s="1522"/>
      <c r="K17" s="1522"/>
      <c r="L17" s="1522"/>
      <c r="M17" s="1522"/>
      <c r="N17" s="536"/>
    </row>
    <row r="18" spans="2:14" ht="12.75">
      <c r="B18" s="535"/>
      <c r="C18" s="463"/>
      <c r="D18" s="463"/>
      <c r="E18" s="1504"/>
      <c r="F18" s="1522"/>
      <c r="G18" s="1522"/>
      <c r="H18" s="1522"/>
      <c r="I18" s="1522"/>
      <c r="J18" s="1522"/>
      <c r="K18" s="1522"/>
      <c r="L18" s="1522"/>
      <c r="M18" s="1522"/>
      <c r="N18" s="536"/>
    </row>
    <row r="19" spans="2:14" ht="12.75" customHeight="1">
      <c r="B19" s="535"/>
      <c r="C19"/>
      <c r="D19"/>
      <c r="E19" s="1522"/>
      <c r="F19" s="1522"/>
      <c r="G19" s="1522"/>
      <c r="H19" s="1522"/>
      <c r="I19" s="1522"/>
      <c r="J19" s="1522"/>
      <c r="K19" s="1522"/>
      <c r="L19" s="1522"/>
      <c r="M19" s="1522"/>
      <c r="N19" s="536"/>
    </row>
    <row r="20" spans="2:14" ht="12.75">
      <c r="B20" s="535"/>
      <c r="C20" s="463"/>
      <c r="D20" s="463"/>
      <c r="E20" s="1504" t="s">
        <v>288</v>
      </c>
      <c r="F20" s="1504"/>
      <c r="G20" s="1504"/>
      <c r="H20" s="1504"/>
      <c r="I20" s="1504"/>
      <c r="J20" s="1504"/>
      <c r="K20" s="1504"/>
      <c r="L20" s="1504"/>
      <c r="M20" s="1504"/>
      <c r="N20" s="536"/>
    </row>
    <row r="21" spans="2:14" ht="12.75">
      <c r="B21" s="535"/>
      <c r="C21" s="463"/>
      <c r="D21" s="463"/>
      <c r="E21" s="1504"/>
      <c r="F21" s="1504"/>
      <c r="G21" s="1504"/>
      <c r="H21" s="1504"/>
      <c r="I21" s="1504"/>
      <c r="J21" s="1504"/>
      <c r="K21" s="1504"/>
      <c r="L21" s="1504"/>
      <c r="M21" s="1504"/>
      <c r="N21" s="536"/>
    </row>
    <row r="22" spans="2:14" ht="12.75">
      <c r="B22" s="535"/>
      <c r="C22" s="463"/>
      <c r="D22" s="463"/>
      <c r="E22" s="1504"/>
      <c r="F22" s="1504"/>
      <c r="G22" s="1504"/>
      <c r="H22" s="1504"/>
      <c r="I22" s="1504"/>
      <c r="J22" s="1504"/>
      <c r="K22" s="1504"/>
      <c r="L22" s="1504"/>
      <c r="M22" s="1504"/>
      <c r="N22" s="536"/>
    </row>
    <row r="23" spans="2:14" ht="12.75">
      <c r="B23" s="535"/>
      <c r="C23" s="463"/>
      <c r="D23" s="463"/>
      <c r="E23" s="1526" t="s">
        <v>785</v>
      </c>
      <c r="F23" s="1526"/>
      <c r="G23" s="1526"/>
      <c r="H23" s="1526"/>
      <c r="I23" s="1526"/>
      <c r="J23" s="1526"/>
      <c r="K23" s="1526"/>
      <c r="L23" s="1526"/>
      <c r="M23" s="1526"/>
      <c r="N23" s="536"/>
    </row>
    <row r="24" spans="2:14" ht="12.75">
      <c r="B24" s="535"/>
      <c r="C24" s="463"/>
      <c r="D24" s="463"/>
      <c r="E24" s="1526"/>
      <c r="F24" s="1526"/>
      <c r="G24" s="1526"/>
      <c r="H24" s="1526"/>
      <c r="I24" s="1526"/>
      <c r="J24" s="1526"/>
      <c r="K24" s="1526"/>
      <c r="L24" s="1526"/>
      <c r="M24" s="1526"/>
      <c r="N24" s="536"/>
    </row>
    <row r="25" spans="2:14" ht="12.75">
      <c r="B25" s="535"/>
      <c r="C25" s="463"/>
      <c r="D25" s="463"/>
      <c r="E25" s="1526"/>
      <c r="F25" s="1526"/>
      <c r="G25" s="1526"/>
      <c r="H25" s="1526"/>
      <c r="I25" s="1526"/>
      <c r="J25" s="1526"/>
      <c r="K25" s="1526"/>
      <c r="L25" s="1526"/>
      <c r="M25" s="1526"/>
      <c r="N25" s="536"/>
    </row>
    <row r="26" spans="2:14" ht="12.75">
      <c r="B26" s="535"/>
      <c r="C26" s="463"/>
      <c r="D26" s="463"/>
      <c r="E26" s="439"/>
      <c r="F26" s="439"/>
      <c r="G26" s="439"/>
      <c r="H26" s="439"/>
      <c r="I26" s="439"/>
      <c r="J26" s="439"/>
      <c r="K26" s="439"/>
      <c r="L26" s="439"/>
      <c r="M26" s="439"/>
      <c r="N26" s="536"/>
    </row>
    <row r="27" spans="2:14" ht="12.75">
      <c r="B27" s="535"/>
      <c r="C27" s="463"/>
      <c r="D27" s="463"/>
      <c r="E27" s="537" t="str">
        <f>IF(E28=TRUE,"      Invulvelden gearceerd","      Invulvelden niet gearceerd")</f>
        <v>      Invulvelden gearceerd</v>
      </c>
      <c r="F27" s="538"/>
      <c r="G27" s="539"/>
      <c r="H27" s="463"/>
      <c r="I27" s="463"/>
      <c r="J27" s="1345" t="s">
        <v>875</v>
      </c>
      <c r="K27"/>
      <c r="L27"/>
      <c r="M27"/>
      <c r="N27" s="540"/>
    </row>
    <row r="28" spans="2:20" s="464" customFormat="1" ht="13.5" thickBot="1">
      <c r="B28" s="541"/>
      <c r="C28" s="542"/>
      <c r="D28" s="542"/>
      <c r="E28" s="779" t="b">
        <v>1</v>
      </c>
      <c r="F28" s="543"/>
      <c r="G28" s="543"/>
      <c r="H28" s="542"/>
      <c r="I28" s="542"/>
      <c r="J28" s="779"/>
      <c r="K28" s="543"/>
      <c r="L28" s="543"/>
      <c r="M28" s="544"/>
      <c r="N28" s="545"/>
      <c r="Q28" s="440"/>
      <c r="R28" s="440"/>
      <c r="S28" s="440"/>
      <c r="T28" s="440"/>
    </row>
    <row r="29" spans="13:20" s="547" customFormat="1" ht="16.5" customHeight="1">
      <c r="M29" s="516"/>
      <c r="N29" s="548"/>
      <c r="O29" s="548"/>
      <c r="Q29" s="440"/>
      <c r="R29" s="440"/>
      <c r="S29" s="440"/>
      <c r="T29" s="440"/>
    </row>
    <row r="30" spans="1:20" s="515" customFormat="1" ht="16.5" customHeight="1">
      <c r="A30" s="1339" t="s">
        <v>873</v>
      </c>
      <c r="B30" s="1340"/>
      <c r="C30" s="769"/>
      <c r="D30" s="769"/>
      <c r="E30" s="769"/>
      <c r="F30" s="769"/>
      <c r="G30" s="1348"/>
      <c r="I30" s="1339" t="s">
        <v>229</v>
      </c>
      <c r="J30" s="1359"/>
      <c r="K30" s="769"/>
      <c r="L30" s="769"/>
      <c r="M30" s="769"/>
      <c r="N30" s="769"/>
      <c r="O30" s="1348"/>
      <c r="Q30" s="440"/>
      <c r="R30" s="440"/>
      <c r="S30" s="440"/>
      <c r="T30" s="440"/>
    </row>
    <row r="31" spans="1:20" s="515" customFormat="1" ht="16.5" customHeight="1">
      <c r="A31" s="1342" t="s">
        <v>874</v>
      </c>
      <c r="B31" s="1343"/>
      <c r="C31" s="1499"/>
      <c r="D31" s="1502"/>
      <c r="E31" s="1502"/>
      <c r="F31" s="1502"/>
      <c r="G31" s="1503"/>
      <c r="I31" s="1342" t="s">
        <v>874</v>
      </c>
      <c r="J31" s="1348"/>
      <c r="K31" s="1499"/>
      <c r="L31" s="1502"/>
      <c r="M31" s="1502"/>
      <c r="N31" s="1502"/>
      <c r="O31" s="1503"/>
      <c r="Q31" s="440"/>
      <c r="R31" s="440"/>
      <c r="S31" s="440"/>
      <c r="T31" s="440"/>
    </row>
    <row r="32" spans="1:20" s="515" customFormat="1" ht="16.5" customHeight="1">
      <c r="A32" s="1342" t="s">
        <v>63</v>
      </c>
      <c r="B32" s="1343"/>
      <c r="C32" s="1499"/>
      <c r="D32" s="1502"/>
      <c r="E32" s="1502"/>
      <c r="F32" s="1502"/>
      <c r="G32" s="1503"/>
      <c r="I32" s="1342" t="s">
        <v>63</v>
      </c>
      <c r="J32" s="1348"/>
      <c r="K32" s="1499"/>
      <c r="L32" s="1502"/>
      <c r="M32" s="1502"/>
      <c r="N32" s="1502"/>
      <c r="O32" s="1503"/>
      <c r="Q32" s="440"/>
      <c r="R32" s="440"/>
      <c r="S32" s="440"/>
      <c r="T32" s="440"/>
    </row>
    <row r="33" spans="1:20" s="515" customFormat="1" ht="19.5" customHeight="1">
      <c r="A33" s="1342" t="s">
        <v>222</v>
      </c>
      <c r="B33" s="1343"/>
      <c r="C33" s="1337"/>
      <c r="D33" s="549"/>
      <c r="E33" s="1502"/>
      <c r="F33" s="1500"/>
      <c r="G33" s="1501"/>
      <c r="I33" s="1342" t="s">
        <v>222</v>
      </c>
      <c r="J33" s="1348"/>
      <c r="K33" s="1337"/>
      <c r="L33" s="549"/>
      <c r="M33" s="549"/>
      <c r="N33" s="549"/>
      <c r="O33" s="1338"/>
      <c r="Q33" s="440"/>
      <c r="R33" s="440"/>
      <c r="S33" s="440"/>
      <c r="T33" s="440"/>
    </row>
    <row r="34" spans="1:20" s="515" customFormat="1" ht="16.5" customHeight="1">
      <c r="A34" s="1342" t="s">
        <v>223</v>
      </c>
      <c r="B34" s="1343"/>
      <c r="C34" s="1499"/>
      <c r="D34" s="1500"/>
      <c r="E34" s="1500"/>
      <c r="F34" s="1500"/>
      <c r="G34" s="1501"/>
      <c r="I34" s="1342" t="s">
        <v>223</v>
      </c>
      <c r="J34" s="1348"/>
      <c r="K34" s="1499"/>
      <c r="L34" s="1500"/>
      <c r="M34" s="1500"/>
      <c r="N34" s="1500"/>
      <c r="O34" s="1501"/>
      <c r="Q34" s="440"/>
      <c r="R34" s="440"/>
      <c r="S34" s="440"/>
      <c r="T34" s="440"/>
    </row>
    <row r="35" spans="1:20" s="515" customFormat="1" ht="16.5" customHeight="1">
      <c r="A35" s="1342" t="s">
        <v>224</v>
      </c>
      <c r="B35" s="1343"/>
      <c r="C35" s="1499"/>
      <c r="D35" s="1502"/>
      <c r="E35" s="1502"/>
      <c r="F35" s="1502"/>
      <c r="G35" s="1503"/>
      <c r="I35" s="1342" t="s">
        <v>224</v>
      </c>
      <c r="J35" s="1348"/>
      <c r="K35" s="1499"/>
      <c r="L35" s="1500"/>
      <c r="M35" s="1500"/>
      <c r="N35" s="1500"/>
      <c r="O35" s="1501"/>
      <c r="Q35" s="440"/>
      <c r="R35" s="440"/>
      <c r="S35" s="440"/>
      <c r="T35" s="440"/>
    </row>
    <row r="36" spans="1:20" s="515" customFormat="1" ht="16.5" customHeight="1">
      <c r="A36" s="1342" t="s">
        <v>225</v>
      </c>
      <c r="B36" s="1343"/>
      <c r="C36" s="1499"/>
      <c r="D36" s="1502"/>
      <c r="E36" s="1502"/>
      <c r="F36" s="1502"/>
      <c r="G36" s="1503"/>
      <c r="I36" s="1342" t="s">
        <v>225</v>
      </c>
      <c r="J36" s="1348"/>
      <c r="K36" s="1499"/>
      <c r="L36" s="1500"/>
      <c r="M36" s="1500"/>
      <c r="N36" s="1500"/>
      <c r="O36" s="1501"/>
      <c r="Q36" s="440"/>
      <c r="R36" s="440"/>
      <c r="S36" s="440"/>
      <c r="T36" s="440"/>
    </row>
    <row r="37" spans="1:20" s="515" customFormat="1" ht="16.5" customHeight="1">
      <c r="A37" s="770"/>
      <c r="B37" s="770"/>
      <c r="C37" s="770"/>
      <c r="D37" s="770"/>
      <c r="E37" s="770"/>
      <c r="F37" s="770"/>
      <c r="G37" s="770"/>
      <c r="H37" s="516"/>
      <c r="I37" s="770"/>
      <c r="J37" s="770"/>
      <c r="K37" s="770"/>
      <c r="L37" s="770"/>
      <c r="M37" s="770"/>
      <c r="N37" s="770"/>
      <c r="O37" s="770"/>
      <c r="P37" s="516"/>
      <c r="Q37" s="440"/>
      <c r="R37" s="440"/>
      <c r="S37" s="440"/>
      <c r="T37" s="440"/>
    </row>
    <row r="38" spans="1:20" s="515" customFormat="1" ht="16.5" customHeight="1">
      <c r="A38" s="1339" t="s">
        <v>819</v>
      </c>
      <c r="B38" s="1340"/>
      <c r="C38" s="1340"/>
      <c r="D38" s="1340"/>
      <c r="E38" s="1340"/>
      <c r="F38" s="1340"/>
      <c r="G38" s="1349"/>
      <c r="I38" s="1339" t="s">
        <v>230</v>
      </c>
      <c r="J38" s="1340"/>
      <c r="K38" s="1340"/>
      <c r="L38" s="1340"/>
      <c r="M38" s="1340"/>
      <c r="N38" s="1392"/>
      <c r="O38" s="1393"/>
      <c r="Q38" s="440"/>
      <c r="R38" s="440"/>
      <c r="S38" s="440"/>
      <c r="T38" s="440"/>
    </row>
    <row r="39" spans="1:15" s="515" customFormat="1" ht="16.5" customHeight="1">
      <c r="A39" s="1492" t="s">
        <v>772</v>
      </c>
      <c r="B39" s="1493"/>
      <c r="C39" s="1493"/>
      <c r="D39" s="1493"/>
      <c r="E39" s="1493"/>
      <c r="F39" s="1493"/>
      <c r="G39" s="1487"/>
      <c r="I39" s="1496" t="s">
        <v>544</v>
      </c>
      <c r="J39" s="1497"/>
      <c r="K39" s="1497"/>
      <c r="L39" s="1497"/>
      <c r="M39" s="1497"/>
      <c r="N39" s="1394"/>
      <c r="O39" s="1395"/>
    </row>
    <row r="40" spans="1:15" s="515" customFormat="1" ht="21" customHeight="1">
      <c r="A40" s="1492"/>
      <c r="B40" s="1493"/>
      <c r="C40" s="1493"/>
      <c r="D40" s="1493"/>
      <c r="E40" s="1493"/>
      <c r="F40" s="1493"/>
      <c r="G40" s="1487"/>
      <c r="I40" s="1498"/>
      <c r="J40" s="1487"/>
      <c r="K40" s="1487"/>
      <c r="L40" s="1487"/>
      <c r="M40" s="1487"/>
      <c r="N40" s="1394"/>
      <c r="O40" s="1395"/>
    </row>
    <row r="41" spans="1:15" s="515" customFormat="1" ht="14.25" customHeight="1">
      <c r="A41" s="1492"/>
      <c r="B41" s="1493"/>
      <c r="C41" s="1493"/>
      <c r="D41" s="1493"/>
      <c r="E41" s="1493"/>
      <c r="F41" s="1493"/>
      <c r="G41" s="1487"/>
      <c r="I41" s="1391" t="s">
        <v>794</v>
      </c>
      <c r="J41" s="1370"/>
      <c r="K41" s="1370"/>
      <c r="L41" s="1370"/>
      <c r="M41" s="1527"/>
      <c r="N41" s="1488"/>
      <c r="O41" s="1489"/>
    </row>
    <row r="42" spans="1:15" s="515" customFormat="1" ht="16.5" customHeight="1">
      <c r="A42" s="1350"/>
      <c r="B42" s="1351"/>
      <c r="C42" s="1351"/>
      <c r="D42" s="1351"/>
      <c r="E42" s="1351"/>
      <c r="F42" s="1351"/>
      <c r="G42" s="1352"/>
      <c r="I42" s="1350"/>
      <c r="J42" s="1351"/>
      <c r="K42" s="1351"/>
      <c r="L42" s="1351"/>
      <c r="M42" s="1351"/>
      <c r="N42" s="1351"/>
      <c r="O42" s="1352"/>
    </row>
    <row r="43" spans="1:15" s="515" customFormat="1" ht="16.5" customHeight="1">
      <c r="A43" s="1353"/>
      <c r="B43" s="1354"/>
      <c r="C43" s="1354"/>
      <c r="D43" s="1354"/>
      <c r="E43" s="1354"/>
      <c r="F43" s="1354"/>
      <c r="G43" s="1355"/>
      <c r="I43" s="1353"/>
      <c r="J43" s="1354"/>
      <c r="K43" s="1354"/>
      <c r="L43" s="1354"/>
      <c r="M43" s="1354"/>
      <c r="N43" s="1354"/>
      <c r="O43" s="1355"/>
    </row>
    <row r="44" spans="1:15" s="515" customFormat="1" ht="16.5" customHeight="1">
      <c r="A44" s="1356" t="s">
        <v>713</v>
      </c>
      <c r="B44" s="1357"/>
      <c r="C44" s="1357"/>
      <c r="D44" s="1357"/>
      <c r="E44" s="1357"/>
      <c r="F44" s="1357"/>
      <c r="G44" s="1358" t="s">
        <v>228</v>
      </c>
      <c r="I44" s="1356"/>
      <c r="J44" s="1357"/>
      <c r="K44" s="1357"/>
      <c r="L44" s="1357"/>
      <c r="M44" s="1357"/>
      <c r="N44" s="1357"/>
      <c r="O44" s="1358" t="s">
        <v>228</v>
      </c>
    </row>
    <row r="45" spans="1:15" s="515" customFormat="1" ht="16.5" customHeight="1">
      <c r="A45" s="1527"/>
      <c r="B45" s="1528"/>
      <c r="C45" s="1363" t="s">
        <v>226</v>
      </c>
      <c r="D45" s="1499"/>
      <c r="E45" s="1502"/>
      <c r="F45" s="1503"/>
      <c r="G45" s="1363" t="s">
        <v>227</v>
      </c>
      <c r="I45" s="1527"/>
      <c r="J45" s="1528"/>
      <c r="K45" s="1364" t="s">
        <v>226</v>
      </c>
      <c r="L45" s="1499"/>
      <c r="M45" s="1502"/>
      <c r="N45" s="1503"/>
      <c r="O45" s="1363" t="s">
        <v>227</v>
      </c>
    </row>
    <row r="46" s="515" customFormat="1" ht="9.75" customHeight="1">
      <c r="I46" s="1362"/>
    </row>
    <row r="47" spans="1:15" s="515" customFormat="1" ht="16.5" customHeight="1">
      <c r="A47" s="1494" t="s">
        <v>504</v>
      </c>
      <c r="B47" s="1494"/>
      <c r="C47" s="1494"/>
      <c r="D47" s="1494"/>
      <c r="E47" s="1494"/>
      <c r="F47" s="1494"/>
      <c r="G47" s="1494"/>
      <c r="H47" s="1494"/>
      <c r="I47" s="1494"/>
      <c r="J47" s="1494"/>
      <c r="K47" s="1494"/>
      <c r="L47" s="1494"/>
      <c r="M47" s="1494"/>
      <c r="N47" s="1495"/>
      <c r="O47" s="1495"/>
    </row>
    <row r="48" spans="1:15" s="515" customFormat="1" ht="16.5" customHeight="1">
      <c r="A48" s="1494"/>
      <c r="B48" s="1494"/>
      <c r="C48" s="1494"/>
      <c r="D48" s="1494"/>
      <c r="E48" s="1494"/>
      <c r="F48" s="1494"/>
      <c r="G48" s="1494"/>
      <c r="H48" s="1494"/>
      <c r="I48" s="1494"/>
      <c r="J48" s="1494"/>
      <c r="K48" s="1494"/>
      <c r="L48" s="1494"/>
      <c r="M48" s="1494"/>
      <c r="N48" s="1495"/>
      <c r="O48" s="1495"/>
    </row>
    <row r="49" spans="1:15" s="515" customFormat="1" ht="16.5" customHeight="1">
      <c r="A49" s="1494"/>
      <c r="B49" s="1494"/>
      <c r="C49" s="1494"/>
      <c r="D49" s="1494"/>
      <c r="E49" s="1494"/>
      <c r="F49" s="1494"/>
      <c r="G49" s="1494"/>
      <c r="H49" s="1494"/>
      <c r="I49" s="1494"/>
      <c r="J49" s="1494"/>
      <c r="K49" s="1494"/>
      <c r="L49" s="1494"/>
      <c r="M49" s="1494"/>
      <c r="N49" s="1495"/>
      <c r="O49" s="1495"/>
    </row>
    <row r="50" s="515" customFormat="1" ht="7.5" customHeight="1"/>
    <row r="51" spans="1:15" s="447" customFormat="1" ht="16.5" customHeight="1">
      <c r="A51" s="717" t="str">
        <f>CONCATENATE("Ondertekende partijen verzoeken de definitieve aanvaardbare kosten ",E3," goed te keuren/vast te stellen op:")</f>
        <v>Ondertekende partijen verzoeken de definitieve aanvaardbare kosten 2004 goed te keuren/vast te stellen op:</v>
      </c>
      <c r="B51" s="771"/>
      <c r="C51" s="771"/>
      <c r="D51" s="771"/>
      <c r="E51" s="771"/>
      <c r="F51" s="771"/>
      <c r="G51" s="771"/>
      <c r="H51" s="771"/>
      <c r="I51" s="771"/>
      <c r="J51" s="771"/>
      <c r="K51" s="771"/>
      <c r="L51" s="771"/>
      <c r="M51" s="1094">
        <f>Mutaties!F22</f>
        <v>0</v>
      </c>
      <c r="N51" s="1095"/>
      <c r="O51" s="1096" t="str">
        <f>CONCATENATE("(regel ",Mutaties!A22,")")</f>
        <v>(regel 2014)</v>
      </c>
    </row>
    <row r="52" spans="1:15" s="515" customFormat="1" ht="16.5" customHeight="1">
      <c r="A52" s="595" t="s">
        <v>795</v>
      </c>
      <c r="B52" s="550"/>
      <c r="E52" s="516"/>
      <c r="F52" s="551"/>
      <c r="J52" s="552"/>
      <c r="M52" s="1094">
        <f>Opbrengsten!M65</f>
        <v>0</v>
      </c>
      <c r="N52" s="1095"/>
      <c r="O52" s="1096" t="str">
        <f>CONCATENATE("(regel ",Opbrengsten!H65,")")</f>
        <v>(regel 1233)</v>
      </c>
    </row>
    <row r="53" spans="1:7" s="456" customFormat="1" ht="13.5" customHeight="1">
      <c r="A53" s="458" t="s">
        <v>932</v>
      </c>
      <c r="B53" s="472"/>
      <c r="C53" s="472"/>
      <c r="D53" s="472"/>
      <c r="E53" s="472"/>
      <c r="F53" s="472"/>
      <c r="G53" s="576"/>
    </row>
    <row r="54" spans="1:10" ht="12.75">
      <c r="A54" s="458" t="s">
        <v>784</v>
      </c>
      <c r="G54" s="576"/>
      <c r="J54" s="440"/>
    </row>
    <row r="55" ht="12.75">
      <c r="A55" s="1344"/>
    </row>
    <row r="56" spans="1:7" ht="12.75">
      <c r="A56" s="1490"/>
      <c r="B56" s="1491"/>
      <c r="C56" s="1491"/>
      <c r="D56" s="1491"/>
      <c r="E56" s="1491"/>
      <c r="F56" s="1491"/>
      <c r="G56" s="1491"/>
    </row>
    <row r="57" spans="1:7" ht="12.75">
      <c r="A57" s="1491"/>
      <c r="B57" s="1491"/>
      <c r="C57" s="1491"/>
      <c r="D57" s="1491"/>
      <c r="E57" s="1491"/>
      <c r="F57" s="1491"/>
      <c r="G57" s="1491"/>
    </row>
    <row r="68" ht="12.75">
      <c r="O68" s="1020"/>
    </row>
    <row r="69" spans="9:15" ht="12.75">
      <c r="I69" s="1020"/>
      <c r="J69" s="1020"/>
      <c r="K69" s="1020"/>
      <c r="L69" s="1020"/>
      <c r="M69" s="1020"/>
      <c r="N69" s="1020"/>
      <c r="O69" s="1020"/>
    </row>
  </sheetData>
  <sheetProtection password="C281" sheet="1" objects="1" scenarios="1"/>
  <mergeCells count="30">
    <mergeCell ref="A47:O49"/>
    <mergeCell ref="I39:M40"/>
    <mergeCell ref="M41:O41"/>
    <mergeCell ref="A56:G57"/>
    <mergeCell ref="L45:N45"/>
    <mergeCell ref="A39:G41"/>
    <mergeCell ref="D45:F45"/>
    <mergeCell ref="E23:M25"/>
    <mergeCell ref="C35:G35"/>
    <mergeCell ref="A45:B45"/>
    <mergeCell ref="I45:J45"/>
    <mergeCell ref="C32:G32"/>
    <mergeCell ref="C34:G34"/>
    <mergeCell ref="C36:G36"/>
    <mergeCell ref="E33:G33"/>
    <mergeCell ref="K31:O31"/>
    <mergeCell ref="C31:G31"/>
    <mergeCell ref="E20:M22"/>
    <mergeCell ref="M8:O8"/>
    <mergeCell ref="A11:O13"/>
    <mergeCell ref="M5:O5"/>
    <mergeCell ref="A8:E8"/>
    <mergeCell ref="M6:O6"/>
    <mergeCell ref="M7:O7"/>
    <mergeCell ref="E17:M19"/>
    <mergeCell ref="M9:O9"/>
    <mergeCell ref="K34:O34"/>
    <mergeCell ref="K35:O35"/>
    <mergeCell ref="K36:O36"/>
    <mergeCell ref="K32:O32"/>
  </mergeCells>
  <conditionalFormatting sqref="G50:G52 I56:O59 A58:G59 L50:O54 E50:F54 E46:G46 L46:O46">
    <cfRule type="expression" priority="1" dxfId="0" stopIfTrue="1">
      <formula>$E$36=TRUE</formula>
    </cfRule>
  </conditionalFormatting>
  <conditionalFormatting sqref="J35">
    <cfRule type="expression" priority="2" dxfId="1" stopIfTrue="1">
      <formula>$J$36=TRUE</formula>
    </cfRule>
  </conditionalFormatting>
  <conditionalFormatting sqref="E27:F27 G9 D35:G36 N39:O40 I42:O45 G53:G54 D33:E33 C31:G32 L33:O33 M41:N41 A42:G45 C33:C36 K33:K36 K31:O32">
    <cfRule type="expression" priority="3" dxfId="2" stopIfTrue="1">
      <formula>$E$28=TRUE</formula>
    </cfRule>
  </conditionalFormatting>
  <conditionalFormatting sqref="A8">
    <cfRule type="expression" priority="4" dxfId="3" stopIfTrue="1">
      <formula>$A8&lt;&gt;""</formula>
    </cfRule>
  </conditionalFormatting>
  <dataValidations count="2">
    <dataValidation type="whole" allowBlank="1" showInputMessage="1" showErrorMessage="1" errorTitle="Onjuiste invoer:" error="- de invoer moet het juiste nummer zijn" sqref="G9">
      <formula1>$P9</formula1>
      <formula2>$Q9</formula2>
    </dataValidation>
    <dataValidation type="date" allowBlank="1" showInputMessage="1" showErrorMessage="1" errorTitle="Onjuiste invoer:" error="- de invoer mag geen datum zijn buiten de aangegeven periode" sqref="A45:B45 I45:J45">
      <formula1>$V45</formula1>
      <formula2>$W45</formula2>
    </dataValidation>
  </dataValidations>
  <hyperlinks>
    <hyperlink ref="J27" r:id="rId1" display="kamer3@ctgzorg.nl"/>
  </hyperlinks>
  <printOptions/>
  <pageMargins left="0.3937007874015748" right="0.3937007874015748" top="0.3937007874015748" bottom="0.3937007874015748" header="0.5118110236220472" footer="0.5118110236220472"/>
  <pageSetup horizontalDpi="300" verticalDpi="3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codeName="Blad3"/>
  <dimension ref="A1:M104"/>
  <sheetViews>
    <sheetView showGridLines="0" zoomScale="86" zoomScaleNormal="86" workbookViewId="0" topLeftCell="A1">
      <selection activeCell="C3" sqref="C3"/>
    </sheetView>
  </sheetViews>
  <sheetFormatPr defaultColWidth="9.140625" defaultRowHeight="12.75"/>
  <cols>
    <col min="1" max="1" width="2.7109375" style="554" customWidth="1"/>
    <col min="2" max="2" width="5.57421875" style="564" customWidth="1"/>
    <col min="3" max="3" width="50.7109375" style="555" customWidth="1"/>
    <col min="4" max="4" width="5.7109375" style="555" customWidth="1"/>
    <col min="5" max="5" width="14.28125" style="555" customWidth="1"/>
    <col min="6" max="6" width="2.8515625" style="555" customWidth="1"/>
    <col min="7" max="7" width="3.28125" style="555" customWidth="1"/>
    <col min="8" max="8" width="50.7109375" style="555" customWidth="1"/>
    <col min="9" max="9" width="6.28125" style="555" customWidth="1"/>
    <col min="10" max="16384" width="9.140625" style="555" customWidth="1"/>
  </cols>
  <sheetData>
    <row r="1" spans="1:10" s="441" customFormat="1" ht="15.75" customHeight="1">
      <c r="A1" s="435"/>
      <c r="B1" s="553"/>
      <c r="C1" s="500"/>
      <c r="D1" s="438"/>
      <c r="E1" s="438"/>
      <c r="F1" s="435"/>
      <c r="G1" s="500"/>
      <c r="H1" s="500"/>
      <c r="J1" s="442"/>
    </row>
    <row r="2" spans="1:10" s="446" customFormat="1" ht="15.75" customHeight="1">
      <c r="A2" s="1016" t="str">
        <f>CONCATENATE("Nacalculatieformulier ",Voorblad!E3," ",Voorblad!A5)</f>
        <v>Nacalculatieformulier 2004 GGZ-instellingen</v>
      </c>
      <c r="B2" s="444"/>
      <c r="C2" s="445"/>
      <c r="D2" s="445"/>
      <c r="E2" s="445"/>
      <c r="F2" s="445"/>
      <c r="G2" s="443"/>
      <c r="H2" s="443"/>
      <c r="I2" s="1365">
        <v>2</v>
      </c>
      <c r="J2" s="509"/>
    </row>
    <row r="3" spans="2:6" ht="12.75">
      <c r="B3" s="555"/>
      <c r="D3" s="556"/>
      <c r="E3" s="556"/>
      <c r="F3" s="554"/>
    </row>
    <row r="4" spans="1:9" s="456" customFormat="1" ht="12">
      <c r="A4" s="455" t="s">
        <v>234</v>
      </c>
      <c r="B4" s="557"/>
      <c r="D4" s="772" t="s">
        <v>530</v>
      </c>
      <c r="I4" s="772" t="s">
        <v>530</v>
      </c>
    </row>
    <row r="5" spans="1:9" s="456" customFormat="1" ht="12">
      <c r="A5" s="455"/>
      <c r="B5" s="455"/>
      <c r="C5" s="455"/>
      <c r="D5" s="773"/>
      <c r="E5" s="455"/>
      <c r="F5" s="455"/>
      <c r="G5" s="455"/>
      <c r="H5" s="455"/>
      <c r="I5" s="773"/>
    </row>
    <row r="6" spans="1:9" s="460" customFormat="1" ht="12">
      <c r="A6" s="14" t="str">
        <f>Productie!A4</f>
        <v>RUBRIEK 1: NACALCULATIE PRODUCTIE</v>
      </c>
      <c r="B6" s="1001"/>
      <c r="C6" s="94"/>
      <c r="D6" s="650">
        <f>Productie!M2</f>
        <v>7</v>
      </c>
      <c r="F6" s="14" t="str">
        <f>Mutaties!A4</f>
        <v>RUBRIEK 4: OVERZICHT MUTATIES</v>
      </c>
      <c r="H6" s="1001"/>
      <c r="I6" s="650">
        <f>Mutaties!I2</f>
        <v>20</v>
      </c>
    </row>
    <row r="7" spans="1:9" s="460" customFormat="1" ht="12">
      <c r="A7" s="14"/>
      <c r="B7" s="42" t="str">
        <f>Productie!A5</f>
        <v>1.1</v>
      </c>
      <c r="C7" s="42" t="str">
        <f>Productie!B5</f>
        <v>Nacalculatie productie instelling</v>
      </c>
      <c r="D7" s="650">
        <f>Productie!M2</f>
        <v>7</v>
      </c>
      <c r="F7" s="449"/>
      <c r="G7" s="652" t="str">
        <f>Mutaties!A6</f>
        <v>4.1</v>
      </c>
      <c r="H7" s="652" t="str">
        <f>Mutaties!B6</f>
        <v>Mutatie aanvaardbare kosten</v>
      </c>
      <c r="I7" s="650">
        <f>Mutaties!$I$2</f>
        <v>20</v>
      </c>
    </row>
    <row r="8" spans="1:9" s="460" customFormat="1" ht="12">
      <c r="A8" s="42"/>
      <c r="B8" s="1007" t="str">
        <f>Productie!H149</f>
        <v>1.2</v>
      </c>
      <c r="C8" s="1007" t="str">
        <f>Productie!I149</f>
        <v>Vervoerskosten bij begeleiding in de GGZ</v>
      </c>
      <c r="D8" s="650">
        <f>Productie!M126</f>
        <v>10</v>
      </c>
      <c r="F8" s="449"/>
      <c r="G8" s="652" t="str">
        <f>Mutaties!A31</f>
        <v>4.2</v>
      </c>
      <c r="H8" s="652" t="str">
        <f>Mutaties!B31</f>
        <v>Instandhoudingsinvestering</v>
      </c>
      <c r="I8" s="650">
        <f>Mutaties!$I$2</f>
        <v>20</v>
      </c>
    </row>
    <row r="9" spans="7:9" s="456" customFormat="1" ht="11.25">
      <c r="G9" s="652" t="str">
        <f>Mutaties!A39</f>
        <v>4.3</v>
      </c>
      <c r="H9" s="652" t="str">
        <f>Mutaties!B39</f>
        <v>Nog in de tarieven te verrekenen</v>
      </c>
      <c r="I9" s="650">
        <f>Mutaties!$I$2</f>
        <v>20</v>
      </c>
    </row>
    <row r="10" spans="1:4" s="456" customFormat="1" ht="12" customHeight="1">
      <c r="A10" s="14" t="str">
        <f>Opbrengsten!A4</f>
        <v>RUBRIEK 2: WERKELIJKE OPBRENGSTEN</v>
      </c>
      <c r="B10" s="1001"/>
      <c r="C10" s="94"/>
      <c r="D10" s="650">
        <f>Opbrengsten!M2</f>
        <v>11</v>
      </c>
    </row>
    <row r="11" spans="1:9" s="456" customFormat="1" ht="12" customHeight="1">
      <c r="A11" s="42"/>
      <c r="B11" s="652" t="str">
        <f>Opbrengsten!A6</f>
        <v>2.1</v>
      </c>
      <c r="C11" s="95" t="str">
        <f>Opbrengsten!B6</f>
        <v>Verpleeggelden</v>
      </c>
      <c r="D11" s="650">
        <f>Opbrengsten!$M$2</f>
        <v>11</v>
      </c>
      <c r="G11" s="14" t="str">
        <f>'Rentecalc.'!A6</f>
        <v>CALCULATIEMODEL RENTEKOSTEN</v>
      </c>
      <c r="H11" s="47"/>
      <c r="I11" s="650">
        <f>'Rentecalc.'!H2</f>
        <v>21</v>
      </c>
    </row>
    <row r="12" spans="1:9" s="456" customFormat="1" ht="12" customHeight="1">
      <c r="A12" s="42"/>
      <c r="B12" s="652" t="str">
        <f>Opbrengsten!A20</f>
        <v>2.2</v>
      </c>
      <c r="C12" s="95" t="str">
        <f>Opbrengsten!B20</f>
        <v>Verzorgingsdagen beschermd wonen</v>
      </c>
      <c r="D12" s="650">
        <f>Opbrengsten!$M$2</f>
        <v>11</v>
      </c>
      <c r="G12" s="47"/>
      <c r="H12" s="47"/>
      <c r="I12" s="47"/>
    </row>
    <row r="13" spans="1:9" s="456" customFormat="1" ht="12" customHeight="1">
      <c r="A13" s="42"/>
      <c r="B13" s="652" t="str">
        <f>Opbrengsten!A24</f>
        <v>2.3</v>
      </c>
      <c r="C13" s="95" t="str">
        <f>Opbrengsten!B24</f>
        <v>Jaartarief</v>
      </c>
      <c r="D13" s="650">
        <f>Opbrengsten!$M$2</f>
        <v>11</v>
      </c>
      <c r="G13" s="14" t="s">
        <v>564</v>
      </c>
      <c r="H13" s="1001"/>
      <c r="I13" s="650"/>
    </row>
    <row r="14" spans="2:9" s="456" customFormat="1" ht="11.25">
      <c r="B14" s="652" t="str">
        <f>Opbrengsten!A29</f>
        <v>2.4</v>
      </c>
      <c r="C14" s="95" t="str">
        <f>Opbrengsten!B29</f>
        <v>Deeltijdbehandeling</v>
      </c>
      <c r="D14" s="650">
        <f>Opbrengsten!$M$2</f>
        <v>11</v>
      </c>
      <c r="G14" s="652" t="str">
        <f>'A-E'!A6</f>
        <v>A. </v>
      </c>
      <c r="H14" s="652" t="str">
        <f>'A-E'!B6</f>
        <v>Boekwaarde investeringen waarvoor vergunning is verleend</v>
      </c>
      <c r="I14" s="1002">
        <f>'A-E'!G2</f>
        <v>22</v>
      </c>
    </row>
    <row r="15" spans="1:9" s="456" customFormat="1" ht="11.25">
      <c r="A15" s="42"/>
      <c r="B15" s="652" t="str">
        <f>Opbrengsten!H6</f>
        <v>2.5</v>
      </c>
      <c r="C15" s="95" t="str">
        <f>Opbrengsten!I6</f>
        <v>Ambulant</v>
      </c>
      <c r="D15" s="650">
        <f>Opbrengsten!$M$2</f>
        <v>11</v>
      </c>
      <c r="G15" s="652" t="str">
        <f>'A-E'!A50</f>
        <v>B.</v>
      </c>
      <c r="H15" s="1484" t="str">
        <f>'A-E'!B50</f>
        <v>Onderhanden bouwprojecten  met WZV vergunning (geen investeringen meldingsregeling)</v>
      </c>
      <c r="I15" s="42"/>
    </row>
    <row r="16" spans="1:13" s="526" customFormat="1" ht="11.25">
      <c r="A16" s="42"/>
      <c r="B16" s="95" t="str">
        <f>Opbrengsten!A48</f>
        <v>2.6</v>
      </c>
      <c r="C16" s="95" t="str">
        <f>Opbrengsten!B48</f>
        <v>Eerste opnamen</v>
      </c>
      <c r="D16" s="650">
        <f>Opbrengsten!M$46</f>
        <v>12</v>
      </c>
      <c r="F16" s="456"/>
      <c r="G16" s="42"/>
      <c r="H16" s="1491"/>
      <c r="I16" s="1002">
        <f>'A-E'!G48</f>
        <v>23</v>
      </c>
      <c r="J16" s="561"/>
      <c r="K16" s="561"/>
      <c r="L16" s="561"/>
      <c r="M16" s="561"/>
    </row>
    <row r="17" spans="1:9" s="460" customFormat="1" ht="12">
      <c r="A17" s="42"/>
      <c r="B17" s="652" t="str">
        <f>Opbrengsten!A57</f>
        <v>2.7</v>
      </c>
      <c r="C17" s="95" t="str">
        <f>Opbrengsten!B57</f>
        <v>Vervoerskosten bij begeleiding in de GGZ</v>
      </c>
      <c r="D17" s="650">
        <f>Opbrengsten!M$46</f>
        <v>12</v>
      </c>
      <c r="F17" s="559"/>
      <c r="G17" s="652" t="str">
        <f>'A-E'!A96</f>
        <v>C. </v>
      </c>
      <c r="H17" s="1485" t="str">
        <f>'A-E'!B96</f>
        <v>Werkelijke boekwaarde instandhoudingsinvesteringen (inclusief onderhanden werk)</v>
      </c>
      <c r="I17" s="42"/>
    </row>
    <row r="18" spans="1:9" s="456" customFormat="1" ht="11.25">
      <c r="A18" s="42"/>
      <c r="B18" s="652" t="str">
        <f>Opbrengsten!A61</f>
        <v>2.8</v>
      </c>
      <c r="C18" s="1282" t="str">
        <f>Opbrengsten!B61</f>
        <v>Sectoroverstijgende productie/opbrengsten</v>
      </c>
      <c r="D18" s="650">
        <f>Opbrengsten!M$46</f>
        <v>12</v>
      </c>
      <c r="F18" s="526"/>
      <c r="G18" s="42"/>
      <c r="H18" s="1491"/>
      <c r="I18" s="650">
        <f>'A-E'!G93</f>
        <v>24</v>
      </c>
    </row>
    <row r="19" spans="1:9" s="526" customFormat="1" ht="12">
      <c r="A19" s="631"/>
      <c r="B19" s="631" t="str">
        <f>Opbrengsten!A69</f>
        <v>2.9</v>
      </c>
      <c r="C19" s="1283" t="str">
        <f>Opbrengsten!B69</f>
        <v>Aanvullende inkomsten</v>
      </c>
      <c r="D19" s="650">
        <f>Opbrengsten!M$46</f>
        <v>12</v>
      </c>
      <c r="F19" s="449"/>
      <c r="G19" s="652" t="str">
        <f>'A-E'!A74</f>
        <v>D. </v>
      </c>
      <c r="H19" s="652" t="str">
        <f>'A-E'!B74</f>
        <v>Normatieve boekwaarde medische en overige inventarissen</v>
      </c>
      <c r="I19" s="650">
        <f>'A-E'!G48</f>
        <v>23</v>
      </c>
    </row>
    <row r="20" spans="2:9" s="526" customFormat="1" ht="11.25">
      <c r="B20" s="526" t="str">
        <f>Opbrengsten!H52</f>
        <v>2.11</v>
      </c>
      <c r="C20" s="562" t="str">
        <f>Opbrengsten!I52</f>
        <v>Totale opbrengst</v>
      </c>
      <c r="D20" s="650">
        <f>Opbrengsten!M$46</f>
        <v>12</v>
      </c>
      <c r="F20" s="456"/>
      <c r="G20" s="652" t="str">
        <f>'A-E'!A131</f>
        <v>E.</v>
      </c>
      <c r="H20" s="652" t="str">
        <f>'A-E'!B131</f>
        <v>Normatief werkkapitaal</v>
      </c>
      <c r="I20" s="1002">
        <f>'A-E'!G93</f>
        <v>24</v>
      </c>
    </row>
    <row r="21" spans="2:9" s="526" customFormat="1" ht="11.25" customHeight="1">
      <c r="B21" s="526" t="str">
        <f>Opbrengsten!H56</f>
        <v>2.12</v>
      </c>
      <c r="C21" s="526" t="str">
        <f>Opbrengsten!I56</f>
        <v>Door zorgkantoor met het voorschot te verrekenen bedragen</v>
      </c>
      <c r="D21" s="650">
        <f>Opbrengsten!M$46</f>
        <v>12</v>
      </c>
      <c r="F21" s="456"/>
      <c r="G21" s="652" t="str">
        <f>F!A4</f>
        <v>F. </v>
      </c>
      <c r="H21" s="1284" t="str">
        <f>F!B4</f>
        <v>Langlopende leningen (incl. langlopende leasecontracten)</v>
      </c>
      <c r="I21" s="650" t="str">
        <f>CONCATENATE(F!T2,"-",F!T40)</f>
        <v>25-26</v>
      </c>
    </row>
    <row r="22" spans="6:9" s="526" customFormat="1" ht="11.25" customHeight="1">
      <c r="F22" s="562"/>
      <c r="G22" s="652" t="str">
        <f>'G-H'!A5</f>
        <v>G. </v>
      </c>
      <c r="H22" s="652" t="str">
        <f>'G-H'!B5</f>
        <v>Eigen vermogen</v>
      </c>
      <c r="I22" s="650">
        <f>'G-H'!E2</f>
        <v>27</v>
      </c>
    </row>
    <row r="23" spans="1:9" s="526" customFormat="1" ht="12">
      <c r="A23" s="14" t="str">
        <f>Afschrijvingen!A4</f>
        <v>RUBRIEK 3: KAPITAALSLASTEN</v>
      </c>
      <c r="B23" s="1001"/>
      <c r="C23" s="94"/>
      <c r="D23" s="650">
        <f>Afschrijvingen!K2</f>
        <v>13</v>
      </c>
      <c r="F23" s="562"/>
      <c r="G23" s="652" t="str">
        <f>'G-H'!A28</f>
        <v>H. </v>
      </c>
      <c r="H23" s="652" t="str">
        <f>'G-H'!B28</f>
        <v>Rentekosten langlopende leningen</v>
      </c>
      <c r="I23" s="650">
        <f>'G-H'!E2</f>
        <v>27</v>
      </c>
    </row>
    <row r="24" spans="1:9" s="526" customFormat="1" ht="12">
      <c r="A24" s="42"/>
      <c r="B24" s="652" t="str">
        <f>Afschrijvingen!A7</f>
        <v>3.1</v>
      </c>
      <c r="C24" s="652" t="str">
        <f>Afschrijvingen!B7</f>
        <v>Nacalculeerbare afschrijvingskosten</v>
      </c>
      <c r="D24" s="650">
        <f>Afschrijvingen!$K$2</f>
        <v>13</v>
      </c>
      <c r="F24" s="562"/>
      <c r="G24" s="47"/>
      <c r="H24" s="47"/>
      <c r="I24" s="47"/>
    </row>
    <row r="25" spans="1:9" s="526" customFormat="1" ht="12">
      <c r="A25" s="631"/>
      <c r="B25" s="652" t="str">
        <f>Afschrijvingen!A28</f>
        <v>3.2</v>
      </c>
      <c r="C25" s="652" t="str">
        <f>Afschrijvingen!B28</f>
        <v>Niet-nacalculeerbare afschrijvingskosten</v>
      </c>
      <c r="D25" s="650">
        <f>Afschrijvingen!$K$2</f>
        <v>13</v>
      </c>
      <c r="F25" s="562"/>
      <c r="G25" s="1001"/>
      <c r="H25" s="94"/>
      <c r="I25" s="1003"/>
    </row>
    <row r="26" spans="1:9" s="526" customFormat="1" ht="12">
      <c r="A26" s="42"/>
      <c r="B26" s="652" t="str">
        <f>WZV!A4</f>
        <v>3.3</v>
      </c>
      <c r="C26" s="652" t="str">
        <f>WZV!B4</f>
        <v>Specificatie in gebruikgenomen nacalculeerbare investeringen</v>
      </c>
      <c r="D26" s="650">
        <f>WZV!M2</f>
        <v>14</v>
      </c>
      <c r="G26" s="690" t="str">
        <f>Vragen!A4</f>
        <v>VRAGENLIJST NACALCULATIE</v>
      </c>
      <c r="H26" s="48"/>
      <c r="I26" s="650" t="str">
        <f>CONCATENATE(Vragen!F2,"-",Vragen!F92)</f>
        <v>28-30</v>
      </c>
    </row>
    <row r="27" spans="2:9" s="460" customFormat="1" ht="12">
      <c r="B27" s="456" t="str">
        <f>WZV!A68</f>
        <v>3.4</v>
      </c>
      <c r="C27" s="501" t="str">
        <f>WZV!B68</f>
        <v>Specificatie verkochte activa</v>
      </c>
      <c r="D27" s="456">
        <f>WZV!M44</f>
        <v>15</v>
      </c>
      <c r="F27" s="558"/>
      <c r="G27" s="1005" t="str">
        <f>'Aanv.vragen'!A4</f>
        <v>AANVULLENDE VRAGEN 2004</v>
      </c>
      <c r="H27" s="1004"/>
      <c r="I27" s="650" t="str">
        <f>CONCATENATE('Aanv.vragen'!H2,"-",'Aanv.vragen'!H46)</f>
        <v>31-32</v>
      </c>
    </row>
    <row r="28" spans="1:9" s="526" customFormat="1" ht="12">
      <c r="A28" s="631"/>
      <c r="B28" s="652" t="str">
        <f>Instandhouding!A4</f>
        <v>3.5</v>
      </c>
      <c r="C28" s="652" t="str">
        <f>Instandhouding!B4</f>
        <v>Specificatie investeringen in instandhouding</v>
      </c>
      <c r="D28" s="650">
        <f>Instandhouding!M2</f>
        <v>16</v>
      </c>
      <c r="G28" s="690"/>
      <c r="H28" s="1004"/>
      <c r="I28" s="650"/>
    </row>
    <row r="29" spans="1:9" s="460" customFormat="1" ht="12">
      <c r="A29" s="631"/>
      <c r="B29" s="652" t="str">
        <f>Instandhouding!A29</f>
        <v>3.6</v>
      </c>
      <c r="C29" s="652" t="str">
        <f>Instandhouding!B29</f>
        <v>Instandhoudingsinvesteringen</v>
      </c>
      <c r="D29" s="650">
        <f>Instandhouding!M2</f>
        <v>16</v>
      </c>
      <c r="F29" s="558"/>
      <c r="G29" s="1006" t="s">
        <v>453</v>
      </c>
      <c r="H29" s="526"/>
      <c r="I29" s="1008"/>
    </row>
    <row r="30" spans="1:9" s="526" customFormat="1" ht="11.25">
      <c r="A30" s="631"/>
      <c r="B30" s="652" t="str">
        <f>Instandhouding!A46</f>
        <v>3.7</v>
      </c>
      <c r="C30" s="652" t="str">
        <f>Instandhouding!B46</f>
        <v>Specificatie inbrengverplichting</v>
      </c>
      <c r="D30" s="650">
        <f>Instandhouding!M44</f>
        <v>17</v>
      </c>
      <c r="G30" s="1008"/>
      <c r="H30" s="775" t="s">
        <v>360</v>
      </c>
      <c r="I30" s="927"/>
    </row>
    <row r="31" spans="1:9" s="526" customFormat="1" ht="11.25">
      <c r="A31" s="631"/>
      <c r="B31" s="526" t="str">
        <f>Instandhouding!K46</f>
        <v>3.8</v>
      </c>
      <c r="C31" s="526" t="str">
        <f>Instandhouding!L46</f>
        <v>CBZ index 2004</v>
      </c>
      <c r="D31" s="650">
        <f>Instandhouding!M44</f>
        <v>17</v>
      </c>
      <c r="G31" s="1008"/>
      <c r="H31" s="775"/>
      <c r="I31" s="927"/>
    </row>
    <row r="32" spans="1:9" s="526" customFormat="1" ht="11.25">
      <c r="A32" s="631"/>
      <c r="B32" s="526" t="str">
        <f>Instandhouding!A63</f>
        <v>3.9</v>
      </c>
      <c r="C32" s="526" t="str">
        <f>Instandhouding!B63</f>
        <v>Toekomstige opbouw trekkingsrechten van 2005 e.v.</v>
      </c>
      <c r="D32" s="650">
        <f>Instandhouding!M44</f>
        <v>17</v>
      </c>
      <c r="G32" s="1008"/>
      <c r="H32" s="775"/>
      <c r="I32" s="927"/>
    </row>
    <row r="33" spans="1:9" s="526" customFormat="1" ht="11.25">
      <c r="A33" s="631"/>
      <c r="B33" s="652" t="str">
        <f>'Overige kap.lasten '!A5</f>
        <v>3.10</v>
      </c>
      <c r="C33" s="652" t="str">
        <f>'Overige kap.lasten '!B5</f>
        <v>Doorberekende kapitaalslasten</v>
      </c>
      <c r="D33" s="650">
        <f>'Overige kap.lasten '!M2</f>
        <v>18</v>
      </c>
      <c r="G33" s="1008"/>
      <c r="H33" s="775"/>
      <c r="I33" s="927"/>
    </row>
    <row r="34" spans="1:9" ht="12.75">
      <c r="A34" s="631"/>
      <c r="B34" s="652" t="str">
        <f>'Overige kap.lasten '!A19</f>
        <v>3.11.1</v>
      </c>
      <c r="C34" s="652" t="str">
        <f>'Overige kap.lasten '!B19</f>
        <v>Niet-geïndexeerde huren 2004</v>
      </c>
      <c r="D34" s="650">
        <f>'Overige kap.lasten '!M2</f>
        <v>18</v>
      </c>
      <c r="G34" s="776"/>
      <c r="H34" s="776"/>
      <c r="I34" s="928"/>
    </row>
    <row r="35" spans="1:9" s="526" customFormat="1" ht="11.25">
      <c r="A35" s="631"/>
      <c r="B35" s="652" t="str">
        <f>'Overige kap.lasten '!A43</f>
        <v>3.11.2</v>
      </c>
      <c r="C35" s="652" t="str">
        <f>'Overige kap.lasten '!B43</f>
        <v>Geïndexeerde huren 2004</v>
      </c>
      <c r="D35" s="650">
        <f>'Overige kap.lasten '!M41</f>
        <v>19</v>
      </c>
      <c r="G35" s="775"/>
      <c r="H35" s="775"/>
      <c r="I35" s="927"/>
    </row>
    <row r="36" spans="1:9" s="526" customFormat="1" ht="11.25">
      <c r="A36" s="631"/>
      <c r="B36" s="652" t="str">
        <f>'Overige kap.lasten '!A75</f>
        <v>3.11.3</v>
      </c>
      <c r="C36" s="652" t="str">
        <f>'Overige kap.lasten '!B75</f>
        <v>Totaal huren 2004</v>
      </c>
      <c r="D36" s="650">
        <f>'Overige kap.lasten '!M41</f>
        <v>19</v>
      </c>
      <c r="G36" s="775"/>
      <c r="H36" s="775"/>
      <c r="I36" s="774"/>
    </row>
    <row r="37" spans="1:9" s="456" customFormat="1" ht="12.75">
      <c r="A37" s="631"/>
      <c r="B37" s="652"/>
      <c r="E37"/>
      <c r="G37" s="777"/>
      <c r="H37" s="777"/>
      <c r="I37" s="774"/>
    </row>
    <row r="38" spans="1:9" s="460" customFormat="1" ht="12.75">
      <c r="A38" s="47"/>
      <c r="B38" s="707"/>
      <c r="C38" s="652" t="s">
        <v>561</v>
      </c>
      <c r="D38" s="650">
        <f>'Rentecalc.'!$H$2</f>
        <v>21</v>
      </c>
      <c r="E38"/>
      <c r="F38" s="558"/>
      <c r="G38" s="777"/>
      <c r="H38" s="777"/>
      <c r="I38" s="774"/>
    </row>
    <row r="39" spans="5:9" s="456" customFormat="1" ht="12.75">
      <c r="E39"/>
      <c r="F39" s="560"/>
      <c r="G39" s="778"/>
      <c r="H39" s="778"/>
      <c r="I39" s="774"/>
    </row>
    <row r="40" spans="5:9" s="456" customFormat="1" ht="12.75">
      <c r="E40"/>
      <c r="G40" s="777"/>
      <c r="H40" s="777"/>
      <c r="I40" s="774"/>
    </row>
    <row r="41" spans="5:9" s="456" customFormat="1" ht="12.75">
      <c r="E41"/>
      <c r="G41" s="777"/>
      <c r="H41" s="777"/>
      <c r="I41" s="774"/>
    </row>
    <row r="42" s="456" customFormat="1" ht="11.25"/>
    <row r="43" s="456" customFormat="1" ht="11.25"/>
    <row r="44" s="456" customFormat="1" ht="11.25"/>
    <row r="45" s="456" customFormat="1" ht="11.25"/>
    <row r="46" s="456" customFormat="1" ht="11.25"/>
    <row r="47" spans="1:4" s="456" customFormat="1" ht="12">
      <c r="A47" s="41"/>
      <c r="B47" s="1007"/>
      <c r="C47" s="42"/>
      <c r="D47" s="42"/>
    </row>
    <row r="48" spans="1:4" s="456" customFormat="1" ht="12">
      <c r="A48" s="41"/>
      <c r="B48" s="1007"/>
      <c r="C48" s="42"/>
      <c r="D48" s="42"/>
    </row>
    <row r="49" spans="1:2" s="456" customFormat="1" ht="12">
      <c r="A49" s="455"/>
      <c r="B49" s="557"/>
    </row>
    <row r="50" spans="1:2" s="456" customFormat="1" ht="12">
      <c r="A50" s="455"/>
      <c r="B50" s="557"/>
    </row>
    <row r="51" spans="1:2" s="456" customFormat="1" ht="12">
      <c r="A51" s="455"/>
      <c r="B51" s="557"/>
    </row>
    <row r="52" spans="1:2" s="456" customFormat="1" ht="12">
      <c r="A52" s="455"/>
      <c r="B52" s="557"/>
    </row>
    <row r="53" spans="1:2" s="456" customFormat="1" ht="12">
      <c r="A53" s="455"/>
      <c r="B53" s="557"/>
    </row>
    <row r="54" spans="1:2" s="456" customFormat="1" ht="12">
      <c r="A54" s="455"/>
      <c r="B54" s="557"/>
    </row>
    <row r="55" spans="1:2" s="456" customFormat="1" ht="12">
      <c r="A55" s="455"/>
      <c r="B55" s="557"/>
    </row>
    <row r="56" spans="1:2" s="500" customFormat="1" ht="12.75">
      <c r="A56" s="435"/>
      <c r="B56" s="563"/>
    </row>
    <row r="57" spans="1:2" s="500" customFormat="1" ht="12.75">
      <c r="A57" s="435"/>
      <c r="B57" s="563"/>
    </row>
    <row r="58" spans="1:2" s="500" customFormat="1" ht="12.75">
      <c r="A58" s="435"/>
      <c r="B58" s="563"/>
    </row>
    <row r="59" spans="1:2" s="500" customFormat="1" ht="12.75">
      <c r="A59" s="435"/>
      <c r="B59" s="563"/>
    </row>
    <row r="60" spans="1:2" s="500" customFormat="1" ht="12.75">
      <c r="A60" s="435"/>
      <c r="B60" s="563"/>
    </row>
    <row r="61" spans="1:2" s="500" customFormat="1" ht="12.75">
      <c r="A61" s="435"/>
      <c r="B61" s="563"/>
    </row>
    <row r="62" spans="1:2" s="500" customFormat="1" ht="12.75">
      <c r="A62" s="435"/>
      <c r="B62" s="563"/>
    </row>
    <row r="63" spans="1:2" s="500" customFormat="1" ht="12.75">
      <c r="A63" s="435"/>
      <c r="B63" s="563"/>
    </row>
    <row r="64" spans="1:2" s="500" customFormat="1" ht="12.75">
      <c r="A64" s="435"/>
      <c r="B64" s="563"/>
    </row>
    <row r="65" spans="1:2" s="500" customFormat="1" ht="12.75">
      <c r="A65" s="435"/>
      <c r="B65" s="563"/>
    </row>
    <row r="66" spans="1:2" s="500" customFormat="1" ht="12.75">
      <c r="A66" s="435"/>
      <c r="B66" s="563"/>
    </row>
    <row r="67" spans="1:2" s="500" customFormat="1" ht="12.75">
      <c r="A67" s="435"/>
      <c r="B67" s="563"/>
    </row>
    <row r="68" spans="1:2" s="500" customFormat="1" ht="12.75">
      <c r="A68" s="435"/>
      <c r="B68" s="563"/>
    </row>
    <row r="69" spans="1:2" s="500" customFormat="1" ht="12.75">
      <c r="A69" s="435"/>
      <c r="B69" s="563"/>
    </row>
    <row r="70" spans="1:2" s="500" customFormat="1" ht="12.75">
      <c r="A70" s="435"/>
      <c r="B70" s="563"/>
    </row>
    <row r="71" spans="1:2" s="500" customFormat="1" ht="12.75">
      <c r="A71" s="435"/>
      <c r="B71" s="563"/>
    </row>
    <row r="72" spans="1:2" s="500" customFormat="1" ht="12.75">
      <c r="A72" s="435"/>
      <c r="B72" s="563"/>
    </row>
    <row r="73" spans="1:2" s="500" customFormat="1" ht="12.75">
      <c r="A73" s="435"/>
      <c r="B73" s="563"/>
    </row>
    <row r="74" spans="1:2" s="500" customFormat="1" ht="12.75">
      <c r="A74" s="435"/>
      <c r="B74" s="563"/>
    </row>
    <row r="75" spans="1:2" s="500" customFormat="1" ht="12.75">
      <c r="A75" s="435"/>
      <c r="B75" s="563"/>
    </row>
    <row r="76" spans="1:2" s="500" customFormat="1" ht="12.75">
      <c r="A76" s="435"/>
      <c r="B76" s="563"/>
    </row>
    <row r="77" spans="1:2" s="500" customFormat="1" ht="12.75">
      <c r="A77" s="435"/>
      <c r="B77" s="563"/>
    </row>
    <row r="78" spans="1:2" s="500" customFormat="1" ht="12.75">
      <c r="A78" s="435"/>
      <c r="B78" s="563"/>
    </row>
    <row r="79" spans="1:2" s="500" customFormat="1" ht="12.75">
      <c r="A79" s="435"/>
      <c r="B79" s="563"/>
    </row>
    <row r="80" spans="1:2" s="500" customFormat="1" ht="12.75">
      <c r="A80" s="435"/>
      <c r="B80" s="563"/>
    </row>
    <row r="81" spans="1:2" s="500" customFormat="1" ht="12.75">
      <c r="A81" s="435"/>
      <c r="B81" s="563"/>
    </row>
    <row r="82" spans="1:2" s="500" customFormat="1" ht="12.75">
      <c r="A82" s="435"/>
      <c r="B82" s="563"/>
    </row>
    <row r="83" spans="1:2" s="500" customFormat="1" ht="12.75">
      <c r="A83" s="435"/>
      <c r="B83" s="563"/>
    </row>
    <row r="84" spans="1:2" s="500" customFormat="1" ht="12.75">
      <c r="A84" s="435"/>
      <c r="B84" s="563"/>
    </row>
    <row r="85" spans="1:2" s="500" customFormat="1" ht="12.75">
      <c r="A85" s="435"/>
      <c r="B85" s="563"/>
    </row>
    <row r="86" spans="1:2" s="500" customFormat="1" ht="12.75">
      <c r="A86" s="435"/>
      <c r="B86" s="563"/>
    </row>
    <row r="87" spans="1:2" s="500" customFormat="1" ht="12.75">
      <c r="A87" s="435"/>
      <c r="B87" s="563"/>
    </row>
    <row r="88" spans="1:2" s="500" customFormat="1" ht="12.75">
      <c r="A88" s="435"/>
      <c r="B88" s="563"/>
    </row>
    <row r="89" spans="1:2" s="500" customFormat="1" ht="12.75">
      <c r="A89" s="435"/>
      <c r="B89" s="563"/>
    </row>
    <row r="90" spans="1:2" s="500" customFormat="1" ht="12.75">
      <c r="A90" s="435"/>
      <c r="B90" s="563"/>
    </row>
    <row r="91" spans="1:2" s="500" customFormat="1" ht="12.75">
      <c r="A91" s="435"/>
      <c r="B91" s="563"/>
    </row>
    <row r="92" spans="1:2" s="500" customFormat="1" ht="12.75">
      <c r="A92" s="435"/>
      <c r="B92" s="563"/>
    </row>
    <row r="93" spans="1:2" s="500" customFormat="1" ht="12.75">
      <c r="A93" s="435"/>
      <c r="B93" s="563"/>
    </row>
    <row r="94" spans="1:2" s="500" customFormat="1" ht="12.75">
      <c r="A94" s="435"/>
      <c r="B94" s="563"/>
    </row>
    <row r="95" spans="1:2" s="500" customFormat="1" ht="12.75">
      <c r="A95" s="435"/>
      <c r="B95" s="563"/>
    </row>
    <row r="96" spans="1:2" s="500" customFormat="1" ht="12.75">
      <c r="A96" s="435"/>
      <c r="B96" s="563"/>
    </row>
    <row r="97" spans="1:2" s="500" customFormat="1" ht="12.75">
      <c r="A97" s="435"/>
      <c r="B97" s="563"/>
    </row>
    <row r="98" spans="1:2" s="500" customFormat="1" ht="12.75">
      <c r="A98" s="435"/>
      <c r="B98" s="563"/>
    </row>
    <row r="99" spans="1:2" s="500" customFormat="1" ht="12.75">
      <c r="A99" s="435"/>
      <c r="B99" s="563"/>
    </row>
    <row r="100" spans="1:2" s="500" customFormat="1" ht="12.75">
      <c r="A100" s="435"/>
      <c r="B100" s="563"/>
    </row>
    <row r="101" spans="1:2" s="500" customFormat="1" ht="12.75">
      <c r="A101" s="435"/>
      <c r="B101" s="563"/>
    </row>
    <row r="102" spans="1:2" s="500" customFormat="1" ht="12.75">
      <c r="A102" s="435"/>
      <c r="B102" s="563"/>
    </row>
    <row r="103" spans="1:2" s="500" customFormat="1" ht="12.75">
      <c r="A103" s="435"/>
      <c r="B103" s="563"/>
    </row>
    <row r="104" spans="1:2" s="500" customFormat="1" ht="12.75">
      <c r="A104" s="435"/>
      <c r="B104" s="563"/>
    </row>
  </sheetData>
  <sheetProtection password="C281" sheet="1" objects="1" scenarios="1"/>
  <mergeCells count="2">
    <mergeCell ref="H15:H16"/>
    <mergeCell ref="H17:H18"/>
  </mergeCells>
  <printOptions/>
  <pageMargins left="0.3937007874015748" right="0.3937007874015748" top="0.3937007874015748" bottom="0.3937007874015748" header="0.5118110236220472" footer="0.5118110236220472"/>
  <pageSetup horizontalDpi="300" verticalDpi="300" orientation="landscape" paperSize="9" scale="95" r:id="rId2"/>
  <ignoredErrors>
    <ignoredError sqref="I19" formula="1"/>
  </ignoredErrors>
  <drawing r:id="rId1"/>
</worksheet>
</file>

<file path=xl/worksheets/sheet4.xml><?xml version="1.0" encoding="utf-8"?>
<worksheet xmlns="http://schemas.openxmlformats.org/spreadsheetml/2006/main" xmlns:r="http://schemas.openxmlformats.org/officeDocument/2006/relationships">
  <sheetPr codeName="Blad4"/>
  <dimension ref="A1:I85"/>
  <sheetViews>
    <sheetView showGridLines="0" zoomScale="86" zoomScaleNormal="86" workbookViewId="0" topLeftCell="A1">
      <selection activeCell="B5" sqref="B5"/>
    </sheetView>
  </sheetViews>
  <sheetFormatPr defaultColWidth="9.140625" defaultRowHeight="12.75"/>
  <cols>
    <col min="1" max="1" width="5.7109375" style="565" customWidth="1"/>
    <col min="2" max="2" width="100.140625" style="526" customWidth="1"/>
    <col min="3" max="3" width="21.421875" style="526" customWidth="1"/>
    <col min="4" max="4" width="7.7109375" style="526" customWidth="1"/>
    <col min="5" max="5" width="6.8515625" style="526" customWidth="1"/>
    <col min="6" max="16384" width="9.140625" style="526" customWidth="1"/>
  </cols>
  <sheetData>
    <row r="1" spans="1:5" s="453" customFormat="1" ht="15.75" customHeight="1">
      <c r="A1" s="455"/>
      <c r="B1" s="456"/>
      <c r="C1" s="472"/>
      <c r="E1" s="456"/>
    </row>
    <row r="2" spans="1:5" s="515" customFormat="1" ht="15.75" customHeight="1">
      <c r="A2" s="622" t="str">
        <f>Inhoud!$A$2</f>
        <v>Nacalculatieformulier 2004 GGZ-instellingen</v>
      </c>
      <c r="B2" s="546"/>
      <c r="C2" s="591"/>
      <c r="D2" s="591"/>
      <c r="E2" s="1302">
        <f>Inhoud!$I$2+1</f>
        <v>3</v>
      </c>
    </row>
    <row r="3" spans="4:9" ht="12" customHeight="1">
      <c r="D3" s="561"/>
      <c r="I3" s="456"/>
    </row>
    <row r="4" spans="1:5" s="456" customFormat="1" ht="12">
      <c r="A4" s="41" t="s">
        <v>213</v>
      </c>
      <c r="B4" s="42"/>
      <c r="C4" s="42"/>
      <c r="D4" s="42"/>
      <c r="E4" s="42"/>
    </row>
    <row r="5" spans="1:5" s="456" customFormat="1" ht="12">
      <c r="A5" s="41"/>
      <c r="B5" s="42"/>
      <c r="C5" s="42"/>
      <c r="D5" s="42"/>
      <c r="E5" s="42"/>
    </row>
    <row r="6" spans="1:5" s="456" customFormat="1" ht="12">
      <c r="A6" s="41"/>
      <c r="B6" s="47" t="s">
        <v>455</v>
      </c>
      <c r="C6" s="42"/>
      <c r="D6" s="42"/>
      <c r="E6" s="42"/>
    </row>
    <row r="7" spans="1:7" s="456" customFormat="1" ht="36" customHeight="1">
      <c r="A7" s="1481" t="str">
        <f>CONCATENATE("1. Omdat de regels voor de ggz sectoren  psychiatrische ziekenhuizen, Riagg's, Ribw's en Paaz-en zijn geharmoniseerd is voor een gecombineerd nacalculatieformulier gekozen.  Zelfstandige Riagg's / Ribw's en Paaz-en behoeven ",Inhoud!A23," (met uitzondering van regel ",'Rentecalc.'!A31,")"," niet in te vullen.")</f>
        <v>1. Omdat de regels voor de ggz sectoren  psychiatrische ziekenhuizen, Riagg's, Ribw's en Paaz-en zijn geharmoniseerd is voor een gecombineerd nacalculatieformulier gekozen.  Zelfstandige Riagg's / Ribw's en Paaz-en behoeven RUBRIEK 3: KAPITAALSLASTEN (met uitzondering van regel 2118) niet in te vullen.</v>
      </c>
      <c r="B7" s="1481"/>
      <c r="C7" s="1481"/>
      <c r="D7" s="1481"/>
      <c r="E7" s="1481"/>
      <c r="F7" s="1017"/>
      <c r="G7" s="1017"/>
    </row>
    <row r="8" spans="1:5" s="456" customFormat="1" ht="27" customHeight="1">
      <c r="A8" s="1474" t="str">
        <f>CONCATENATE("2. Het elektronische formulier is beveiligd met een wachtwoord. Dit betekent dat in het formulier geen veranderingen kunnen worden aangebracht. ","Als toch de wens of de noodzaak bestaat om van het formulier af te wijken, dan kunt u dit verwerken onder de overige mutaties op regel ",Mutaties!A19,".")</f>
        <v>2. Het elektronische formulier is beveiligd met een wachtwoord. Dit betekent dat in het formulier geen veranderingen kunnen worden aangebracht. Als toch de wens of de noodzaak bestaat om van het formulier af te wijken, dan kunt u dit verwerken onder de overige mutaties op regel 2011.</v>
      </c>
      <c r="B8" s="1475"/>
      <c r="C8" s="1475"/>
      <c r="D8" s="1475"/>
      <c r="E8" s="1475"/>
    </row>
    <row r="9" spans="1:5" s="456" customFormat="1" ht="12">
      <c r="A9" s="611"/>
      <c r="B9" s="611"/>
      <c r="C9" s="611"/>
      <c r="D9" s="611"/>
      <c r="E9" s="611"/>
    </row>
    <row r="10" spans="1:5" s="456" customFormat="1" ht="12">
      <c r="A10" s="623" t="str">
        <f>Productie!A5</f>
        <v>1.1</v>
      </c>
      <c r="B10" s="624" t="str">
        <f>Productie!B5</f>
        <v>Nacalculatie productie instelling</v>
      </c>
      <c r="C10" s="611"/>
      <c r="D10" s="611"/>
      <c r="E10" s="611"/>
    </row>
    <row r="11" spans="1:5" s="456" customFormat="1" ht="47.25" customHeight="1">
      <c r="A11" s="1481" t="str">
        <f>CONCATENATE("Voor de definitieve nacalculatie van de gerealiseerde productie is een overzicht in het nacalculatieformulier opgenomen. Op de open regels ",Productie!A118," tot en met ",Productie!A121," kunnen eventuele andere lumpsumbedragen, die onder de productiekosten van het budget zijn opgenomen, worden vermeld."," Op deze regels niet het bedrag opnemen, dat in het budget is vermeld onder de loonkosten bij nacalculatie productie."," Volledigheidshalve wordt opgemerkt dat bij de berekening van de productiewaarde van de kliniek moet worden uitgegaan van aantallen dagen inclusief afwezigheidsdagen")</f>
        <v>Voor de definitieve nacalculatie van de gerealiseerde productie is een overzicht in het nacalculatieformulier opgenomen. Op de open regels 922 tot en met 925 kunnen eventuele andere lumpsumbedragen, die onder de productiekosten van het budget zijn opgenomen, worden vermeld. Op deze regels niet het bedrag opnemen, dat in het budget is vermeld onder de loonkosten bij nacalculatie productie. Volledigheidshalve wordt opgemerkt dat bij de berekening van de productiewaarde van de kliniek moet worden uitgegaan van aantallen dagen inclusief afwezigheidsdagen</v>
      </c>
      <c r="B11" s="1481"/>
      <c r="C11" s="1481"/>
      <c r="D11" s="1481"/>
      <c r="E11" s="1481"/>
    </row>
    <row r="12" spans="1:5" s="456" customFormat="1" ht="12" customHeight="1">
      <c r="A12" s="611"/>
      <c r="B12" s="460" t="s">
        <v>934</v>
      </c>
      <c r="C12" s="611"/>
      <c r="D12" s="611"/>
      <c r="E12" s="611"/>
    </row>
    <row r="13" spans="1:5" s="456" customFormat="1" ht="55.5" customHeight="1">
      <c r="A13" s="1476" t="s">
        <v>622</v>
      </c>
      <c r="B13" s="1476"/>
      <c r="C13" s="1476"/>
      <c r="D13" s="1476"/>
      <c r="E13" s="1476"/>
    </row>
    <row r="14" spans="1:5" s="456" customFormat="1" ht="12">
      <c r="A14" s="626" t="str">
        <f>Opbrengsten!A69</f>
        <v>2.9</v>
      </c>
      <c r="B14" s="626" t="str">
        <f>CONCATENATE(Opbrengsten!B69," (Beleidsregel III-822/835)")</f>
        <v>Aanvullende inkomsten (Beleidsregel III-822/835)</v>
      </c>
      <c r="C14" s="625"/>
      <c r="D14" s="625"/>
      <c r="E14" s="625"/>
    </row>
    <row r="15" spans="1:5" s="456" customFormat="1" ht="40.5" customHeight="1">
      <c r="A15" s="1481" t="s">
        <v>545</v>
      </c>
      <c r="B15" s="1481"/>
      <c r="C15" s="1481"/>
      <c r="D15" s="1481"/>
      <c r="E15" s="1481"/>
    </row>
    <row r="16" spans="1:5" s="456" customFormat="1" ht="13.5" customHeight="1">
      <c r="A16" s="626" t="str">
        <f>Opbrengsten!H56</f>
        <v>2.12</v>
      </c>
      <c r="B16" s="624" t="str">
        <f>Opbrengsten!I56</f>
        <v>Door zorgkantoor met het voorschot te verrekenen bedragen</v>
      </c>
      <c r="C16" s="625"/>
      <c r="D16" s="625"/>
      <c r="E16" s="625"/>
    </row>
    <row r="17" spans="1:5" s="456" customFormat="1" ht="48.75" customHeight="1">
      <c r="A17" s="1475" t="s">
        <v>642</v>
      </c>
      <c r="B17" s="1475"/>
      <c r="C17" s="1475"/>
      <c r="D17" s="1475"/>
      <c r="E17" s="1475"/>
    </row>
    <row r="18" spans="1:5" s="456" customFormat="1" ht="12">
      <c r="A18" s="41" t="str">
        <f>Afschrijvingen!A7</f>
        <v>3.1</v>
      </c>
      <c r="B18" s="41" t="str">
        <f>Afschrijvingen!B7</f>
        <v>Nacalculeerbare afschrijvingskosten</v>
      </c>
      <c r="C18" s="628"/>
      <c r="D18" s="629"/>
      <c r="E18" s="628"/>
    </row>
    <row r="19" spans="1:8" ht="59.25" customHeight="1">
      <c r="A19" s="1483" t="str">
        <f>CONCATENATE("In het overzicht van de nacalculeerbare afschrijvingskosten worden in de kolom 'Afschrijvingen nieuw' de afschrijvingskosten opgenomen van nieuwe investeringen. Onder doorwerking ",Voorblad!E3-1," worden de afschrijvingskosten vermeld van in ",Voorblad!E3-1," in gebruik genomen investeringen, waarvan de afschrijvingskosten in ",Voorblad!E3-1," nog niet of niet voor een volledig jaar in de kolom  'Afschrijving nacalculatie ",Voorblad!E3-1,"' zijn verwerkt. Onder ",Voorblad!E3," komen de afschrijvingskosten van investeringen die in ",Voorblad!E3," in gebruik zijn genomen. De specificatie van deze nieuwe investeringen en afschrijvingskosten dient te worden opgenomen in het overzicht ' Specificatie in gebruik genomen nacalculeerbare investeringen'. ")</f>
        <v>In het overzicht van de nacalculeerbare afschrijvingskosten worden in de kolom 'Afschrijvingen nieuw' de afschrijvingskosten opgenomen van nieuwe investeringen. Onder doorwerking 2003 worden de afschrijvingskosten vermeld van in 2003 in gebruik genomen investeringen, waarvan de afschrijvingskosten in 2003 nog niet of niet voor een volledig jaar in de kolom  'Afschrijving nacalculatie 2003' zijn verwerkt. Onder 2004 komen de afschrijvingskosten van investeringen die in 2004 in gebruik zijn genomen. De specificatie van deze nieuwe investeringen en afschrijvingskosten dient te worden opgenomen in het overzicht ' Specificatie in gebruik genomen nacalculeerbare investeringen'. </v>
      </c>
      <c r="B19" s="1481"/>
      <c r="C19" s="1481"/>
      <c r="D19" s="1481"/>
      <c r="E19" s="1481"/>
      <c r="G19" s="456"/>
      <c r="H19" s="456"/>
    </row>
    <row r="20" spans="1:8" ht="12" customHeight="1">
      <c r="A20" s="41" t="str">
        <f>Afschrijvingen!A28</f>
        <v>3.2</v>
      </c>
      <c r="B20" s="41" t="str">
        <f>Afschrijvingen!B28</f>
        <v>Niet-nacalculeerbare afschrijvingskosten</v>
      </c>
      <c r="C20" s="981"/>
      <c r="D20" s="981"/>
      <c r="E20" s="981"/>
      <c r="G20" s="456"/>
      <c r="H20" s="456"/>
    </row>
    <row r="21" spans="1:8" ht="44.25" customHeight="1">
      <c r="A21" s="1483" t="s">
        <v>272</v>
      </c>
      <c r="B21" s="1481"/>
      <c r="C21" s="1481"/>
      <c r="D21" s="1481"/>
      <c r="E21" s="1481"/>
      <c r="G21" s="456"/>
      <c r="H21" s="456"/>
    </row>
    <row r="22" spans="1:8" ht="11.25" customHeight="1">
      <c r="A22" s="41" t="str">
        <f>WZV!A68</f>
        <v>3.4</v>
      </c>
      <c r="B22" s="94" t="str">
        <f>WZV!B68</f>
        <v>Specificatie verkochte activa</v>
      </c>
      <c r="C22" s="981"/>
      <c r="D22" s="981"/>
      <c r="E22" s="981"/>
      <c r="G22" s="456"/>
      <c r="H22" s="456"/>
    </row>
    <row r="23" spans="1:8" ht="33" customHeight="1">
      <c r="A23" s="1483" t="s">
        <v>617</v>
      </c>
      <c r="B23" s="1481"/>
      <c r="C23" s="1481"/>
      <c r="D23" s="1481"/>
      <c r="E23" s="1481"/>
      <c r="G23" s="456"/>
      <c r="H23" s="456"/>
    </row>
    <row r="24" spans="1:8" ht="15.75" customHeight="1">
      <c r="A24" s="1289"/>
      <c r="B24" s="981"/>
      <c r="C24" s="472"/>
      <c r="D24" s="453"/>
      <c r="E24" s="981"/>
      <c r="G24" s="456"/>
      <c r="H24" s="456"/>
    </row>
    <row r="25" spans="1:5" s="515" customFormat="1" ht="15.75" customHeight="1">
      <c r="A25" s="622" t="str">
        <f>Inhoud!$A$2</f>
        <v>Nacalculatieformulier 2004 GGZ-instellingen</v>
      </c>
      <c r="B25" s="546"/>
      <c r="C25" s="591"/>
      <c r="D25" s="591"/>
      <c r="E25" s="1302">
        <f>E2+1</f>
        <v>4</v>
      </c>
    </row>
    <row r="26" spans="1:5" ht="12" customHeight="1">
      <c r="A26" s="1289"/>
      <c r="B26" s="981"/>
      <c r="C26" s="981"/>
      <c r="D26" s="981"/>
      <c r="E26" s="981"/>
    </row>
    <row r="27" spans="1:5" ht="12" customHeight="1">
      <c r="A27" s="41" t="str">
        <f>Instandhouding!A29</f>
        <v>3.6</v>
      </c>
      <c r="B27" s="41" t="str">
        <f>CONCATENATE(Instandhouding!B29," (Beleidsregel III-836.)")</f>
        <v>Instandhoudingsinvesteringen (Beleidsregel III-836.)</v>
      </c>
      <c r="C27" s="933"/>
      <c r="D27" s="933"/>
      <c r="E27" s="933"/>
    </row>
    <row r="28" spans="1:5" ht="45" customHeight="1">
      <c r="A28" s="1483" t="str">
        <f>CONCATENATE("U dient eerst de opgebouwde en nog beschikbare jaarlijkse investeringsruimte volledig te benutten, alvorens u uw trekkingsrechten kunt aanspreken voor incidentele instandhoudingsinvesteringen. Als het totale investeringsbedrag van ",Instandhouding!A29," (getotaliseerd op regel ",Instandhouding!A37,") groter is dan de ruimte voor jaarlijkse investeringen (regel ",Instandhouding!A36,", kolom ´jaarlijks´) dient u op regel ",Instandhouding!A38," in de kolom ´incidenteel´ het verschil tussen beide bedragen in te vullen, met als maximum de incidentele investeringsruimte (regel ",Instandhouding!A36,", kolom ´incidenteel´).")</f>
        <v>U dient eerst de opgebouwde en nog beschikbare jaarlijkse investeringsruimte volledig te benutten, alvorens u uw trekkingsrechten kunt aanspreken voor incidentele instandhoudingsinvesteringen. Als het totale investeringsbedrag van 3.6 (getotaliseerd op regel 1627) groter is dan de ruimte voor jaarlijkse investeringen (regel 1626, kolom ´jaarlijks´) dient u op regel 1628 in de kolom ´incidenteel´ het verschil tussen beide bedragen in te vullen, met als maximum de incidentele investeringsruimte (regel 1626, kolom ´incidenteel´).</v>
      </c>
      <c r="B28" s="1486"/>
      <c r="C28" s="1486"/>
      <c r="D28" s="1486"/>
      <c r="E28" s="1486"/>
    </row>
    <row r="29" spans="1:5" s="515" customFormat="1" ht="11.25" customHeight="1">
      <c r="A29" s="41" t="str">
        <f>Instandhouding!A46</f>
        <v>3.7</v>
      </c>
      <c r="B29" s="41" t="str">
        <f>Instandhouding!B46</f>
        <v>Specificatie inbrengverplichting</v>
      </c>
      <c r="C29" s="981"/>
      <c r="D29" s="981"/>
      <c r="E29" s="981"/>
    </row>
    <row r="30" spans="1:5" s="515" customFormat="1" ht="50.25" customHeight="1">
      <c r="A30" s="1473" t="str">
        <f>CONCATENATE("In 2002 heeft het Bouwcollege een aanvang gemaakt met de vaststelling van bedragen van de inbrengverplichting. Deze bedragen moeten door het CTG/ZAio in mindering worden gebracht op de opgebouwde trekkingsrechten."," U wordt verzocht in dit overzicht de gegevens te vermelden van de brieven die u in ",Voorblad!E3," hierover heeft ontvangen. In deze brieven kunt u ook het prijspeil waarop de inbrengverplichting is berekend terugvinden. ","De index die bij deze peildatum hoort dient u eveneens in dit overzicht te vermelden.")</f>
        <v>In 2002 heeft het Bouwcollege een aanvang gemaakt met de vaststelling van bedragen van de inbrengverplichting. Deze bedragen moeten door het CTG/ZAio in mindering worden gebracht op de opgebouwde trekkingsrechten. U wordt verzocht in dit overzicht de gegevens te vermelden van de brieven die u in 2004 hierover heeft ontvangen. In deze brieven kunt u ook het prijspeil waarop de inbrengverplichting is berekend terugvinden. De index die bij deze peildatum hoort dient u eveneens in dit overzicht te vermelden.</v>
      </c>
      <c r="B30" s="1479"/>
      <c r="C30" s="1479"/>
      <c r="D30" s="1479"/>
      <c r="E30" s="1479"/>
    </row>
    <row r="31" spans="1:5" s="515" customFormat="1" ht="12.75" customHeight="1">
      <c r="A31" s="41" t="str">
        <f>'Overige kap.lasten '!A19</f>
        <v>3.11.1</v>
      </c>
      <c r="B31" s="41" t="str">
        <f>'Overige kap.lasten '!B19</f>
        <v>Niet-geïndexeerde huren 2004</v>
      </c>
      <c r="C31" s="933"/>
      <c r="D31" s="933"/>
      <c r="E31" s="933"/>
    </row>
    <row r="32" spans="1:5" s="515" customFormat="1" ht="36.75" customHeight="1">
      <c r="A32" s="1483" t="s">
        <v>885</v>
      </c>
      <c r="B32" s="1480"/>
      <c r="C32" s="1480"/>
      <c r="D32" s="1480"/>
      <c r="E32" s="1480"/>
    </row>
    <row r="33" spans="1:5" s="515" customFormat="1" ht="12.75" customHeight="1">
      <c r="A33" s="41" t="str">
        <f>'Overige kap.lasten '!A43</f>
        <v>3.11.2</v>
      </c>
      <c r="B33" s="41" t="str">
        <f>'Overige kap.lasten '!B43</f>
        <v>Geïndexeerde huren 2004</v>
      </c>
      <c r="C33" s="933"/>
      <c r="D33" s="933"/>
      <c r="E33" s="933"/>
    </row>
    <row r="34" spans="1:5" s="515" customFormat="1" ht="51" customHeight="1">
      <c r="A34" s="1483" t="s">
        <v>618</v>
      </c>
      <c r="B34" s="1480"/>
      <c r="C34" s="1480"/>
      <c r="D34" s="1480"/>
      <c r="E34" s="1480"/>
    </row>
    <row r="35" spans="1:5" s="515" customFormat="1" ht="12" customHeight="1">
      <c r="A35" s="41"/>
      <c r="B35" s="41" t="str">
        <f>'Rentecalc.'!A6</f>
        <v>CALCULATIEMODEL RENTEKOSTEN</v>
      </c>
      <c r="C35" s="633"/>
      <c r="D35" s="633"/>
      <c r="E35" s="634"/>
    </row>
    <row r="36" spans="1:5" s="515" customFormat="1" ht="45.75" customHeight="1">
      <c r="A36" s="1477" t="str">
        <f>CONCATENATE("De berekening van de rentekosten is conform het protocol voor evenwichtig balansbeheer. Op regel ",'Rentecalc.'!A23," wordt berekend welk bedrag de instelling 'teveel' kort heeft gefinancierd. Over dit bedrag wordt een rentecorrectie berekend van 1,5%.")</f>
        <v>De berekening van de rentekosten is conform het protocol voor evenwichtig balansbeheer. Op regel 2112 wordt berekend welk bedrag de instelling 'teveel' kort heeft gefinancierd. Over dit bedrag wordt een rentecorrectie berekend van 1,5%.</v>
      </c>
      <c r="B36" s="1478"/>
      <c r="C36" s="1478"/>
      <c r="D36" s="1478"/>
      <c r="E36" s="1478"/>
    </row>
    <row r="37" spans="1:5" s="515" customFormat="1" ht="12" customHeight="1">
      <c r="A37" s="41" t="str">
        <f>'A-E'!A6</f>
        <v>A. </v>
      </c>
      <c r="B37" s="41" t="str">
        <f>'A-E'!B6</f>
        <v>Boekwaarde investeringen waarvoor vergunning is verleend</v>
      </c>
      <c r="C37" s="631"/>
      <c r="D37" s="631"/>
      <c r="E37" s="631"/>
    </row>
    <row r="38" spans="1:5" s="515" customFormat="1" ht="58.5" customHeight="1">
      <c r="A38" s="1483" t="str">
        <f>CONCATENATE("Op regel ",'A-E'!A9," dient u de samenstelling van de boekwaarde per 31 december  ",Voorblad!E3-1," volgens de jaarrekening op te nemen. Deze gegevens zijn exclusief de kosten voor onderhanden projecten van normale WZV-procedures. Op regel ",'A-E'!A11," t/m ",'A-E'!A22," vermeldt u in de eerste kolom de aanschafwaarde van (des)investeringen die in ",Voorblad!E3,"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2201 dient u de samenstelling van de boekwaarde per 31 december  2003 volgens de jaarrekening op te nemen. Deze gegevens zijn exclusief de kosten voor onderhanden projecten van normale WZV-procedures. Op regel 2203 t/m 2214 vermeldt u in de eerste kolom de aanschafwaarde van (des)investeringen die in 2004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38" s="1481"/>
      <c r="C38" s="1481"/>
      <c r="D38" s="1481"/>
      <c r="E38" s="1481"/>
    </row>
    <row r="39" spans="1:5" s="515" customFormat="1" ht="12" customHeight="1">
      <c r="A39" s="41" t="str">
        <f>'A-E'!A50</f>
        <v>B.</v>
      </c>
      <c r="B39" s="94" t="str">
        <f>'A-E'!B50</f>
        <v>Onderhanden bouwprojecten  met WZV vergunning (geen investeringen meldingsregeling)</v>
      </c>
      <c r="C39" s="636"/>
      <c r="D39" s="636"/>
      <c r="E39" s="42"/>
    </row>
    <row r="40" spans="1:5" s="515" customFormat="1" ht="50.25" customHeight="1">
      <c r="A40" s="1481" t="str">
        <f>CONCATENATE("Op regel ",'A-E'!A54," dient u in de eerste kolom de kosten voor onderhanden projecten van WZV-vergunningen per 31 december ",Voorblad!E3-1," volgens de jaarrekening op te nemen. U kunt de bedragen vermelden in de maand waarin het uitgevoerde werk is gefactureerd."," In de factor wordt rekening gehouden met een betalingstermijn van 1 maand. In de tweede kolom vult u de onderhanden WZV-investeringen in die in ",Voorblad!E3," in gebruik zijn genomen. ")</f>
        <v>Op regel 2301 dient u in de eerste kolom de kosten voor onderhanden projecten van WZV-vergunningen per 31 december 2003 volgens de jaarrekening op te nemen. U kunt de bedragen vermelden in de maand waarin het uitgevoerde werk is gefactureerd. In de factor wordt rekening gehouden met een betalingstermijn van 1 maand. In de tweede kolom vult u de onderhanden WZV-investeringen in die in 2004 in gebruik zijn genomen. </v>
      </c>
      <c r="B40" s="1481"/>
      <c r="C40" s="1481"/>
      <c r="D40" s="1481"/>
      <c r="E40" s="1481"/>
    </row>
    <row r="41" spans="1:5" ht="12">
      <c r="A41" s="41" t="str">
        <f>'A-E'!A96</f>
        <v>C. </v>
      </c>
      <c r="B41" s="41" t="str">
        <f>'A-E'!B96</f>
        <v>Werkelijke boekwaarde instandhoudingsinvesteringen (inclusief onderhanden werk)</v>
      </c>
      <c r="C41" s="636"/>
      <c r="D41" s="636"/>
      <c r="E41" s="42"/>
    </row>
    <row r="42" spans="1:5" ht="59.25" customHeight="1">
      <c r="A42" s="1474" t="str">
        <f>CONCATENATE("Op regel ",'A-E'!A99," dient u de samenstelling van de boekwaarde per 31 december ",Voorblad!E3-1," volgens de jaarrekening op te nemen. Voor instandhoudingsinvesteringen in uitvoering zijn twee varianten mogelijk."," U kunt er voor kiezen de investeringskosten aan het eind van het jaar direct te activeren en de afschrijving daarop in ",Voorblad!E3," te starten. U kunt er ook voor kiezen de investeringskosten te boeken op onderhanden werk. Alleen als u kiest voor de laatste variant dienen de regels ",'A-E'!A101," en ",'A-E'!A115," te worden ingevuld. Evenals in overzicht B wordt ook hier in de toegepaste factoren rekening gehouden met een betalingstermijn van 1 maand.")</f>
        <v>Op regel 2401 dient u de samenstelling van de boekwaarde per 31 december 2003 volgens de jaarrekening op te nemen. Voor instandhoudingsinvesteringen in uitvoering zijn twee varianten mogelijk. U kunt er voor kiezen de investeringskosten aan het eind van het jaar direct te activeren en de afschrijving daarop in 2004 te starten. U kunt er ook voor kiezen de investeringskosten te boeken op onderhanden werk. Alleen als u kiest voor de laatste variant dienen de regels 2403 en 2417 te worden ingevuld. Evenals in overzicht B wordt ook hier in de toegepaste factoren rekening gehouden met een betalingstermijn van 1 maand.</v>
      </c>
      <c r="B42" s="1475"/>
      <c r="C42" s="1475"/>
      <c r="D42" s="1475"/>
      <c r="E42" s="1475"/>
    </row>
    <row r="43" ht="15" customHeight="1"/>
    <row r="44" s="456" customFormat="1" ht="15.75" customHeight="1">
      <c r="A44" s="455"/>
    </row>
    <row r="45" s="456" customFormat="1" ht="12" hidden="1">
      <c r="A45" s="455" t="s">
        <v>240</v>
      </c>
    </row>
    <row r="46" s="456" customFormat="1" ht="12" hidden="1">
      <c r="A46" s="455" t="s">
        <v>241</v>
      </c>
    </row>
    <row r="47" s="456" customFormat="1" ht="12" hidden="1">
      <c r="A47" s="455" t="s">
        <v>242</v>
      </c>
    </row>
    <row r="48" s="456" customFormat="1" ht="12" hidden="1">
      <c r="A48" s="455" t="s">
        <v>243</v>
      </c>
    </row>
    <row r="49" s="456" customFormat="1" ht="12" hidden="1">
      <c r="A49" s="455" t="s">
        <v>244</v>
      </c>
    </row>
    <row r="50" s="456" customFormat="1" ht="12" hidden="1">
      <c r="A50" s="455" t="s">
        <v>245</v>
      </c>
    </row>
    <row r="51" s="456" customFormat="1" ht="12" hidden="1">
      <c r="A51" s="455" t="s">
        <v>246</v>
      </c>
    </row>
    <row r="52" s="456" customFormat="1" ht="12" hidden="1">
      <c r="A52" s="455" t="s">
        <v>247</v>
      </c>
    </row>
    <row r="53" s="456" customFormat="1" ht="12" hidden="1">
      <c r="A53" s="455" t="s">
        <v>248</v>
      </c>
    </row>
    <row r="54" s="456" customFormat="1" ht="12" hidden="1">
      <c r="A54" s="455" t="s">
        <v>249</v>
      </c>
    </row>
    <row r="55" s="456" customFormat="1" ht="12" hidden="1">
      <c r="A55" s="455" t="s">
        <v>250</v>
      </c>
    </row>
    <row r="56" s="456" customFormat="1" ht="12" hidden="1">
      <c r="A56" s="455" t="s">
        <v>251</v>
      </c>
    </row>
    <row r="57" spans="1:5" s="456" customFormat="1" ht="15.75" customHeight="1">
      <c r="A57" s="622" t="str">
        <f>Inhoud!$A$2</f>
        <v>Nacalculatieformulier 2004 GGZ-instellingen</v>
      </c>
      <c r="B57" s="546"/>
      <c r="C57" s="591"/>
      <c r="D57" s="591"/>
      <c r="E57" s="1302">
        <f>E25+1</f>
        <v>5</v>
      </c>
    </row>
    <row r="58" spans="1:5" s="456" customFormat="1" ht="15.75" customHeight="1">
      <c r="A58" s="635"/>
      <c r="B58" s="516"/>
      <c r="C58" s="620"/>
      <c r="D58" s="620"/>
      <c r="E58" s="634"/>
    </row>
    <row r="59" spans="1:5" s="456" customFormat="1" ht="15.75" customHeight="1">
      <c r="A59" s="41" t="str">
        <f>'A-E'!A74</f>
        <v>D. </v>
      </c>
      <c r="B59" s="41" t="str">
        <f>'A-E'!B74</f>
        <v>Normatieve boekwaarde medische en overige inventarissen</v>
      </c>
      <c r="C59" s="611"/>
      <c r="D59" s="611"/>
      <c r="E59" s="611"/>
    </row>
    <row r="60" spans="1:5" s="456" customFormat="1" ht="31.5" customHeight="1">
      <c r="A60" s="1481" t="str">
        <f>CONCATENATE("U dient hier de afschrijvingen volgens de laatste rekenstaat ",Voorblad!E3," in te vullen en deze vervolgens te vermenigvuldigen met de aangegeven factor. Het resultaat is de normatieve boekwaarde van medische en overige inventarissen. ")</f>
        <v>U dient hier de afschrijvingen volgens de laatste rekenstaat 2004 in te vullen en deze vervolgens te vermenigvuldigen met de aangegeven factor. Het resultaat is de normatieve boekwaarde van medische en overige inventarissen. </v>
      </c>
      <c r="B60" s="1481"/>
      <c r="C60" s="1481"/>
      <c r="D60" s="1481"/>
      <c r="E60" s="1481"/>
    </row>
    <row r="61" spans="1:5" ht="13.5" customHeight="1">
      <c r="A61" s="41" t="str">
        <f>'A-E'!A131</f>
        <v>E.</v>
      </c>
      <c r="B61" s="41" t="str">
        <f>'A-E'!B131</f>
        <v>Normatief werkkapitaal</v>
      </c>
      <c r="C61" s="611"/>
      <c r="D61" s="611"/>
      <c r="E61" s="611"/>
    </row>
    <row r="62" spans="1:5" ht="33.75" customHeight="1">
      <c r="A62" s="1475" t="str">
        <f>CONCATENATE("Regel ",'A-E'!A135,"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f>
        <v>Regel 2424 is alleen van toepassing op instellingen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v>
      </c>
      <c r="B62" s="1475"/>
      <c r="C62" s="1475"/>
      <c r="D62" s="1475"/>
      <c r="E62" s="1475"/>
    </row>
    <row r="63" spans="1:5" s="456" customFormat="1" ht="12">
      <c r="A63" s="41" t="str">
        <f>F!A4</f>
        <v>F. </v>
      </c>
      <c r="B63" s="41" t="str">
        <f>F!B4</f>
        <v>Langlopende leningen (incl. langlopende leasecontracten)</v>
      </c>
      <c r="C63" s="630"/>
      <c r="D63" s="630"/>
      <c r="E63" s="42"/>
    </row>
    <row r="64" spans="1:5" s="456" customFormat="1" ht="27.75" customHeight="1">
      <c r="A64" s="1481" t="str">
        <f>CONCATENATE("1. In de kolom 'Datum normrente' moet voor leningen die in ",Voorblad!E3," zijn afgesloten de datum worden vermeld waarop het berekende normpercentage is vastgesteld. Dit is de datum waarop de leningsovereenkomst tot stand is gekomen.")</f>
        <v>1. In de kolom 'Datum normrente' moet voor leningen die in 2004 zijn afgesloten de datum worden vermeld waarop het berekende normpercentage is vastgesteld. Dit is de datum waarop de leningsovereenkomst tot stand is gekomen.</v>
      </c>
      <c r="B64" s="1479"/>
      <c r="C64" s="1479"/>
      <c r="D64" s="1479"/>
      <c r="E64" s="1479"/>
    </row>
    <row r="65" spans="1:5" s="456" customFormat="1" ht="53.25" customHeight="1">
      <c r="A65" s="1481" t="str">
        <f>CONCATENATE("2. In de kolom 'einddatum rentevastperiode' dient de datum worden opgenomen waarop het huidige rentepercentage expireert. Als een bestaande lening in ",Voorblad!E3,"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2. In de kolom 'einddatum rentevastperiode' dient de datum worden opgenomen waarop het huidige rentepercentage expireert. Als een bestaande lening in 2004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65" s="1479"/>
      <c r="C65" s="1479"/>
      <c r="D65" s="1479"/>
      <c r="E65" s="1479"/>
    </row>
    <row r="66" spans="1:5" s="456" customFormat="1" ht="29.25" customHeight="1">
      <c r="A66" s="1481" t="s">
        <v>643</v>
      </c>
      <c r="B66" s="1479"/>
      <c r="C66" s="1479"/>
      <c r="D66" s="1479"/>
      <c r="E66" s="1479"/>
    </row>
    <row r="67" spans="1:5" s="456" customFormat="1" ht="42.75" customHeight="1">
      <c r="A67" s="1481" t="s">
        <v>900</v>
      </c>
      <c r="B67" s="1479"/>
      <c r="C67" s="1479"/>
      <c r="D67" s="1479"/>
      <c r="E67" s="1479"/>
    </row>
    <row r="68" spans="1:5" s="456" customFormat="1" ht="42" customHeight="1">
      <c r="A68" s="1469" t="str">
        <f>CONCATENATE("4. In de kolommen van 'Storting/Aflossing ",Voorblad!E3,"'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2004'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68" s="1486"/>
      <c r="C68" s="1486"/>
      <c r="D68" s="1486"/>
      <c r="E68" s="1486"/>
    </row>
    <row r="69" spans="1:5" s="456" customFormat="1" ht="36" customHeight="1">
      <c r="A69" s="1486" t="s">
        <v>899</v>
      </c>
      <c r="B69" s="1486"/>
      <c r="C69" s="1486"/>
      <c r="D69" s="1486"/>
      <c r="E69" s="1486"/>
    </row>
    <row r="70" spans="1:5" s="456" customFormat="1" ht="15.75" customHeight="1">
      <c r="A70" s="1107"/>
      <c r="B70" s="1107"/>
      <c r="C70" s="1107"/>
      <c r="D70" s="1107"/>
      <c r="E70" s="1107"/>
    </row>
    <row r="71" spans="1:5" s="456" customFormat="1" ht="15.75" customHeight="1">
      <c r="A71" s="1107"/>
      <c r="B71" s="1107"/>
      <c r="C71" s="1107"/>
      <c r="D71" s="1107"/>
      <c r="E71" s="1107"/>
    </row>
    <row r="72" spans="1:5" s="456" customFormat="1" ht="15.75" customHeight="1">
      <c r="A72" s="622" t="str">
        <f>Inhoud!$A$2</f>
        <v>Nacalculatieformulier 2004 GGZ-instellingen</v>
      </c>
      <c r="B72" s="546"/>
      <c r="C72" s="591"/>
      <c r="D72" s="591"/>
      <c r="E72" s="1302">
        <f>E57+1</f>
        <v>6</v>
      </c>
    </row>
    <row r="73" spans="1:5" s="456" customFormat="1" ht="15.75" customHeight="1">
      <c r="A73" s="1107"/>
      <c r="B73" s="1107"/>
      <c r="C73" s="1107"/>
      <c r="D73" s="1107"/>
      <c r="E73" s="1107"/>
    </row>
    <row r="74" spans="1:5" s="456" customFormat="1" ht="13.5" customHeight="1">
      <c r="A74" s="41" t="str">
        <f>'G-H'!A5</f>
        <v>G. </v>
      </c>
      <c r="B74" s="41" t="str">
        <f>'G-H'!B5</f>
        <v>Eigen vermogen</v>
      </c>
      <c r="C74" s="1107"/>
      <c r="D74" s="1107"/>
      <c r="E74" s="1107"/>
    </row>
    <row r="75" spans="1:5" s="456" customFormat="1" ht="48" customHeight="1">
      <c r="A75" s="1482" t="str">
        <f>CONCATENATE(" Op regel ",'G-H'!A21,"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 Deze regel is niet bedoeld voor investeringen waarvan de kosten  uit andere hoofde moeten worden gedekt. Voorbeeld gebouwen van Riagg's / Ribw's.")</f>
        <v> Op regel 2715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  Deze regel is niet bedoeld voor investeringen waarvan de kosten  uit andere hoofde moeten worden gedekt. Voorbeeld gebouwen van Riagg's / Ribw's.</v>
      </c>
      <c r="B75" s="1481"/>
      <c r="C75" s="1481"/>
      <c r="D75" s="1481"/>
      <c r="E75" s="1481"/>
    </row>
    <row r="76" spans="2:5" s="456" customFormat="1" ht="12.75" customHeight="1">
      <c r="B76" s="460" t="s">
        <v>667</v>
      </c>
      <c r="C76" s="42"/>
      <c r="D76" s="42"/>
      <c r="E76" s="42"/>
    </row>
    <row r="77" spans="1:5" s="456" customFormat="1" ht="22.5" customHeight="1">
      <c r="A77" s="1469" t="str">
        <f>CONCATENATE("In de berekening van de aanvaardbare kosten door middel van het nacalculatieformulier zit een cirkelredenering, die (indien gewenst) met behulp van regel ",'G-H'!A20," kan worden voorkomen. U gaat als volgt te werk:")</f>
        <v>In de berekening van de aanvaardbare kosten door middel van het nacalculatieformulier zit een cirkelredenering, die (indien gewenst) met behulp van regel 2714 kan worden voorkomen. U gaat als volgt te werk:</v>
      </c>
      <c r="B77" s="1486"/>
      <c r="C77" s="1486"/>
      <c r="D77" s="1486"/>
      <c r="E77" s="1486"/>
    </row>
    <row r="78" spans="1:5" s="456" customFormat="1" ht="39" customHeight="1">
      <c r="A78" s="1486" t="str">
        <f>CONCATENATE("Stap 1. Vul het nacalculatieformulier volledig in met uitzondering van regel ",'G-H'!A9," , kolom ",'G-H'!D6,". Neem op deze regel het bedrag van kolom ",'G-H'!C6," over. Er wordt hierbij vanuitgegaan dat alle overige mutaties op de onderdelen van het eigen vermogen slaan."," Deze berekening levert een voorlopig bedrag aanvaardbare kosten op, waaruit vervolgens een voorlopige mutatie van de Reserve aanvaardbare kosten kan worden afgeleid.")</f>
        <v>Stap 1. Vul het nacalculatieformulier volledig in met uitzondering van regel 2703 , kolom 31-12-2004 . Neem op deze regel het bedrag van kolom 31-12-2003  over. Er wordt hierbij vanuitgegaan dat alle overige mutaties op de onderdelen van het eigen vermogen slaan. Deze berekening levert een voorlopig bedrag aanvaardbare kosten op, waaruit vervolgens een voorlopige mutatie van de Reserve aanvaardbare kosten kan worden afgeleid.</v>
      </c>
      <c r="B78" s="1486"/>
      <c r="C78" s="1486"/>
      <c r="D78" s="1486"/>
      <c r="E78" s="1486"/>
    </row>
    <row r="79" spans="1:5" s="456" customFormat="1" ht="27" customHeight="1">
      <c r="A79" s="1486" t="str">
        <f>CONCATENATE("Stap 2. Verwerk de voorlopige mutatie van de Reserve aanvaardbare kosten op regel ",'G-H'!A9," , kolom ",'G-H'!D6,". Hieruit volgt de berekening van het definitieve bedrag aanvaardbare kosten en dus ook de definitieve mutatie van de Reserve aanvaardbare kosten.")</f>
        <v>Stap 2. Verwerk de voorlopige mutatie van de Reserve aanvaardbare kosten op regel 2703 , kolom 31-12-2004 . Hieruit volgt de berekening van het definitieve bedrag aanvaardbare kosten en dus ook de definitieve mutatie van de Reserve aanvaardbare kosten.</v>
      </c>
      <c r="B79" s="1486"/>
      <c r="C79" s="1486"/>
      <c r="D79" s="1486"/>
      <c r="E79" s="1486"/>
    </row>
    <row r="80" spans="1:5" s="456" customFormat="1" ht="30.75" customHeight="1">
      <c r="A80" s="1486" t="str">
        <f>CONCATENATE("Stap 3. Verwerk de definitieve mutatie van de Reserve aanvaardbare kosten op regel ",'G-H'!A9," , kolom ",'G-H'!D6," en vul op regel ",'G-H'!A20," het verschil in tussen de voorlopige en de definitieve mutatie Reserve aanvaardbare kosten. De aanvaardbare kosten volgens de jaarrekening sluiten nu aan bij de aanvaardbare kosten volgens het nacalculatieformulier.")</f>
        <v>Stap 3. Verwerk de definitieve mutatie van de Reserve aanvaardbare kosten op regel 2703 , kolom 31-12-2004  en vul op regel 2714 het verschil in tussen de voorlopige en de definitieve mutatie Reserve aanvaardbare kosten. De aanvaardbare kosten volgens de jaarrekening sluiten nu aan bij de aanvaardbare kosten volgens het nacalculatieformulier.</v>
      </c>
      <c r="B80" s="1486"/>
      <c r="C80" s="1486"/>
      <c r="D80" s="1486"/>
      <c r="E80" s="1486"/>
    </row>
    <row r="81" spans="1:5" s="456" customFormat="1" ht="30.75" customHeight="1">
      <c r="A81" s="1486" t="str">
        <f>CONCATENATE("Opmerking: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",'G-H'!A21," niet ingevuld te worden")</f>
        <v>Opmerking: Als na het vaststellen van de jaarrekening nog veranderingen worden aangebracht in de gegevens van het nacalculatieformulier, sluit het bedrag van de aanvaardbare kosten confom het nacalculatieformulier niet langer aan bij de aanvaardbare kosten volgens de jaarrekening. In dat geval hoeft regel 2715 niet ingevuld te worden</v>
      </c>
      <c r="B81" s="1486"/>
      <c r="C81" s="1486"/>
      <c r="D81" s="1486"/>
      <c r="E81" s="1486"/>
    </row>
    <row r="82" spans="1:5" ht="12">
      <c r="A82" s="41" t="str">
        <f>'G-H'!A28</f>
        <v>H. </v>
      </c>
      <c r="B82" s="41" t="str">
        <f>'G-H'!B28</f>
        <v>Rentekosten langlopende leningen</v>
      </c>
      <c r="C82" s="42"/>
      <c r="D82" s="42"/>
      <c r="E82" s="42"/>
    </row>
    <row r="83" spans="1:5" ht="31.5" customHeight="1">
      <c r="A83" s="1482" t="str">
        <f>CONCATENATE("De rente van lange leningen op regel ",'G-H'!A30," dient te corresponderen met de leningen die in het overzicht onder F zijn vermeld. Als op regel ",'G-H'!A33," rentekosten zijn vermeld van leasecontracten dient op regel ",F!A36," het daarmee corresponderende leningbedrag te worden vermeld.")</f>
        <v>De rente van lange leningen op regel 2720 dient te corresponderen met de leningen die in het overzicht onder F zijn vermeld. Als op regel 2723 rentekosten zijn vermeld van leasecontracten dient op regel 2530 het daarmee corresponderende leningbedrag te worden vermeld.</v>
      </c>
      <c r="B83" s="1481"/>
      <c r="C83" s="1481"/>
      <c r="D83" s="1481"/>
      <c r="E83" s="1481"/>
    </row>
    <row r="84" ht="12">
      <c r="B84" s="460" t="s">
        <v>361</v>
      </c>
    </row>
    <row r="85" spans="1:5" ht="49.5" customHeight="1">
      <c r="A85" s="1481" t="s">
        <v>362</v>
      </c>
      <c r="B85" s="1481"/>
      <c r="C85" s="1481"/>
      <c r="D85" s="1481"/>
      <c r="E85" s="1481"/>
    </row>
  </sheetData>
  <sheetProtection password="C281" sheet="1" objects="1" scenarios="1"/>
  <mergeCells count="33">
    <mergeCell ref="A21:E21"/>
    <mergeCell ref="A85:E85"/>
    <mergeCell ref="A83:E83"/>
    <mergeCell ref="A28:E28"/>
    <mergeCell ref="A77:E77"/>
    <mergeCell ref="A42:E42"/>
    <mergeCell ref="A68:E68"/>
    <mergeCell ref="A62:E62"/>
    <mergeCell ref="A60:E60"/>
    <mergeCell ref="A67:E67"/>
    <mergeCell ref="A7:E7"/>
    <mergeCell ref="A8:E8"/>
    <mergeCell ref="A11:E11"/>
    <mergeCell ref="A19:E19"/>
    <mergeCell ref="A17:E17"/>
    <mergeCell ref="A13:E13"/>
    <mergeCell ref="A15:E15"/>
    <mergeCell ref="A30:E30"/>
    <mergeCell ref="A38:E38"/>
    <mergeCell ref="A23:E23"/>
    <mergeCell ref="A32:E32"/>
    <mergeCell ref="A40:E40"/>
    <mergeCell ref="A75:E75"/>
    <mergeCell ref="A79:E79"/>
    <mergeCell ref="A34:E34"/>
    <mergeCell ref="A66:E66"/>
    <mergeCell ref="A64:E64"/>
    <mergeCell ref="A65:E65"/>
    <mergeCell ref="A36:E36"/>
    <mergeCell ref="A80:E80"/>
    <mergeCell ref="A81:E81"/>
    <mergeCell ref="A69:E69"/>
    <mergeCell ref="A78:E78"/>
  </mergeCells>
  <printOptions/>
  <pageMargins left="0.3937007874015748" right="0.3937007874015748" top="0.3937007874015748" bottom="0.3937007874015748" header="0.5118110236220472" footer="0.11811023622047245"/>
  <pageSetup fitToHeight="3" horizontalDpi="300" verticalDpi="300" orientation="landscape" paperSize="9" scale="95" r:id="rId2"/>
  <rowBreaks count="3" manualBreakCount="3">
    <brk id="23" max="4" man="1"/>
    <brk id="43" max="4" man="1"/>
    <brk id="70" max="4" man="1"/>
  </rowBreaks>
  <drawing r:id="rId1"/>
</worksheet>
</file>

<file path=xl/worksheets/sheet5.xml><?xml version="1.0" encoding="utf-8"?>
<worksheet xmlns="http://schemas.openxmlformats.org/spreadsheetml/2006/main" xmlns:r="http://schemas.openxmlformats.org/officeDocument/2006/relationships">
  <sheetPr codeName="Blad5"/>
  <dimension ref="A1:O233"/>
  <sheetViews>
    <sheetView showGridLines="0" zoomScale="86" zoomScaleNormal="86" zoomScaleSheetLayoutView="86" workbookViewId="0" topLeftCell="A1">
      <selection activeCell="D8" sqref="D8"/>
    </sheetView>
  </sheetViews>
  <sheetFormatPr defaultColWidth="9.140625" defaultRowHeight="12.75"/>
  <cols>
    <col min="1" max="1" width="4.57421875" style="455" customWidth="1"/>
    <col min="2" max="2" width="4.7109375" style="456" customWidth="1"/>
    <col min="3" max="3" width="30.28125" style="456" customWidth="1"/>
    <col min="4" max="4" width="10.8515625" style="459" customWidth="1"/>
    <col min="5" max="5" width="7.8515625" style="456" customWidth="1"/>
    <col min="6" max="6" width="12.00390625" style="456" customWidth="1"/>
    <col min="7" max="7" width="1.8515625" style="458" customWidth="1"/>
    <col min="8" max="8" width="4.7109375" style="451" customWidth="1"/>
    <col min="9" max="9" width="5.00390625" style="453" customWidth="1"/>
    <col min="10" max="10" width="29.421875" style="453" customWidth="1"/>
    <col min="11" max="11" width="10.8515625" style="453" customWidth="1"/>
    <col min="12" max="12" width="7.8515625" style="453" customWidth="1"/>
    <col min="13" max="13" width="12.00390625" style="453" customWidth="1"/>
    <col min="14" max="21" width="9.140625" style="453" customWidth="1"/>
    <col min="22" max="22" width="1.7109375" style="453" customWidth="1"/>
    <col min="23" max="16384" width="9.140625" style="453" customWidth="1"/>
  </cols>
  <sheetData>
    <row r="1" spans="4:7" ht="15.75" customHeight="1">
      <c r="D1" s="580"/>
      <c r="G1" s="453"/>
    </row>
    <row r="2" spans="1:13" s="515" customFormat="1" ht="15.75" customHeight="1">
      <c r="A2" s="622" t="str">
        <f>Inhoud!$A$2</f>
        <v>Nacalculatieformulier 2004 GGZ-instellingen</v>
      </c>
      <c r="B2" s="637"/>
      <c r="C2" s="637"/>
      <c r="D2" s="637"/>
      <c r="E2" s="637"/>
      <c r="F2" s="546"/>
      <c r="G2" s="546"/>
      <c r="H2" s="641" t="b">
        <f>Voorblad!E28</f>
        <v>1</v>
      </c>
      <c r="I2" s="637"/>
      <c r="J2" s="641"/>
      <c r="K2" s="637"/>
      <c r="L2" s="637"/>
      <c r="M2" s="1302">
        <f>instructie!E72+1</f>
        <v>7</v>
      </c>
    </row>
    <row r="3" spans="1:13" ht="12">
      <c r="A3" s="41"/>
      <c r="B3" s="42"/>
      <c r="C3" s="42"/>
      <c r="D3" s="43"/>
      <c r="E3" s="42"/>
      <c r="F3" s="90"/>
      <c r="G3" s="608"/>
      <c r="H3" s="662"/>
      <c r="I3" s="608"/>
      <c r="J3" s="608"/>
      <c r="K3" s="608"/>
      <c r="L3" s="608"/>
      <c r="M3" s="608"/>
    </row>
    <row r="4" spans="1:13" ht="12.75" customHeight="1">
      <c r="A4" s="14" t="str">
        <f>CONCATENATE("RUBRIEK 1: NACALCULATIE PRODUCTIE")</f>
        <v>RUBRIEK 1: NACALCULATIE PRODUCTIE</v>
      </c>
      <c r="B4" s="95"/>
      <c r="C4" s="95"/>
      <c r="D4" s="642"/>
      <c r="E4" s="608"/>
      <c r="F4" s="95"/>
      <c r="G4" s="662"/>
      <c r="H4" s="608"/>
      <c r="I4" s="608"/>
      <c r="J4" s="608"/>
      <c r="K4" s="608"/>
      <c r="L4" s="608"/>
      <c r="M4" s="608"/>
    </row>
    <row r="5" spans="1:13" ht="12.75" customHeight="1">
      <c r="A5" s="41" t="s">
        <v>456</v>
      </c>
      <c r="B5" s="645" t="s">
        <v>457</v>
      </c>
      <c r="C5" s="95"/>
      <c r="D5" s="642"/>
      <c r="E5" s="608"/>
      <c r="F5" s="95"/>
      <c r="G5" s="662"/>
      <c r="H5" s="608"/>
      <c r="I5" s="608"/>
      <c r="J5" s="608"/>
      <c r="K5" s="608"/>
      <c r="L5" s="608"/>
      <c r="M5" s="608"/>
    </row>
    <row r="6" spans="1:13" ht="12.75" customHeight="1">
      <c r="A6" s="608"/>
      <c r="B6" s="608"/>
      <c r="C6" s="645"/>
      <c r="D6" s="645"/>
      <c r="E6" s="645"/>
      <c r="F6" s="645"/>
      <c r="G6" s="645"/>
      <c r="H6" s="608"/>
      <c r="I6" s="608"/>
      <c r="J6" s="608"/>
      <c r="K6" s="608"/>
      <c r="L6" s="608"/>
      <c r="M6" s="608"/>
    </row>
    <row r="7" spans="1:13" ht="12">
      <c r="A7" s="41"/>
      <c r="B7" s="1161" t="s">
        <v>306</v>
      </c>
      <c r="C7" s="1162"/>
      <c r="D7" s="647" t="s">
        <v>168</v>
      </c>
      <c r="E7" s="648" t="s">
        <v>396</v>
      </c>
      <c r="F7" s="648" t="s">
        <v>167</v>
      </c>
      <c r="H7" s="1290"/>
      <c r="I7" s="1161" t="s">
        <v>318</v>
      </c>
      <c r="J7" s="1163"/>
      <c r="K7" s="647" t="s">
        <v>168</v>
      </c>
      <c r="L7" s="648" t="s">
        <v>396</v>
      </c>
      <c r="M7" s="648" t="s">
        <v>167</v>
      </c>
    </row>
    <row r="8" spans="1:13" ht="12">
      <c r="A8" s="780">
        <f>(100*M2)+1</f>
        <v>701</v>
      </c>
      <c r="B8" s="1160" t="s">
        <v>355</v>
      </c>
      <c r="C8" s="1160" t="s">
        <v>461</v>
      </c>
      <c r="D8" s="434"/>
      <c r="E8" s="671">
        <v>65.78</v>
      </c>
      <c r="F8" s="433">
        <f aca="true" t="shared" si="0" ref="F8:F13">D8*E8</f>
        <v>0</v>
      </c>
      <c r="G8" s="584"/>
      <c r="H8" s="780">
        <f>A36+1</f>
        <v>726</v>
      </c>
      <c r="I8" s="1160" t="s">
        <v>379</v>
      </c>
      <c r="J8" s="1160" t="s">
        <v>319</v>
      </c>
      <c r="K8" s="434"/>
      <c r="L8" s="671">
        <v>183.92</v>
      </c>
      <c r="M8" s="433">
        <f aca="true" t="shared" si="1" ref="M8:M13">K8*L8</f>
        <v>0</v>
      </c>
    </row>
    <row r="9" spans="1:13" ht="12">
      <c r="A9" s="780">
        <f aca="true" t="shared" si="2" ref="A9:A14">A8+1</f>
        <v>702</v>
      </c>
      <c r="B9" s="651" t="s">
        <v>356</v>
      </c>
      <c r="C9" s="651" t="s">
        <v>462</v>
      </c>
      <c r="D9" s="434"/>
      <c r="E9" s="671">
        <v>79.89</v>
      </c>
      <c r="F9" s="433">
        <f t="shared" si="0"/>
        <v>0</v>
      </c>
      <c r="G9" s="584"/>
      <c r="H9" s="780">
        <f aca="true" t="shared" si="3" ref="H9:H14">H8+1</f>
        <v>727</v>
      </c>
      <c r="I9" s="651" t="s">
        <v>380</v>
      </c>
      <c r="J9" s="651" t="s">
        <v>320</v>
      </c>
      <c r="K9" s="434"/>
      <c r="L9" s="671">
        <v>241.88</v>
      </c>
      <c r="M9" s="433">
        <f t="shared" si="1"/>
        <v>0</v>
      </c>
    </row>
    <row r="10" spans="1:13" ht="12">
      <c r="A10" s="780">
        <f t="shared" si="2"/>
        <v>703</v>
      </c>
      <c r="B10" s="651" t="s">
        <v>357</v>
      </c>
      <c r="C10" s="651" t="s">
        <v>307</v>
      </c>
      <c r="D10" s="434"/>
      <c r="E10" s="671">
        <v>103.59</v>
      </c>
      <c r="F10" s="433">
        <f t="shared" si="0"/>
        <v>0</v>
      </c>
      <c r="G10" s="584"/>
      <c r="H10" s="780">
        <f t="shared" si="3"/>
        <v>728</v>
      </c>
      <c r="I10" s="651" t="s">
        <v>381</v>
      </c>
      <c r="J10" s="651" t="s">
        <v>321</v>
      </c>
      <c r="K10" s="434"/>
      <c r="L10" s="671">
        <v>187.09</v>
      </c>
      <c r="M10" s="433">
        <f t="shared" si="1"/>
        <v>0</v>
      </c>
    </row>
    <row r="11" spans="1:13" ht="12">
      <c r="A11" s="780">
        <f t="shared" si="2"/>
        <v>704</v>
      </c>
      <c r="B11" s="651" t="s">
        <v>358</v>
      </c>
      <c r="C11" s="651" t="s">
        <v>308</v>
      </c>
      <c r="D11" s="434"/>
      <c r="E11" s="671">
        <v>112.19</v>
      </c>
      <c r="F11" s="433">
        <f t="shared" si="0"/>
        <v>0</v>
      </c>
      <c r="G11" s="584"/>
      <c r="H11" s="780">
        <f t="shared" si="3"/>
        <v>729</v>
      </c>
      <c r="I11" s="651" t="s">
        <v>382</v>
      </c>
      <c r="J11" s="651" t="s">
        <v>322</v>
      </c>
      <c r="K11" s="434"/>
      <c r="L11" s="671">
        <v>279.5</v>
      </c>
      <c r="M11" s="433">
        <f t="shared" si="1"/>
        <v>0</v>
      </c>
    </row>
    <row r="12" spans="1:13" ht="12">
      <c r="A12" s="780">
        <f t="shared" si="2"/>
        <v>705</v>
      </c>
      <c r="B12" s="651" t="s">
        <v>359</v>
      </c>
      <c r="C12" s="651" t="s">
        <v>463</v>
      </c>
      <c r="D12" s="434"/>
      <c r="E12" s="671">
        <v>150.22</v>
      </c>
      <c r="F12" s="433">
        <f t="shared" si="0"/>
        <v>0</v>
      </c>
      <c r="G12" s="584"/>
      <c r="H12" s="780">
        <f t="shared" si="3"/>
        <v>730</v>
      </c>
      <c r="I12" s="651" t="s">
        <v>383</v>
      </c>
      <c r="J12" s="651" t="s">
        <v>323</v>
      </c>
      <c r="K12" s="434"/>
      <c r="L12" s="671">
        <v>239.49</v>
      </c>
      <c r="M12" s="433">
        <f t="shared" si="1"/>
        <v>0</v>
      </c>
    </row>
    <row r="13" spans="1:13" ht="12">
      <c r="A13" s="780">
        <f t="shared" si="2"/>
        <v>706</v>
      </c>
      <c r="B13" s="36" t="s">
        <v>363</v>
      </c>
      <c r="C13" s="36" t="s">
        <v>309</v>
      </c>
      <c r="D13" s="783"/>
      <c r="E13" s="671">
        <v>202.99</v>
      </c>
      <c r="F13" s="784">
        <f t="shared" si="0"/>
        <v>0</v>
      </c>
      <c r="G13" s="584"/>
      <c r="H13" s="780">
        <f t="shared" si="3"/>
        <v>731</v>
      </c>
      <c r="I13" s="36" t="s">
        <v>384</v>
      </c>
      <c r="J13" s="36" t="s">
        <v>324</v>
      </c>
      <c r="K13" s="434"/>
      <c r="L13" s="671">
        <v>301.81</v>
      </c>
      <c r="M13" s="784">
        <f t="shared" si="1"/>
        <v>0</v>
      </c>
    </row>
    <row r="14" spans="1:13" ht="12">
      <c r="A14" s="780">
        <f t="shared" si="2"/>
        <v>707</v>
      </c>
      <c r="B14" s="781" t="str">
        <f>CONCATENATE("Totaal regel ",A8," t/m ",A13,)</f>
        <v>Totaal regel 701 t/m 706</v>
      </c>
      <c r="C14" s="782"/>
      <c r="D14" s="785">
        <f>SUM(D8:D13)</f>
        <v>0</v>
      </c>
      <c r="E14" s="786"/>
      <c r="F14" s="785">
        <f>SUM(F8:F13)</f>
        <v>0</v>
      </c>
      <c r="G14" s="586"/>
      <c r="H14" s="780">
        <f t="shared" si="3"/>
        <v>732</v>
      </c>
      <c r="I14" s="781" t="str">
        <f>CONCATENATE("Totaal regel ",H8," t/m ",H13,)</f>
        <v>Totaal regel 726 t/m 731</v>
      </c>
      <c r="J14" s="782"/>
      <c r="K14" s="785">
        <f>SUM(K8:K13)</f>
        <v>0</v>
      </c>
      <c r="L14" s="786"/>
      <c r="M14" s="785">
        <f>SUM(M8:M13)</f>
        <v>0</v>
      </c>
    </row>
    <row r="15" spans="1:14" ht="12">
      <c r="A15" s="608"/>
      <c r="B15" s="608"/>
      <c r="C15" s="608"/>
      <c r="D15" s="585"/>
      <c r="E15" s="585"/>
      <c r="F15" s="585"/>
      <c r="G15" s="585"/>
      <c r="H15" s="608"/>
      <c r="I15" s="608"/>
      <c r="J15" s="608"/>
      <c r="K15" s="585"/>
      <c r="L15" s="585"/>
      <c r="M15" s="585"/>
      <c r="N15" s="585"/>
    </row>
    <row r="16" spans="1:13" ht="12">
      <c r="A16" s="41"/>
      <c r="B16" s="1161" t="s">
        <v>310</v>
      </c>
      <c r="C16" s="1162"/>
      <c r="D16" s="1170" t="s">
        <v>168</v>
      </c>
      <c r="E16" s="648" t="s">
        <v>396</v>
      </c>
      <c r="F16" s="648" t="s">
        <v>167</v>
      </c>
      <c r="G16" s="586"/>
      <c r="H16" s="780">
        <f>H14+1</f>
        <v>733</v>
      </c>
      <c r="I16" s="781" t="s">
        <v>397</v>
      </c>
      <c r="J16" s="782"/>
      <c r="K16" s="434"/>
      <c r="L16" s="671">
        <v>288.67</v>
      </c>
      <c r="M16" s="433">
        <f>K16*L16</f>
        <v>0</v>
      </c>
    </row>
    <row r="17" spans="1:12" ht="12">
      <c r="A17" s="780">
        <f>A14+1</f>
        <v>708</v>
      </c>
      <c r="B17" s="1160" t="s">
        <v>364</v>
      </c>
      <c r="C17" s="1160" t="s">
        <v>311</v>
      </c>
      <c r="D17" s="434"/>
      <c r="E17" s="671">
        <v>132.46</v>
      </c>
      <c r="F17" s="433">
        <f aca="true" t="shared" si="4" ref="F17:F23">D17*E17</f>
        <v>0</v>
      </c>
      <c r="G17" s="584"/>
      <c r="H17" s="608"/>
      <c r="I17" s="608"/>
      <c r="J17" s="608"/>
      <c r="L17" s="569"/>
    </row>
    <row r="18" spans="1:13" ht="12">
      <c r="A18" s="780">
        <f aca="true" t="shared" si="5" ref="A18:A24">A17+1</f>
        <v>709</v>
      </c>
      <c r="B18" s="651" t="s">
        <v>365</v>
      </c>
      <c r="C18" s="651" t="s">
        <v>400</v>
      </c>
      <c r="D18" s="434"/>
      <c r="E18" s="671">
        <v>181.51</v>
      </c>
      <c r="F18" s="433">
        <f t="shared" si="4"/>
        <v>0</v>
      </c>
      <c r="G18" s="584"/>
      <c r="H18" s="41"/>
      <c r="I18" s="1161" t="s">
        <v>721</v>
      </c>
      <c r="J18" s="1162"/>
      <c r="K18" s="647" t="s">
        <v>168</v>
      </c>
      <c r="L18" s="648" t="s">
        <v>396</v>
      </c>
      <c r="M18" s="648" t="s">
        <v>167</v>
      </c>
    </row>
    <row r="19" spans="1:13" ht="12">
      <c r="A19" s="780">
        <f t="shared" si="5"/>
        <v>710</v>
      </c>
      <c r="B19" s="651" t="s">
        <v>366</v>
      </c>
      <c r="C19" s="651" t="s">
        <v>312</v>
      </c>
      <c r="D19" s="434"/>
      <c r="E19" s="671">
        <v>163.76</v>
      </c>
      <c r="F19" s="433">
        <f t="shared" si="4"/>
        <v>0</v>
      </c>
      <c r="G19" s="584"/>
      <c r="H19" s="780">
        <f>H16+1</f>
        <v>734</v>
      </c>
      <c r="I19" s="1160" t="s">
        <v>722</v>
      </c>
      <c r="J19" s="1160" t="s">
        <v>726</v>
      </c>
      <c r="K19" s="434"/>
      <c r="L19" s="935">
        <v>29.63</v>
      </c>
      <c r="M19" s="433">
        <f>K19*L19</f>
        <v>0</v>
      </c>
    </row>
    <row r="20" spans="1:13" ht="12">
      <c r="A20" s="780">
        <f t="shared" si="5"/>
        <v>711</v>
      </c>
      <c r="B20" s="651" t="s">
        <v>367</v>
      </c>
      <c r="C20" s="651" t="s">
        <v>401</v>
      </c>
      <c r="D20" s="434"/>
      <c r="E20" s="671">
        <v>212.77</v>
      </c>
      <c r="F20" s="433">
        <f t="shared" si="4"/>
        <v>0</v>
      </c>
      <c r="G20" s="584"/>
      <c r="H20" s="780">
        <f>H19+1</f>
        <v>735</v>
      </c>
      <c r="I20" s="651" t="s">
        <v>723</v>
      </c>
      <c r="J20" s="651" t="s">
        <v>727</v>
      </c>
      <c r="K20" s="434"/>
      <c r="L20" s="935">
        <v>71.73</v>
      </c>
      <c r="M20" s="433">
        <f>K20*L20</f>
        <v>0</v>
      </c>
    </row>
    <row r="21" spans="1:13" ht="12">
      <c r="A21" s="780">
        <f t="shared" si="5"/>
        <v>712</v>
      </c>
      <c r="B21" s="651" t="s">
        <v>368</v>
      </c>
      <c r="C21" s="651" t="s">
        <v>464</v>
      </c>
      <c r="D21" s="434"/>
      <c r="E21" s="671">
        <v>215.61</v>
      </c>
      <c r="F21" s="433">
        <f t="shared" si="4"/>
        <v>0</v>
      </c>
      <c r="G21" s="584"/>
      <c r="H21" s="780">
        <f>H20+1</f>
        <v>736</v>
      </c>
      <c r="I21" s="651" t="s">
        <v>724</v>
      </c>
      <c r="J21" s="651" t="s">
        <v>728</v>
      </c>
      <c r="K21" s="434"/>
      <c r="L21" s="935">
        <v>40</v>
      </c>
      <c r="M21" s="433">
        <f>K21*L21</f>
        <v>0</v>
      </c>
    </row>
    <row r="22" spans="1:13" ht="12">
      <c r="A22" s="780">
        <f t="shared" si="5"/>
        <v>713</v>
      </c>
      <c r="B22" s="36" t="s">
        <v>369</v>
      </c>
      <c r="C22" s="36" t="s">
        <v>402</v>
      </c>
      <c r="D22" s="783"/>
      <c r="E22" s="671">
        <v>274.73</v>
      </c>
      <c r="F22" s="784">
        <f>D22*E22</f>
        <v>0</v>
      </c>
      <c r="G22" s="584"/>
      <c r="H22" s="780">
        <f>H21+1</f>
        <v>737</v>
      </c>
      <c r="I22" s="651" t="s">
        <v>725</v>
      </c>
      <c r="J22" s="651" t="s">
        <v>729</v>
      </c>
      <c r="K22" s="434"/>
      <c r="L22" s="935">
        <v>80.09</v>
      </c>
      <c r="M22" s="433">
        <f>K22*L22</f>
        <v>0</v>
      </c>
    </row>
    <row r="23" spans="1:13" ht="12">
      <c r="A23" s="780">
        <f t="shared" si="5"/>
        <v>714</v>
      </c>
      <c r="B23" s="36" t="s">
        <v>541</v>
      </c>
      <c r="C23" s="36" t="s">
        <v>542</v>
      </c>
      <c r="D23" s="783"/>
      <c r="E23" s="934">
        <v>196.91</v>
      </c>
      <c r="F23" s="784">
        <f t="shared" si="4"/>
        <v>0</v>
      </c>
      <c r="G23" s="584"/>
      <c r="H23" s="780">
        <f>H22+1</f>
        <v>738</v>
      </c>
      <c r="I23" s="781" t="str">
        <f>CONCATENATE("Totaal regel ",H19," t/m ",H22,)</f>
        <v>Totaal regel 734 t/m 737</v>
      </c>
      <c r="J23" s="782"/>
      <c r="K23" s="785">
        <f>SUM(K19:K22)</f>
        <v>0</v>
      </c>
      <c r="L23" s="786"/>
      <c r="M23" s="785">
        <f>SUM(M19:M22)</f>
        <v>0</v>
      </c>
    </row>
    <row r="24" spans="1:7" ht="12">
      <c r="A24" s="780">
        <f t="shared" si="5"/>
        <v>715</v>
      </c>
      <c r="B24" s="781" t="str">
        <f>CONCATENATE("Totaal regel ",A17," t/m ",A23,)</f>
        <v>Totaal regel 708 t/m 714</v>
      </c>
      <c r="C24" s="782"/>
      <c r="D24" s="785">
        <f>SUM(D17:D23)</f>
        <v>0</v>
      </c>
      <c r="E24" s="786"/>
      <c r="F24" s="785">
        <f>SUM(F17:F23)</f>
        <v>0</v>
      </c>
      <c r="G24" s="586"/>
    </row>
    <row r="25" spans="1:15" ht="12.75">
      <c r="A25" s="608"/>
      <c r="B25" s="608"/>
      <c r="C25" s="608"/>
      <c r="D25" s="453"/>
      <c r="E25" s="453"/>
      <c r="F25" s="453"/>
      <c r="G25" s="586"/>
      <c r="O25"/>
    </row>
    <row r="26" spans="1:15" ht="12.75">
      <c r="A26" s="41"/>
      <c r="B26" s="1161" t="s">
        <v>313</v>
      </c>
      <c r="C26" s="1162"/>
      <c r="D26" s="647" t="s">
        <v>168</v>
      </c>
      <c r="E26" s="648" t="s">
        <v>396</v>
      </c>
      <c r="F26" s="648" t="s">
        <v>167</v>
      </c>
      <c r="G26" s="584"/>
      <c r="H26" s="41"/>
      <c r="I26" s="1161" t="s">
        <v>325</v>
      </c>
      <c r="J26" s="1162"/>
      <c r="K26" s="647" t="s">
        <v>168</v>
      </c>
      <c r="L26" s="648" t="s">
        <v>396</v>
      </c>
      <c r="M26" s="648" t="s">
        <v>167</v>
      </c>
      <c r="O26"/>
    </row>
    <row r="27" spans="1:15" ht="12.75">
      <c r="A27" s="780">
        <f>A24+1</f>
        <v>716</v>
      </c>
      <c r="B27" s="1160" t="s">
        <v>370</v>
      </c>
      <c r="C27" s="1160" t="s">
        <v>314</v>
      </c>
      <c r="D27" s="434"/>
      <c r="E27" s="671">
        <v>80.79</v>
      </c>
      <c r="F27" s="433">
        <f aca="true" t="shared" si="6" ref="F27:F35">D27*E27</f>
        <v>0</v>
      </c>
      <c r="G27" s="584"/>
      <c r="H27" s="780">
        <f>H23+1</f>
        <v>739</v>
      </c>
      <c r="I27" s="1160" t="s">
        <v>385</v>
      </c>
      <c r="J27" s="1160" t="s">
        <v>158</v>
      </c>
      <c r="K27" s="434"/>
      <c r="L27" s="671">
        <v>106.03</v>
      </c>
      <c r="M27" s="433">
        <f>K27*L27</f>
        <v>0</v>
      </c>
      <c r="O27"/>
    </row>
    <row r="28" spans="1:15" ht="12.75">
      <c r="A28" s="780">
        <f aca="true" t="shared" si="7" ref="A28:A35">A27+1</f>
        <v>717</v>
      </c>
      <c r="B28" s="651" t="s">
        <v>371</v>
      </c>
      <c r="C28" s="651" t="s">
        <v>315</v>
      </c>
      <c r="D28" s="434"/>
      <c r="E28" s="671">
        <v>110.64</v>
      </c>
      <c r="F28" s="433">
        <f t="shared" si="6"/>
        <v>0</v>
      </c>
      <c r="G28" s="584"/>
      <c r="H28" s="780">
        <f>H27+1</f>
        <v>740</v>
      </c>
      <c r="I28" s="36" t="s">
        <v>386</v>
      </c>
      <c r="J28" s="36" t="s">
        <v>326</v>
      </c>
      <c r="K28" s="783"/>
      <c r="L28" s="671">
        <v>130.52</v>
      </c>
      <c r="M28" s="784">
        <f>K28*L28</f>
        <v>0</v>
      </c>
      <c r="O28"/>
    </row>
    <row r="29" spans="1:15" ht="12.75">
      <c r="A29" s="780">
        <f t="shared" si="7"/>
        <v>718</v>
      </c>
      <c r="B29" s="651" t="s">
        <v>372</v>
      </c>
      <c r="C29" s="651" t="s">
        <v>465</v>
      </c>
      <c r="D29" s="434"/>
      <c r="E29" s="671">
        <v>171.02</v>
      </c>
      <c r="F29" s="433">
        <f t="shared" si="6"/>
        <v>0</v>
      </c>
      <c r="G29" s="584"/>
      <c r="H29" s="780">
        <f>H28+1</f>
        <v>741</v>
      </c>
      <c r="I29" s="781" t="str">
        <f>CONCATENATE("Totaal regel ",H27," t/m ",H28,)</f>
        <v>Totaal regel 739 t/m 740</v>
      </c>
      <c r="J29" s="782"/>
      <c r="K29" s="785">
        <f>SUM(K27:K28)</f>
        <v>0</v>
      </c>
      <c r="L29" s="786"/>
      <c r="M29" s="785">
        <f>SUM(M27:M28)</f>
        <v>0</v>
      </c>
      <c r="O29"/>
    </row>
    <row r="30" spans="1:15" ht="12.75">
      <c r="A30" s="780">
        <f t="shared" si="7"/>
        <v>719</v>
      </c>
      <c r="B30" s="651" t="s">
        <v>373</v>
      </c>
      <c r="C30" s="651" t="s">
        <v>316</v>
      </c>
      <c r="D30" s="434"/>
      <c r="E30" s="671">
        <v>37.73</v>
      </c>
      <c r="F30" s="433">
        <f t="shared" si="6"/>
        <v>0</v>
      </c>
      <c r="G30" s="584"/>
      <c r="H30"/>
      <c r="I30"/>
      <c r="J30"/>
      <c r="K30"/>
      <c r="L30"/>
      <c r="M30"/>
      <c r="O30"/>
    </row>
    <row r="31" spans="1:15" ht="12.75">
      <c r="A31" s="780">
        <f t="shared" si="7"/>
        <v>720</v>
      </c>
      <c r="B31" s="651" t="s">
        <v>374</v>
      </c>
      <c r="C31" s="651" t="s">
        <v>317</v>
      </c>
      <c r="D31" s="434"/>
      <c r="E31" s="671">
        <v>41.83</v>
      </c>
      <c r="F31" s="433">
        <f t="shared" si="6"/>
        <v>0</v>
      </c>
      <c r="G31" s="584"/>
      <c r="O31"/>
    </row>
    <row r="32" spans="1:15" ht="12.75">
      <c r="A32" s="780">
        <f t="shared" si="7"/>
        <v>721</v>
      </c>
      <c r="B32" s="651" t="s">
        <v>375</v>
      </c>
      <c r="C32" s="651" t="s">
        <v>315</v>
      </c>
      <c r="D32" s="434"/>
      <c r="E32" s="671">
        <v>93.67</v>
      </c>
      <c r="F32" s="433">
        <f t="shared" si="6"/>
        <v>0</v>
      </c>
      <c r="G32" s="584"/>
      <c r="H32" s="41"/>
      <c r="I32" s="1161" t="s">
        <v>327</v>
      </c>
      <c r="J32" s="1162"/>
      <c r="K32" s="647" t="s">
        <v>168</v>
      </c>
      <c r="L32" s="648" t="s">
        <v>396</v>
      </c>
      <c r="M32" s="648" t="s">
        <v>167</v>
      </c>
      <c r="O32"/>
    </row>
    <row r="33" spans="1:15" ht="12.75">
      <c r="A33" s="780">
        <f t="shared" si="7"/>
        <v>722</v>
      </c>
      <c r="B33" s="651" t="s">
        <v>376</v>
      </c>
      <c r="C33" s="651" t="s">
        <v>466</v>
      </c>
      <c r="D33" s="434"/>
      <c r="E33" s="671">
        <v>60.68</v>
      </c>
      <c r="F33" s="433">
        <f t="shared" si="6"/>
        <v>0</v>
      </c>
      <c r="G33" s="584"/>
      <c r="H33" s="780">
        <f>H29+1</f>
        <v>742</v>
      </c>
      <c r="I33" s="1160" t="s">
        <v>387</v>
      </c>
      <c r="J33" s="1160" t="s">
        <v>328</v>
      </c>
      <c r="K33" s="434"/>
      <c r="L33" s="935">
        <v>214.89</v>
      </c>
      <c r="M33" s="433">
        <f>K33*L33</f>
        <v>0</v>
      </c>
      <c r="O33"/>
    </row>
    <row r="34" spans="1:15" ht="12.75">
      <c r="A34" s="780">
        <f t="shared" si="7"/>
        <v>723</v>
      </c>
      <c r="B34" s="651" t="s">
        <v>377</v>
      </c>
      <c r="C34" s="651" t="s">
        <v>315</v>
      </c>
      <c r="D34" s="434"/>
      <c r="E34" s="671">
        <v>102.51</v>
      </c>
      <c r="F34" s="433">
        <f t="shared" si="6"/>
        <v>0</v>
      </c>
      <c r="G34" s="584"/>
      <c r="H34" s="780">
        <f>H33+1</f>
        <v>743</v>
      </c>
      <c r="I34" s="651" t="s">
        <v>388</v>
      </c>
      <c r="J34" s="651" t="s">
        <v>329</v>
      </c>
      <c r="K34" s="434"/>
      <c r="L34" s="935">
        <v>154.64</v>
      </c>
      <c r="M34" s="433">
        <f>K34*L34</f>
        <v>0</v>
      </c>
      <c r="O34"/>
    </row>
    <row r="35" spans="1:15" ht="12.75">
      <c r="A35" s="780">
        <f t="shared" si="7"/>
        <v>724</v>
      </c>
      <c r="B35" s="36" t="s">
        <v>378</v>
      </c>
      <c r="C35" s="36" t="s">
        <v>467</v>
      </c>
      <c r="D35" s="434"/>
      <c r="E35" s="671">
        <v>143.88</v>
      </c>
      <c r="F35" s="784">
        <f t="shared" si="6"/>
        <v>0</v>
      </c>
      <c r="G35" s="584"/>
      <c r="H35" s="780">
        <f>H34+1</f>
        <v>744</v>
      </c>
      <c r="I35" s="36" t="s">
        <v>389</v>
      </c>
      <c r="J35" s="36" t="s">
        <v>330</v>
      </c>
      <c r="K35" s="783"/>
      <c r="L35" s="935">
        <v>176.78</v>
      </c>
      <c r="M35" s="784">
        <f>K35*L35</f>
        <v>0</v>
      </c>
      <c r="O35"/>
    </row>
    <row r="36" spans="1:13" ht="12.75" customHeight="1">
      <c r="A36" s="780">
        <f>A35+1</f>
        <v>725</v>
      </c>
      <c r="B36" s="781" t="str">
        <f>CONCATENATE("Totaal regel ",A27," t/m ",A35,)</f>
        <v>Totaal regel 716 t/m 724</v>
      </c>
      <c r="C36" s="782"/>
      <c r="D36" s="785">
        <f>SUM(D27:D35)</f>
        <v>0</v>
      </c>
      <c r="E36" s="786"/>
      <c r="F36" s="785">
        <f>SUM(F27:F35)</f>
        <v>0</v>
      </c>
      <c r="G36" s="578"/>
      <c r="H36" s="780">
        <f>H35+1</f>
        <v>745</v>
      </c>
      <c r="I36" s="781" t="str">
        <f>CONCATENATE("Totaal regel ",H33," t/m ",H35,)</f>
        <v>Totaal regel 742 t/m 744</v>
      </c>
      <c r="J36" s="782"/>
      <c r="K36" s="785">
        <f>SUM(K33:K35)</f>
        <v>0</v>
      </c>
      <c r="L36" s="786"/>
      <c r="M36" s="785">
        <f>SUM(M33:M35)</f>
        <v>0</v>
      </c>
    </row>
    <row r="37" spans="1:7" ht="12.75" customHeight="1">
      <c r="A37" s="578"/>
      <c r="B37" s="578"/>
      <c r="C37" s="578"/>
      <c r="E37" s="578"/>
      <c r="F37" s="583"/>
      <c r="G37" s="578"/>
    </row>
    <row r="38" spans="1:7" ht="12.75" customHeight="1">
      <c r="A38" s="578"/>
      <c r="B38" s="578"/>
      <c r="C38" s="578"/>
      <c r="E38" s="578"/>
      <c r="F38" s="583"/>
      <c r="G38" s="578"/>
    </row>
    <row r="39" spans="1:8" ht="12.75" customHeight="1">
      <c r="A39" s="578"/>
      <c r="B39" s="578"/>
      <c r="C39" s="578"/>
      <c r="E39" s="578"/>
      <c r="F39" s="583"/>
      <c r="G39" s="578"/>
      <c r="H39" s="453"/>
    </row>
    <row r="40" spans="1:8" ht="12.75" customHeight="1">
      <c r="A40" s="578"/>
      <c r="B40" s="578"/>
      <c r="C40" s="578"/>
      <c r="E40" s="578"/>
      <c r="F40" s="583"/>
      <c r="G40" s="578"/>
      <c r="H40" s="453"/>
    </row>
    <row r="41" spans="4:13" ht="15.75" customHeight="1">
      <c r="D41" s="580"/>
      <c r="G41" s="453"/>
      <c r="H41" s="455"/>
      <c r="I41" s="566"/>
      <c r="J41" s="566"/>
      <c r="K41" s="459"/>
      <c r="L41" s="569"/>
      <c r="M41" s="465"/>
    </row>
    <row r="42" spans="1:13" s="515" customFormat="1" ht="15.75" customHeight="1">
      <c r="A42" s="622" t="str">
        <f>Inhoud!$A$2</f>
        <v>Nacalculatieformulier 2004 GGZ-instellingen</v>
      </c>
      <c r="B42" s="637"/>
      <c r="C42" s="637"/>
      <c r="D42" s="637"/>
      <c r="E42" s="637"/>
      <c r="F42" s="641"/>
      <c r="G42" s="637"/>
      <c r="H42" s="637"/>
      <c r="I42" s="637"/>
      <c r="J42" s="637"/>
      <c r="K42" s="637"/>
      <c r="L42" s="637"/>
      <c r="M42" s="1302">
        <f>M2+1</f>
        <v>8</v>
      </c>
    </row>
    <row r="43" spans="1:13" ht="12">
      <c r="A43" s="41"/>
      <c r="B43" s="42"/>
      <c r="C43" s="42"/>
      <c r="D43" s="43"/>
      <c r="E43" s="42"/>
      <c r="F43" s="90"/>
      <c r="G43" s="608"/>
      <c r="H43" s="41"/>
      <c r="I43" s="566"/>
      <c r="J43" s="566"/>
      <c r="K43" s="43"/>
      <c r="L43" s="569"/>
      <c r="M43" s="664"/>
    </row>
    <row r="44" spans="1:13" ht="12">
      <c r="A44" s="41"/>
      <c r="B44" s="1161" t="s">
        <v>331</v>
      </c>
      <c r="C44" s="1162"/>
      <c r="D44" s="647" t="s">
        <v>168</v>
      </c>
      <c r="E44" s="648" t="s">
        <v>396</v>
      </c>
      <c r="F44" s="648" t="s">
        <v>167</v>
      </c>
      <c r="G44" s="608"/>
      <c r="H44" s="41"/>
      <c r="I44" s="1161" t="s">
        <v>350</v>
      </c>
      <c r="J44" s="1162"/>
      <c r="K44" s="647" t="s">
        <v>168</v>
      </c>
      <c r="L44" s="648" t="s">
        <v>396</v>
      </c>
      <c r="M44" s="648" t="s">
        <v>167</v>
      </c>
    </row>
    <row r="45" spans="1:13" ht="12">
      <c r="A45" s="780">
        <f>M42*100+1</f>
        <v>801</v>
      </c>
      <c r="B45" s="1160" t="s">
        <v>390</v>
      </c>
      <c r="C45" s="1160" t="s">
        <v>332</v>
      </c>
      <c r="D45" s="434"/>
      <c r="E45" s="935">
        <v>106.84</v>
      </c>
      <c r="F45" s="433">
        <f aca="true" t="shared" si="8" ref="F45:F50">D45*E45</f>
        <v>0</v>
      </c>
      <c r="G45" s="608"/>
      <c r="H45" s="780">
        <f>A79+1</f>
        <v>828</v>
      </c>
      <c r="I45" s="1160" t="s">
        <v>135</v>
      </c>
      <c r="J45" s="1160" t="s">
        <v>340</v>
      </c>
      <c r="K45" s="434"/>
      <c r="L45" s="935">
        <v>18.84</v>
      </c>
      <c r="M45" s="433">
        <f aca="true" t="shared" si="9" ref="M45:M50">K45*L45</f>
        <v>0</v>
      </c>
    </row>
    <row r="46" spans="1:13" ht="12">
      <c r="A46" s="780">
        <f aca="true" t="shared" si="10" ref="A46:A51">A45+1</f>
        <v>802</v>
      </c>
      <c r="B46" s="651" t="s">
        <v>391</v>
      </c>
      <c r="C46" s="651" t="s">
        <v>333</v>
      </c>
      <c r="D46" s="434"/>
      <c r="E46" s="935">
        <v>134.39</v>
      </c>
      <c r="F46" s="433">
        <f t="shared" si="8"/>
        <v>0</v>
      </c>
      <c r="G46" s="608"/>
      <c r="H46" s="780">
        <f aca="true" t="shared" si="11" ref="H46:H56">H45+1</f>
        <v>829</v>
      </c>
      <c r="I46" s="651" t="s">
        <v>136</v>
      </c>
      <c r="J46" s="651" t="s">
        <v>341</v>
      </c>
      <c r="K46" s="434"/>
      <c r="L46" s="935">
        <v>181.74</v>
      </c>
      <c r="M46" s="433">
        <f t="shared" si="9"/>
        <v>0</v>
      </c>
    </row>
    <row r="47" spans="1:13" ht="12">
      <c r="A47" s="780">
        <f t="shared" si="10"/>
        <v>803</v>
      </c>
      <c r="B47" s="651" t="s">
        <v>392</v>
      </c>
      <c r="C47" s="651" t="s">
        <v>399</v>
      </c>
      <c r="D47" s="434"/>
      <c r="E47" s="935">
        <v>120.72</v>
      </c>
      <c r="F47" s="433">
        <f t="shared" si="8"/>
        <v>0</v>
      </c>
      <c r="G47" s="608"/>
      <c r="H47" s="780">
        <f t="shared" si="11"/>
        <v>830</v>
      </c>
      <c r="I47" s="651" t="s">
        <v>137</v>
      </c>
      <c r="J47" s="651" t="s">
        <v>342</v>
      </c>
      <c r="K47" s="434"/>
      <c r="L47" s="935">
        <v>376.69</v>
      </c>
      <c r="M47" s="433">
        <f t="shared" si="9"/>
        <v>0</v>
      </c>
    </row>
    <row r="48" spans="1:13" ht="12">
      <c r="A48" s="780">
        <f t="shared" si="10"/>
        <v>804</v>
      </c>
      <c r="B48" s="651" t="s">
        <v>393</v>
      </c>
      <c r="C48" s="651" t="s">
        <v>333</v>
      </c>
      <c r="D48" s="434"/>
      <c r="E48" s="935">
        <v>151.51</v>
      </c>
      <c r="F48" s="433">
        <f t="shared" si="8"/>
        <v>0</v>
      </c>
      <c r="G48" s="608"/>
      <c r="H48" s="780">
        <f t="shared" si="11"/>
        <v>831</v>
      </c>
      <c r="I48" s="651" t="s">
        <v>138</v>
      </c>
      <c r="J48" s="651" t="s">
        <v>343</v>
      </c>
      <c r="K48" s="434"/>
      <c r="L48" s="935">
        <v>92.5</v>
      </c>
      <c r="M48" s="433">
        <f t="shared" si="9"/>
        <v>0</v>
      </c>
    </row>
    <row r="49" spans="1:13" ht="12">
      <c r="A49" s="780">
        <f t="shared" si="10"/>
        <v>805</v>
      </c>
      <c r="B49" s="651" t="s">
        <v>394</v>
      </c>
      <c r="C49" s="651" t="s">
        <v>334</v>
      </c>
      <c r="D49" s="434"/>
      <c r="E49" s="935">
        <v>60.67</v>
      </c>
      <c r="F49" s="433">
        <f t="shared" si="8"/>
        <v>0</v>
      </c>
      <c r="G49" s="608"/>
      <c r="H49" s="780">
        <f t="shared" si="11"/>
        <v>832</v>
      </c>
      <c r="I49" s="651" t="s">
        <v>139</v>
      </c>
      <c r="J49" s="651" t="s">
        <v>344</v>
      </c>
      <c r="K49" s="434"/>
      <c r="L49" s="935">
        <v>62.37</v>
      </c>
      <c r="M49" s="433">
        <f t="shared" si="9"/>
        <v>0</v>
      </c>
    </row>
    <row r="50" spans="1:13" ht="12">
      <c r="A50" s="780">
        <f t="shared" si="10"/>
        <v>806</v>
      </c>
      <c r="B50" s="36" t="s">
        <v>395</v>
      </c>
      <c r="C50" s="36" t="s">
        <v>398</v>
      </c>
      <c r="D50" s="783"/>
      <c r="E50" s="935">
        <v>84.54</v>
      </c>
      <c r="F50" s="784">
        <f t="shared" si="8"/>
        <v>0</v>
      </c>
      <c r="G50" s="608"/>
      <c r="H50" s="780">
        <f t="shared" si="11"/>
        <v>833</v>
      </c>
      <c r="I50" s="651" t="s">
        <v>140</v>
      </c>
      <c r="J50" s="651" t="s">
        <v>345</v>
      </c>
      <c r="K50" s="434"/>
      <c r="L50" s="935">
        <v>78.49</v>
      </c>
      <c r="M50" s="433">
        <f t="shared" si="9"/>
        <v>0</v>
      </c>
    </row>
    <row r="51" spans="1:13" ht="12">
      <c r="A51" s="780">
        <f t="shared" si="10"/>
        <v>807</v>
      </c>
      <c r="B51" s="781" t="str">
        <f>CONCATENATE("Totaal regel ",A45," t/m ",A50,)</f>
        <v>Totaal regel 801 t/m 806</v>
      </c>
      <c r="C51" s="782"/>
      <c r="D51" s="785">
        <f>SUM(D45:D50)</f>
        <v>0</v>
      </c>
      <c r="E51" s="786"/>
      <c r="F51" s="785">
        <f>SUM(F45:F50)</f>
        <v>0</v>
      </c>
      <c r="G51" s="608"/>
      <c r="H51" s="780">
        <f t="shared" si="11"/>
        <v>834</v>
      </c>
      <c r="I51" s="1272" t="s">
        <v>746</v>
      </c>
      <c r="J51" s="453" t="s">
        <v>745</v>
      </c>
      <c r="K51" s="434"/>
      <c r="L51" s="935">
        <v>43.99</v>
      </c>
      <c r="M51" s="433">
        <f>K51*L51</f>
        <v>0</v>
      </c>
    </row>
    <row r="52" spans="1:13" ht="12">
      <c r="A52" s="608"/>
      <c r="B52" s="608"/>
      <c r="C52" s="608"/>
      <c r="D52" s="585"/>
      <c r="E52" s="585"/>
      <c r="F52" s="585"/>
      <c r="G52" s="608"/>
      <c r="H52" s="780">
        <f t="shared" si="11"/>
        <v>835</v>
      </c>
      <c r="I52" s="651" t="s">
        <v>141</v>
      </c>
      <c r="J52" s="651" t="s">
        <v>346</v>
      </c>
      <c r="K52" s="434"/>
      <c r="L52" s="935">
        <v>54.26</v>
      </c>
      <c r="M52" s="433">
        <f>K52*L52</f>
        <v>0</v>
      </c>
    </row>
    <row r="53" spans="1:13" ht="12">
      <c r="A53" s="780">
        <f>A51+1</f>
        <v>808</v>
      </c>
      <c r="B53" s="781" t="s">
        <v>335</v>
      </c>
      <c r="C53" s="782"/>
      <c r="D53" s="434"/>
      <c r="E53" s="935">
        <v>166.46</v>
      </c>
      <c r="F53" s="433">
        <f>D53*E53</f>
        <v>0</v>
      </c>
      <c r="G53" s="608"/>
      <c r="H53" s="780">
        <f t="shared" si="11"/>
        <v>836</v>
      </c>
      <c r="I53" s="651" t="s">
        <v>303</v>
      </c>
      <c r="J53" s="651" t="s">
        <v>347</v>
      </c>
      <c r="K53" s="434"/>
      <c r="L53" s="935">
        <v>188.19</v>
      </c>
      <c r="M53" s="433">
        <f>K53*L53</f>
        <v>0</v>
      </c>
    </row>
    <row r="54" spans="1:13" ht="12">
      <c r="A54" s="41"/>
      <c r="B54" s="42"/>
      <c r="C54" s="42"/>
      <c r="D54" s="43"/>
      <c r="E54" s="42"/>
      <c r="F54" s="90"/>
      <c r="G54" s="608"/>
      <c r="H54" s="780">
        <f t="shared" si="11"/>
        <v>837</v>
      </c>
      <c r="I54" s="651" t="s">
        <v>304</v>
      </c>
      <c r="J54" s="651" t="s">
        <v>348</v>
      </c>
      <c r="K54" s="434"/>
      <c r="L54" s="935">
        <v>702.4</v>
      </c>
      <c r="M54" s="433">
        <f>K54*L54</f>
        <v>0</v>
      </c>
    </row>
    <row r="55" spans="1:13" ht="12">
      <c r="A55" s="41"/>
      <c r="B55" s="1161" t="s">
        <v>336</v>
      </c>
      <c r="C55" s="1162"/>
      <c r="D55" s="647" t="s">
        <v>168</v>
      </c>
      <c r="E55" s="648" t="s">
        <v>396</v>
      </c>
      <c r="F55" s="648" t="s">
        <v>167</v>
      </c>
      <c r="G55" s="608"/>
      <c r="H55" s="780">
        <f t="shared" si="11"/>
        <v>838</v>
      </c>
      <c r="I55" s="36" t="s">
        <v>305</v>
      </c>
      <c r="J55" s="36" t="s">
        <v>349</v>
      </c>
      <c r="K55" s="783"/>
      <c r="L55" s="935">
        <v>35.71</v>
      </c>
      <c r="M55" s="784">
        <f>K55*L55</f>
        <v>0</v>
      </c>
    </row>
    <row r="56" spans="1:13" ht="12">
      <c r="A56" s="780">
        <f>A53+1</f>
        <v>809</v>
      </c>
      <c r="B56" s="1160" t="s">
        <v>254</v>
      </c>
      <c r="C56" s="1160" t="s">
        <v>125</v>
      </c>
      <c r="D56" s="434"/>
      <c r="E56" s="935">
        <v>301.76</v>
      </c>
      <c r="F56" s="433">
        <f>D56*E56</f>
        <v>0</v>
      </c>
      <c r="G56" s="608"/>
      <c r="H56" s="780">
        <f t="shared" si="11"/>
        <v>839</v>
      </c>
      <c r="I56" s="791" t="str">
        <f>CONCATENATE("Totaal regel ",H45," t/m ",H55,)</f>
        <v>Totaal regel 828 t/m 838</v>
      </c>
      <c r="J56" s="792"/>
      <c r="K56" s="785">
        <f>SUM(K45:K55)</f>
        <v>0</v>
      </c>
      <c r="L56" s="786"/>
      <c r="M56" s="785">
        <f>SUM(M45:M55)</f>
        <v>0</v>
      </c>
    </row>
    <row r="57" spans="1:13" ht="12">
      <c r="A57" s="780">
        <f>A56+1</f>
        <v>810</v>
      </c>
      <c r="B57" s="651" t="s">
        <v>255</v>
      </c>
      <c r="C57" s="651" t="s">
        <v>337</v>
      </c>
      <c r="D57" s="434"/>
      <c r="E57" s="935">
        <v>301.76</v>
      </c>
      <c r="F57" s="433">
        <f>D57*E57</f>
        <v>0</v>
      </c>
      <c r="G57" s="608"/>
      <c r="H57" s="41"/>
      <c r="I57" s="566"/>
      <c r="J57" s="566"/>
      <c r="K57" s="43"/>
      <c r="L57" s="569"/>
      <c r="M57" s="664"/>
    </row>
    <row r="58" spans="1:13" ht="12">
      <c r="A58" s="780">
        <f>A57+1</f>
        <v>811</v>
      </c>
      <c r="B58" s="651" t="s">
        <v>256</v>
      </c>
      <c r="C58" s="651" t="s">
        <v>338</v>
      </c>
      <c r="D58" s="434"/>
      <c r="E58" s="935">
        <v>850.6</v>
      </c>
      <c r="F58" s="433">
        <f>D58*E58</f>
        <v>0</v>
      </c>
      <c r="G58" s="608"/>
      <c r="H58" s="41"/>
      <c r="I58" s="1161" t="s">
        <v>351</v>
      </c>
      <c r="J58" s="1162"/>
      <c r="K58" s="647" t="s">
        <v>168</v>
      </c>
      <c r="L58" s="648" t="s">
        <v>396</v>
      </c>
      <c r="M58" s="648" t="s">
        <v>167</v>
      </c>
    </row>
    <row r="59" spans="1:13" ht="12">
      <c r="A59" s="780">
        <f>A58+1</f>
        <v>812</v>
      </c>
      <c r="B59" s="651" t="s">
        <v>257</v>
      </c>
      <c r="C59" s="651" t="s">
        <v>252</v>
      </c>
      <c r="D59" s="434"/>
      <c r="E59" s="935">
        <v>2461.05</v>
      </c>
      <c r="F59" s="433">
        <f>D59*E59</f>
        <v>0</v>
      </c>
      <c r="G59" s="608"/>
      <c r="H59" s="780">
        <f>H56+1</f>
        <v>840</v>
      </c>
      <c r="I59" s="1160" t="s">
        <v>820</v>
      </c>
      <c r="J59" s="1160" t="s">
        <v>340</v>
      </c>
      <c r="K59" s="434"/>
      <c r="L59" s="935">
        <v>18.84</v>
      </c>
      <c r="M59" s="433">
        <f aca="true" t="shared" si="12" ref="M59:M65">K59*L59</f>
        <v>0</v>
      </c>
    </row>
    <row r="60" spans="1:13" ht="12">
      <c r="A60" s="780">
        <f>A59+1</f>
        <v>813</v>
      </c>
      <c r="B60" s="36" t="s">
        <v>258</v>
      </c>
      <c r="C60" s="36" t="s">
        <v>253</v>
      </c>
      <c r="D60" s="783"/>
      <c r="E60" s="971">
        <v>1189.52</v>
      </c>
      <c r="F60" s="784">
        <f>D60*E60</f>
        <v>0</v>
      </c>
      <c r="G60" s="608"/>
      <c r="H60" s="780">
        <f aca="true" t="shared" si="13" ref="H60:H70">H59+1</f>
        <v>841</v>
      </c>
      <c r="I60" s="1160" t="s">
        <v>821</v>
      </c>
      <c r="J60" s="651" t="s">
        <v>341</v>
      </c>
      <c r="K60" s="434"/>
      <c r="L60" s="935">
        <v>181.74</v>
      </c>
      <c r="M60" s="433">
        <f t="shared" si="12"/>
        <v>0</v>
      </c>
    </row>
    <row r="61" spans="1:13" ht="12">
      <c r="A61" s="780">
        <f>A60+1</f>
        <v>814</v>
      </c>
      <c r="B61" s="781" t="str">
        <f>CONCATENATE("Totaal regel ",A56," t/m ",A60,)</f>
        <v>Totaal regel 809 t/m 813</v>
      </c>
      <c r="C61" s="782"/>
      <c r="D61" s="785">
        <f>SUM(D56:D60)</f>
        <v>0</v>
      </c>
      <c r="E61" s="786"/>
      <c r="F61" s="785">
        <f>SUM(F56:F60)</f>
        <v>0</v>
      </c>
      <c r="G61" s="608"/>
      <c r="H61" s="780">
        <f t="shared" si="13"/>
        <v>842</v>
      </c>
      <c r="I61" s="1160" t="s">
        <v>822</v>
      </c>
      <c r="J61" s="651" t="s">
        <v>342</v>
      </c>
      <c r="K61" s="434"/>
      <c r="L61" s="935">
        <v>376.69</v>
      </c>
      <c r="M61" s="433">
        <f t="shared" si="12"/>
        <v>0</v>
      </c>
    </row>
    <row r="62" spans="7:13" ht="12">
      <c r="G62" s="608"/>
      <c r="H62" s="780">
        <f t="shared" si="13"/>
        <v>843</v>
      </c>
      <c r="I62" s="1160" t="s">
        <v>823</v>
      </c>
      <c r="J62" s="651" t="s">
        <v>343</v>
      </c>
      <c r="K62" s="434"/>
      <c r="L62" s="935">
        <v>92.5</v>
      </c>
      <c r="M62" s="433">
        <f t="shared" si="12"/>
        <v>0</v>
      </c>
    </row>
    <row r="63" spans="1:13" ht="12">
      <c r="A63" s="41"/>
      <c r="B63" s="566" t="s">
        <v>717</v>
      </c>
      <c r="C63" s="42"/>
      <c r="E63" s="466"/>
      <c r="F63" s="465"/>
      <c r="G63" s="608"/>
      <c r="H63" s="780">
        <f t="shared" si="13"/>
        <v>844</v>
      </c>
      <c r="I63" s="1160" t="s">
        <v>824</v>
      </c>
      <c r="J63" s="651" t="s">
        <v>344</v>
      </c>
      <c r="K63" s="434"/>
      <c r="L63" s="935">
        <v>62.37</v>
      </c>
      <c r="M63" s="433">
        <f t="shared" si="12"/>
        <v>0</v>
      </c>
    </row>
    <row r="64" spans="1:13" ht="12">
      <c r="A64" s="780">
        <f>A61+1</f>
        <v>815</v>
      </c>
      <c r="B64" s="781" t="s">
        <v>543</v>
      </c>
      <c r="C64" s="788"/>
      <c r="D64" s="789"/>
      <c r="E64" s="790"/>
      <c r="F64" s="434"/>
      <c r="G64" s="608"/>
      <c r="H64" s="780">
        <f t="shared" si="13"/>
        <v>845</v>
      </c>
      <c r="I64" s="1160" t="s">
        <v>825</v>
      </c>
      <c r="J64" s="651" t="s">
        <v>345</v>
      </c>
      <c r="K64" s="434"/>
      <c r="L64" s="935">
        <v>78.49</v>
      </c>
      <c r="M64" s="433">
        <f t="shared" si="12"/>
        <v>0</v>
      </c>
    </row>
    <row r="65" spans="6:13" ht="12">
      <c r="F65" s="472"/>
      <c r="G65" s="586"/>
      <c r="H65" s="780">
        <f t="shared" si="13"/>
        <v>846</v>
      </c>
      <c r="I65" s="1272" t="s">
        <v>748</v>
      </c>
      <c r="J65" s="453" t="s">
        <v>745</v>
      </c>
      <c r="K65" s="434"/>
      <c r="L65" s="935">
        <v>43.99</v>
      </c>
      <c r="M65" s="433">
        <f t="shared" si="12"/>
        <v>0</v>
      </c>
    </row>
    <row r="66" spans="7:13" ht="12">
      <c r="G66" s="586"/>
      <c r="H66" s="780">
        <f t="shared" si="13"/>
        <v>847</v>
      </c>
      <c r="I66" s="1160" t="s">
        <v>826</v>
      </c>
      <c r="J66" s="651" t="s">
        <v>346</v>
      </c>
      <c r="K66" s="434"/>
      <c r="L66" s="935">
        <v>54.26</v>
      </c>
      <c r="M66" s="433">
        <f>K66*L66</f>
        <v>0</v>
      </c>
    </row>
    <row r="67" spans="1:13" ht="12">
      <c r="A67" s="41"/>
      <c r="B67" s="1161" t="s">
        <v>339</v>
      </c>
      <c r="C67" s="1162"/>
      <c r="D67" s="647" t="s">
        <v>168</v>
      </c>
      <c r="E67" s="648" t="s">
        <v>396</v>
      </c>
      <c r="F67" s="648" t="s">
        <v>167</v>
      </c>
      <c r="G67" s="586"/>
      <c r="H67" s="780">
        <f t="shared" si="13"/>
        <v>848</v>
      </c>
      <c r="I67" s="1160" t="s">
        <v>827</v>
      </c>
      <c r="J67" s="651" t="s">
        <v>347</v>
      </c>
      <c r="K67" s="434"/>
      <c r="L67" s="935">
        <v>188.19</v>
      </c>
      <c r="M67" s="433">
        <f>K67*L67</f>
        <v>0</v>
      </c>
    </row>
    <row r="68" spans="1:13" ht="12">
      <c r="A68" s="780">
        <f>A64+1</f>
        <v>816</v>
      </c>
      <c r="B68" s="1160" t="s">
        <v>127</v>
      </c>
      <c r="C68" s="1160" t="s">
        <v>340</v>
      </c>
      <c r="D68" s="434"/>
      <c r="E68" s="935">
        <v>18.84</v>
      </c>
      <c r="F68" s="433">
        <f aca="true" t="shared" si="14" ref="F68:F74">D68*E68</f>
        <v>0</v>
      </c>
      <c r="G68" s="586"/>
      <c r="H68" s="780">
        <f t="shared" si="13"/>
        <v>849</v>
      </c>
      <c r="I68" s="1160" t="s">
        <v>828</v>
      </c>
      <c r="J68" s="651" t="s">
        <v>348</v>
      </c>
      <c r="K68" s="434"/>
      <c r="L68" s="935">
        <v>702.4</v>
      </c>
      <c r="M68" s="433">
        <f>K68*L68</f>
        <v>0</v>
      </c>
    </row>
    <row r="69" spans="1:13" ht="12">
      <c r="A69" s="780">
        <f aca="true" t="shared" si="15" ref="A69:A79">A68+1</f>
        <v>817</v>
      </c>
      <c r="B69" s="651" t="s">
        <v>128</v>
      </c>
      <c r="C69" s="651" t="s">
        <v>341</v>
      </c>
      <c r="D69" s="434"/>
      <c r="E69" s="935">
        <v>144.54</v>
      </c>
      <c r="F69" s="433">
        <f t="shared" si="14"/>
        <v>0</v>
      </c>
      <c r="G69" s="586"/>
      <c r="H69" s="780">
        <f t="shared" si="13"/>
        <v>850</v>
      </c>
      <c r="I69" s="1160" t="s">
        <v>829</v>
      </c>
      <c r="J69" s="36" t="s">
        <v>349</v>
      </c>
      <c r="K69" s="783"/>
      <c r="L69" s="935">
        <v>35.71</v>
      </c>
      <c r="M69" s="784">
        <f>K69*L69</f>
        <v>0</v>
      </c>
    </row>
    <row r="70" spans="1:13" ht="12">
      <c r="A70" s="780">
        <f t="shared" si="15"/>
        <v>818</v>
      </c>
      <c r="B70" s="651" t="s">
        <v>129</v>
      </c>
      <c r="C70" s="651" t="s">
        <v>342</v>
      </c>
      <c r="D70" s="434"/>
      <c r="E70" s="935">
        <v>393.83</v>
      </c>
      <c r="F70" s="433">
        <f t="shared" si="14"/>
        <v>0</v>
      </c>
      <c r="G70" s="586"/>
      <c r="H70" s="780">
        <f t="shared" si="13"/>
        <v>851</v>
      </c>
      <c r="I70" s="781" t="str">
        <f>CONCATENATE("Totaal regel ",H59," t/m ",H69,)</f>
        <v>Totaal regel 840 t/m 850</v>
      </c>
      <c r="J70" s="782"/>
      <c r="K70" s="785">
        <f>SUM(K59:K69)</f>
        <v>0</v>
      </c>
      <c r="L70" s="786"/>
      <c r="M70" s="785">
        <f>SUM(M59:M69)</f>
        <v>0</v>
      </c>
    </row>
    <row r="71" spans="1:7" ht="12">
      <c r="A71" s="780">
        <f t="shared" si="15"/>
        <v>819</v>
      </c>
      <c r="B71" s="651" t="s">
        <v>130</v>
      </c>
      <c r="C71" s="651" t="s">
        <v>343</v>
      </c>
      <c r="D71" s="434"/>
      <c r="E71" s="935">
        <v>136.81</v>
      </c>
      <c r="F71" s="433">
        <f t="shared" si="14"/>
        <v>0</v>
      </c>
      <c r="G71" s="586"/>
    </row>
    <row r="72" spans="1:13" ht="12">
      <c r="A72" s="780">
        <f t="shared" si="15"/>
        <v>820</v>
      </c>
      <c r="B72" s="651" t="s">
        <v>131</v>
      </c>
      <c r="C72" s="651" t="s">
        <v>344</v>
      </c>
      <c r="D72" s="434"/>
      <c r="E72" s="935">
        <v>88.04</v>
      </c>
      <c r="F72" s="433">
        <f t="shared" si="14"/>
        <v>0</v>
      </c>
      <c r="G72" s="586"/>
      <c r="H72" s="41"/>
      <c r="I72" s="1161" t="s">
        <v>352</v>
      </c>
      <c r="J72" s="1162"/>
      <c r="K72" s="647" t="s">
        <v>168</v>
      </c>
      <c r="L72" s="648" t="s">
        <v>396</v>
      </c>
      <c r="M72" s="648" t="s">
        <v>167</v>
      </c>
    </row>
    <row r="73" spans="1:13" ht="12">
      <c r="A73" s="780">
        <f t="shared" si="15"/>
        <v>821</v>
      </c>
      <c r="B73" s="651" t="s">
        <v>132</v>
      </c>
      <c r="C73" s="651" t="s">
        <v>345</v>
      </c>
      <c r="D73" s="434"/>
      <c r="E73" s="935">
        <v>82.68</v>
      </c>
      <c r="F73" s="433">
        <f t="shared" si="14"/>
        <v>0</v>
      </c>
      <c r="G73" s="586"/>
      <c r="H73" s="780">
        <f>H70+1</f>
        <v>852</v>
      </c>
      <c r="I73" s="1160" t="s">
        <v>830</v>
      </c>
      <c r="J73" s="1160" t="s">
        <v>340</v>
      </c>
      <c r="K73" s="434"/>
      <c r="L73" s="935">
        <v>18.84</v>
      </c>
      <c r="M73" s="433">
        <f aca="true" t="shared" si="16" ref="M73:M79">K73*L73</f>
        <v>0</v>
      </c>
    </row>
    <row r="74" spans="1:13" ht="12">
      <c r="A74" s="780">
        <f t="shared" si="15"/>
        <v>822</v>
      </c>
      <c r="B74" s="1029" t="s">
        <v>747</v>
      </c>
      <c r="C74" s="453" t="s">
        <v>745</v>
      </c>
      <c r="D74" s="434"/>
      <c r="E74" s="935">
        <v>46.08</v>
      </c>
      <c r="F74" s="433">
        <f t="shared" si="14"/>
        <v>0</v>
      </c>
      <c r="G74" s="586"/>
      <c r="H74" s="780">
        <f aca="true" t="shared" si="17" ref="H74:H83">H73+1</f>
        <v>853</v>
      </c>
      <c r="I74" s="1160" t="s">
        <v>831</v>
      </c>
      <c r="J74" s="651" t="s">
        <v>341</v>
      </c>
      <c r="K74" s="434"/>
      <c r="L74" s="935">
        <v>181.74</v>
      </c>
      <c r="M74" s="433">
        <f t="shared" si="16"/>
        <v>0</v>
      </c>
    </row>
    <row r="75" spans="1:13" ht="12">
      <c r="A75" s="780">
        <f t="shared" si="15"/>
        <v>823</v>
      </c>
      <c r="B75" s="651" t="s">
        <v>133</v>
      </c>
      <c r="C75" s="651" t="s">
        <v>346</v>
      </c>
      <c r="D75" s="434"/>
      <c r="E75" s="935">
        <v>57.23</v>
      </c>
      <c r="F75" s="433">
        <f>D75*E75</f>
        <v>0</v>
      </c>
      <c r="G75" s="586"/>
      <c r="H75" s="780">
        <f t="shared" si="17"/>
        <v>854</v>
      </c>
      <c r="I75" s="1160" t="s">
        <v>832</v>
      </c>
      <c r="J75" s="651" t="s">
        <v>342</v>
      </c>
      <c r="K75" s="434"/>
      <c r="L75" s="935">
        <v>376.69</v>
      </c>
      <c r="M75" s="433">
        <f t="shared" si="16"/>
        <v>0</v>
      </c>
    </row>
    <row r="76" spans="1:13" ht="12">
      <c r="A76" s="780">
        <f t="shared" si="15"/>
        <v>824</v>
      </c>
      <c r="B76" s="651" t="s">
        <v>300</v>
      </c>
      <c r="C76" s="651" t="s">
        <v>347</v>
      </c>
      <c r="D76" s="434"/>
      <c r="E76" s="935">
        <v>188.19</v>
      </c>
      <c r="F76" s="433">
        <f>D76*E76</f>
        <v>0</v>
      </c>
      <c r="G76" s="586"/>
      <c r="H76" s="780">
        <f t="shared" si="17"/>
        <v>855</v>
      </c>
      <c r="I76" s="1160" t="s">
        <v>833</v>
      </c>
      <c r="J76" s="651" t="s">
        <v>343</v>
      </c>
      <c r="K76" s="434"/>
      <c r="L76" s="935">
        <v>92.5</v>
      </c>
      <c r="M76" s="433">
        <f t="shared" si="16"/>
        <v>0</v>
      </c>
    </row>
    <row r="77" spans="1:13" ht="12">
      <c r="A77" s="780">
        <f t="shared" si="15"/>
        <v>825</v>
      </c>
      <c r="B77" s="651" t="s">
        <v>301</v>
      </c>
      <c r="C77" s="651" t="s">
        <v>348</v>
      </c>
      <c r="D77" s="434"/>
      <c r="E77" s="935">
        <v>702.4</v>
      </c>
      <c r="F77" s="433">
        <f>D77*E77</f>
        <v>0</v>
      </c>
      <c r="G77" s="586"/>
      <c r="H77" s="780">
        <f t="shared" si="17"/>
        <v>856</v>
      </c>
      <c r="I77" s="1160" t="s">
        <v>834</v>
      </c>
      <c r="J77" s="651" t="s">
        <v>344</v>
      </c>
      <c r="K77" s="434"/>
      <c r="L77" s="935">
        <v>62.37</v>
      </c>
      <c r="M77" s="433">
        <f t="shared" si="16"/>
        <v>0</v>
      </c>
    </row>
    <row r="78" spans="1:13" ht="12">
      <c r="A78" s="780">
        <f t="shared" si="15"/>
        <v>826</v>
      </c>
      <c r="B78" s="36" t="s">
        <v>302</v>
      </c>
      <c r="C78" s="36" t="s">
        <v>349</v>
      </c>
      <c r="D78" s="783"/>
      <c r="E78" s="935">
        <v>35.71</v>
      </c>
      <c r="F78" s="784">
        <f>D78*E78</f>
        <v>0</v>
      </c>
      <c r="G78" s="584"/>
      <c r="H78" s="780">
        <f t="shared" si="17"/>
        <v>857</v>
      </c>
      <c r="I78" s="1160" t="s">
        <v>835</v>
      </c>
      <c r="J78" s="651" t="s">
        <v>345</v>
      </c>
      <c r="K78" s="434"/>
      <c r="L78" s="935">
        <v>78.49</v>
      </c>
      <c r="M78" s="433">
        <f t="shared" si="16"/>
        <v>0</v>
      </c>
    </row>
    <row r="79" spans="1:13" ht="12">
      <c r="A79" s="780">
        <f t="shared" si="15"/>
        <v>827</v>
      </c>
      <c r="B79" s="781" t="str">
        <f>CONCATENATE("Totaal regel ",A68," t/m ",A78,)</f>
        <v>Totaal regel 816 t/m 826</v>
      </c>
      <c r="C79" s="782"/>
      <c r="D79" s="785">
        <f>SUM(D68:D78)</f>
        <v>0</v>
      </c>
      <c r="E79" s="786"/>
      <c r="F79" s="785">
        <f>SUM(F68:F78)</f>
        <v>0</v>
      </c>
      <c r="G79" s="584"/>
      <c r="H79" s="780">
        <f t="shared" si="17"/>
        <v>858</v>
      </c>
      <c r="I79" s="1272" t="s">
        <v>749</v>
      </c>
      <c r="J79" s="453" t="s">
        <v>745</v>
      </c>
      <c r="K79" s="434"/>
      <c r="L79" s="935">
        <v>43.99</v>
      </c>
      <c r="M79" s="433">
        <f t="shared" si="16"/>
        <v>0</v>
      </c>
    </row>
    <row r="80" spans="7:13" ht="12">
      <c r="G80" s="586"/>
      <c r="H80" s="780">
        <f t="shared" si="17"/>
        <v>859</v>
      </c>
      <c r="I80" s="1160" t="s">
        <v>836</v>
      </c>
      <c r="J80" s="651" t="s">
        <v>346</v>
      </c>
      <c r="K80" s="434"/>
      <c r="L80" s="935">
        <v>54.26</v>
      </c>
      <c r="M80" s="433">
        <f>K80*L80</f>
        <v>0</v>
      </c>
    </row>
    <row r="81" spans="6:13" ht="12">
      <c r="F81" s="472"/>
      <c r="G81" s="586"/>
      <c r="H81" s="780">
        <f t="shared" si="17"/>
        <v>860</v>
      </c>
      <c r="I81" s="1160" t="s">
        <v>837</v>
      </c>
      <c r="J81" s="651" t="s">
        <v>347</v>
      </c>
      <c r="K81" s="434"/>
      <c r="L81" s="935">
        <v>188.19</v>
      </c>
      <c r="M81" s="433">
        <f>K81*L81</f>
        <v>0</v>
      </c>
    </row>
    <row r="82" spans="6:13" ht="12">
      <c r="F82" s="472"/>
      <c r="G82" s="586"/>
      <c r="H82" s="780">
        <f t="shared" si="17"/>
        <v>861</v>
      </c>
      <c r="I82" s="1160" t="s">
        <v>838</v>
      </c>
      <c r="J82" s="651" t="s">
        <v>348</v>
      </c>
      <c r="K82" s="434"/>
      <c r="L82" s="935">
        <v>702.4</v>
      </c>
      <c r="M82" s="433">
        <f>K82*L82</f>
        <v>0</v>
      </c>
    </row>
    <row r="83" spans="6:13" ht="12">
      <c r="F83" s="472"/>
      <c r="G83" s="586"/>
      <c r="H83" s="780">
        <f t="shared" si="17"/>
        <v>862</v>
      </c>
      <c r="I83" s="1160" t="s">
        <v>839</v>
      </c>
      <c r="J83" s="36" t="s">
        <v>349</v>
      </c>
      <c r="K83" s="783"/>
      <c r="L83" s="935">
        <v>35.71</v>
      </c>
      <c r="M83" s="784">
        <f>K83*L83</f>
        <v>0</v>
      </c>
    </row>
    <row r="84" spans="6:13" ht="12">
      <c r="F84" s="472"/>
      <c r="G84" s="586"/>
      <c r="H84" s="780">
        <f>H83+1</f>
        <v>863</v>
      </c>
      <c r="I84" s="781" t="str">
        <f>CONCATENATE("Totaal regel ",H73," t/m ",H83,)</f>
        <v>Totaal regel 852 t/m 862</v>
      </c>
      <c r="J84" s="782"/>
      <c r="K84" s="785">
        <f>SUM(K73:K83)</f>
        <v>0</v>
      </c>
      <c r="L84" s="786"/>
      <c r="M84" s="785">
        <f>SUM(M73:M83)</f>
        <v>0</v>
      </c>
    </row>
    <row r="85" spans="6:7" ht="12">
      <c r="F85" s="472"/>
      <c r="G85" s="586"/>
    </row>
    <row r="86" spans="6:7" ht="12">
      <c r="F86" s="472"/>
      <c r="G86" s="586"/>
    </row>
    <row r="87" spans="1:7" ht="12">
      <c r="A87" s="608"/>
      <c r="B87" s="608"/>
      <c r="C87" s="608"/>
      <c r="D87" s="585"/>
      <c r="E87" s="585"/>
      <c r="F87" s="1066"/>
      <c r="G87" s="586"/>
    </row>
    <row r="88" ht="15.75" customHeight="1">
      <c r="G88" s="586"/>
    </row>
    <row r="89" spans="1:14" ht="15.75" customHeight="1">
      <c r="A89" s="622" t="str">
        <f>Inhoud!$A$2</f>
        <v>Nacalculatieformulier 2004 GGZ-instellingen</v>
      </c>
      <c r="B89" s="637"/>
      <c r="C89" s="637"/>
      <c r="D89" s="641"/>
      <c r="E89" s="641"/>
      <c r="F89" s="637"/>
      <c r="G89" s="637"/>
      <c r="H89" s="637"/>
      <c r="I89" s="637"/>
      <c r="J89" s="637"/>
      <c r="K89" s="637"/>
      <c r="L89" s="637"/>
      <c r="M89" s="1302">
        <f>M42+1</f>
        <v>9</v>
      </c>
      <c r="N89" s="515"/>
    </row>
    <row r="90" spans="6:7" ht="12">
      <c r="F90" s="1270"/>
      <c r="G90" s="586"/>
    </row>
    <row r="91" spans="6:13" ht="12">
      <c r="F91" s="907"/>
      <c r="G91" s="586"/>
      <c r="H91" s="26"/>
      <c r="I91" s="27" t="s">
        <v>689</v>
      </c>
      <c r="J91" s="451"/>
      <c r="K91" s="451"/>
      <c r="L91" s="451"/>
      <c r="M91" s="451"/>
    </row>
    <row r="92" spans="1:13" ht="12" customHeight="1">
      <c r="A92" s="41"/>
      <c r="B92" s="1161" t="s">
        <v>353</v>
      </c>
      <c r="C92" s="1162"/>
      <c r="D92" s="647" t="s">
        <v>168</v>
      </c>
      <c r="E92" s="648" t="s">
        <v>396</v>
      </c>
      <c r="F92" s="648" t="s">
        <v>167</v>
      </c>
      <c r="G92" s="584"/>
      <c r="H92" s="635"/>
      <c r="I92" s="646" t="s">
        <v>282</v>
      </c>
      <c r="J92" s="646" t="s">
        <v>64</v>
      </c>
      <c r="K92" s="647" t="s">
        <v>168</v>
      </c>
      <c r="L92" s="648" t="s">
        <v>532</v>
      </c>
      <c r="M92" s="648" t="s">
        <v>167</v>
      </c>
    </row>
    <row r="93" spans="1:15" ht="12" customHeight="1">
      <c r="A93" s="780">
        <f>M89*100+1</f>
        <v>901</v>
      </c>
      <c r="B93" s="1160" t="s">
        <v>238</v>
      </c>
      <c r="C93" s="1160" t="s">
        <v>340</v>
      </c>
      <c r="D93" s="434"/>
      <c r="E93" s="935">
        <v>18.84</v>
      </c>
      <c r="F93" s="433">
        <f aca="true" t="shared" si="18" ref="F93:F100">D93*E93</f>
        <v>0</v>
      </c>
      <c r="G93" s="584"/>
      <c r="H93" s="780">
        <f>A122+1</f>
        <v>927</v>
      </c>
      <c r="I93" s="36" t="s">
        <v>668</v>
      </c>
      <c r="J93" s="574" t="s">
        <v>674</v>
      </c>
      <c r="K93" s="434"/>
      <c r="L93" s="1271"/>
      <c r="M93" s="433">
        <f>K93*L93</f>
        <v>0</v>
      </c>
      <c r="N93"/>
      <c r="O93"/>
    </row>
    <row r="94" spans="1:15" ht="12" customHeight="1">
      <c r="A94" s="780">
        <f aca="true" t="shared" si="19" ref="A94:A101">A93+1</f>
        <v>902</v>
      </c>
      <c r="B94" s="651" t="s">
        <v>142</v>
      </c>
      <c r="C94" s="651" t="s">
        <v>341</v>
      </c>
      <c r="D94" s="434"/>
      <c r="E94" s="935">
        <v>347.1</v>
      </c>
      <c r="F94" s="433">
        <f t="shared" si="18"/>
        <v>0</v>
      </c>
      <c r="G94" s="584"/>
      <c r="H94" s="780">
        <f>H93+1</f>
        <v>928</v>
      </c>
      <c r="I94" s="36" t="s">
        <v>669</v>
      </c>
      <c r="J94" s="574" t="s">
        <v>675</v>
      </c>
      <c r="K94" s="434"/>
      <c r="L94" s="1271"/>
      <c r="M94" s="433">
        <f aca="true" t="shared" si="20" ref="M94:M109">K94*L94</f>
        <v>0</v>
      </c>
      <c r="N94"/>
      <c r="O94"/>
    </row>
    <row r="95" spans="1:15" ht="12" customHeight="1">
      <c r="A95" s="780">
        <f t="shared" si="19"/>
        <v>903</v>
      </c>
      <c r="B95" s="651" t="s">
        <v>143</v>
      </c>
      <c r="C95" s="651" t="s">
        <v>343</v>
      </c>
      <c r="D95" s="434"/>
      <c r="E95" s="935">
        <v>183.03</v>
      </c>
      <c r="F95" s="433">
        <f t="shared" si="18"/>
        <v>0</v>
      </c>
      <c r="G95" s="584"/>
      <c r="H95" s="780">
        <f aca="true" t="shared" si="21" ref="H95:H106">H94+1</f>
        <v>929</v>
      </c>
      <c r="I95" s="36" t="s">
        <v>670</v>
      </c>
      <c r="J95" s="574" t="s">
        <v>676</v>
      </c>
      <c r="K95" s="434"/>
      <c r="L95" s="1271"/>
      <c r="M95" s="433">
        <f t="shared" si="20"/>
        <v>0</v>
      </c>
      <c r="N95"/>
      <c r="O95"/>
    </row>
    <row r="96" spans="1:15" ht="12" customHeight="1">
      <c r="A96" s="780">
        <f t="shared" si="19"/>
        <v>904</v>
      </c>
      <c r="B96" s="651" t="s">
        <v>144</v>
      </c>
      <c r="C96" s="651" t="s">
        <v>344</v>
      </c>
      <c r="D96" s="434"/>
      <c r="E96" s="935">
        <v>108.19</v>
      </c>
      <c r="F96" s="433">
        <f t="shared" si="18"/>
        <v>0</v>
      </c>
      <c r="G96" s="584"/>
      <c r="H96" s="780">
        <f t="shared" si="21"/>
        <v>930</v>
      </c>
      <c r="I96" s="36" t="s">
        <v>671</v>
      </c>
      <c r="J96" s="574" t="s">
        <v>682</v>
      </c>
      <c r="K96" s="434"/>
      <c r="L96" s="1271"/>
      <c r="M96" s="433">
        <f t="shared" si="20"/>
        <v>0</v>
      </c>
      <c r="N96"/>
      <c r="O96"/>
    </row>
    <row r="97" spans="1:15" ht="12" customHeight="1">
      <c r="A97" s="780">
        <f t="shared" si="19"/>
        <v>905</v>
      </c>
      <c r="B97" s="651" t="s">
        <v>145</v>
      </c>
      <c r="C97" s="651" t="s">
        <v>345</v>
      </c>
      <c r="D97" s="434"/>
      <c r="E97" s="935">
        <v>100.08</v>
      </c>
      <c r="F97" s="433">
        <f t="shared" si="18"/>
        <v>0</v>
      </c>
      <c r="G97" s="584"/>
      <c r="H97" s="780">
        <f t="shared" si="21"/>
        <v>931</v>
      </c>
      <c r="I97" s="36" t="s">
        <v>672</v>
      </c>
      <c r="J97" s="574" t="s">
        <v>677</v>
      </c>
      <c r="K97" s="434"/>
      <c r="L97" s="1271"/>
      <c r="M97" s="433">
        <f t="shared" si="20"/>
        <v>0</v>
      </c>
      <c r="N97"/>
      <c r="O97"/>
    </row>
    <row r="98" spans="1:13" ht="12">
      <c r="A98" s="780">
        <f t="shared" si="19"/>
        <v>906</v>
      </c>
      <c r="B98" s="1272" t="s">
        <v>750</v>
      </c>
      <c r="C98" s="453" t="s">
        <v>745</v>
      </c>
      <c r="D98" s="434"/>
      <c r="E98" s="935">
        <v>54.79</v>
      </c>
      <c r="F98" s="433">
        <f t="shared" si="18"/>
        <v>0</v>
      </c>
      <c r="G98" s="584"/>
      <c r="H98" s="780">
        <f t="shared" si="21"/>
        <v>932</v>
      </c>
      <c r="I98" s="36" t="s">
        <v>673</v>
      </c>
      <c r="J98" s="574" t="s">
        <v>678</v>
      </c>
      <c r="K98" s="434"/>
      <c r="L98" s="1271"/>
      <c r="M98" s="433">
        <f t="shared" si="20"/>
        <v>0</v>
      </c>
    </row>
    <row r="99" spans="1:13" ht="12">
      <c r="A99" s="780">
        <f t="shared" si="19"/>
        <v>907</v>
      </c>
      <c r="B99" s="1179" t="s">
        <v>237</v>
      </c>
      <c r="C99" s="1179" t="s">
        <v>346</v>
      </c>
      <c r="D99" s="783"/>
      <c r="E99" s="935">
        <v>70.45</v>
      </c>
      <c r="F99" s="784">
        <f t="shared" si="18"/>
        <v>0</v>
      </c>
      <c r="G99" s="584"/>
      <c r="H99" s="780">
        <f t="shared" si="21"/>
        <v>933</v>
      </c>
      <c r="I99" s="36" t="s">
        <v>680</v>
      </c>
      <c r="J99" s="574" t="s">
        <v>679</v>
      </c>
      <c r="K99" s="434"/>
      <c r="L99" s="1271"/>
      <c r="M99" s="433">
        <f t="shared" si="20"/>
        <v>0</v>
      </c>
    </row>
    <row r="100" spans="1:13" ht="12">
      <c r="A100" s="780">
        <f t="shared" si="19"/>
        <v>908</v>
      </c>
      <c r="B100" s="1272" t="s">
        <v>751</v>
      </c>
      <c r="C100" s="453" t="s">
        <v>730</v>
      </c>
      <c r="D100" s="434"/>
      <c r="E100" s="935">
        <v>90.75</v>
      </c>
      <c r="F100" s="433">
        <f t="shared" si="18"/>
        <v>0</v>
      </c>
      <c r="G100" s="584"/>
      <c r="H100" s="780">
        <f t="shared" si="21"/>
        <v>934</v>
      </c>
      <c r="I100" s="36" t="s">
        <v>681</v>
      </c>
      <c r="J100" s="574" t="s">
        <v>683</v>
      </c>
      <c r="K100" s="434"/>
      <c r="L100" s="1271"/>
      <c r="M100" s="433">
        <f t="shared" si="20"/>
        <v>0</v>
      </c>
    </row>
    <row r="101" spans="1:13" ht="12">
      <c r="A101" s="780">
        <f t="shared" si="19"/>
        <v>909</v>
      </c>
      <c r="B101" s="781" t="str">
        <f>CONCATENATE("Totaal regel ",A93," t/m ",A100)</f>
        <v>Totaal regel 901 t/m 908</v>
      </c>
      <c r="C101" s="782"/>
      <c r="D101" s="785">
        <f>SUM(D93:D100)</f>
        <v>0</v>
      </c>
      <c r="E101" s="786"/>
      <c r="F101" s="785">
        <f>SUM(F93:F100)</f>
        <v>0</v>
      </c>
      <c r="G101" s="586"/>
      <c r="H101" s="780">
        <f t="shared" si="21"/>
        <v>935</v>
      </c>
      <c r="I101" s="36" t="s">
        <v>685</v>
      </c>
      <c r="J101" s="574" t="s">
        <v>684</v>
      </c>
      <c r="K101" s="434"/>
      <c r="L101" s="1271"/>
      <c r="M101" s="433">
        <f t="shared" si="20"/>
        <v>0</v>
      </c>
    </row>
    <row r="102" spans="1:13" ht="12">
      <c r="A102" s="1273"/>
      <c r="B102" s="42"/>
      <c r="C102" s="566"/>
      <c r="E102" s="569"/>
      <c r="F102" s="465"/>
      <c r="G102" s="586"/>
      <c r="H102" s="780">
        <f t="shared" si="21"/>
        <v>936</v>
      </c>
      <c r="I102" s="36" t="s">
        <v>687</v>
      </c>
      <c r="J102" s="575" t="s">
        <v>688</v>
      </c>
      <c r="K102" s="434"/>
      <c r="L102" s="1271"/>
      <c r="M102" s="433">
        <f t="shared" si="20"/>
        <v>0</v>
      </c>
    </row>
    <row r="103" spans="1:13" ht="12">
      <c r="A103" s="1274"/>
      <c r="B103" s="1161" t="s">
        <v>354</v>
      </c>
      <c r="C103" s="1162"/>
      <c r="D103" s="647" t="s">
        <v>168</v>
      </c>
      <c r="E103" s="648" t="s">
        <v>396</v>
      </c>
      <c r="F103" s="648" t="s">
        <v>167</v>
      </c>
      <c r="G103" s="586"/>
      <c r="H103" s="780">
        <f t="shared" si="21"/>
        <v>937</v>
      </c>
      <c r="I103" s="434"/>
      <c r="J103" s="588"/>
      <c r="K103" s="434"/>
      <c r="L103" s="1271"/>
      <c r="M103" s="433">
        <f t="shared" si="20"/>
        <v>0</v>
      </c>
    </row>
    <row r="104" spans="1:13" ht="12.75" customHeight="1">
      <c r="A104" s="780">
        <f>A101+1</f>
        <v>910</v>
      </c>
      <c r="B104" s="1160" t="s">
        <v>631</v>
      </c>
      <c r="C104" s="1160" t="s">
        <v>754</v>
      </c>
      <c r="D104" s="434"/>
      <c r="E104" s="935">
        <v>64.16</v>
      </c>
      <c r="F104" s="433">
        <f>D104*E104</f>
        <v>0</v>
      </c>
      <c r="G104" s="586"/>
      <c r="H104" s="780">
        <f t="shared" si="21"/>
        <v>938</v>
      </c>
      <c r="I104" s="434"/>
      <c r="J104" s="588"/>
      <c r="K104" s="434"/>
      <c r="L104" s="1271"/>
      <c r="M104" s="433">
        <f t="shared" si="20"/>
        <v>0</v>
      </c>
    </row>
    <row r="105" spans="1:15" ht="12.75" customHeight="1">
      <c r="A105" s="780">
        <f>A104+1</f>
        <v>911</v>
      </c>
      <c r="B105" s="651" t="s">
        <v>631</v>
      </c>
      <c r="C105" s="651" t="s">
        <v>755</v>
      </c>
      <c r="D105" s="434"/>
      <c r="E105" s="935">
        <v>64.16</v>
      </c>
      <c r="F105" s="433">
        <f>D105*E105</f>
        <v>0</v>
      </c>
      <c r="G105" s="586"/>
      <c r="H105" s="780">
        <f t="shared" si="21"/>
        <v>939</v>
      </c>
      <c r="I105" s="434"/>
      <c r="J105" s="588"/>
      <c r="K105" s="434"/>
      <c r="L105" s="1271"/>
      <c r="M105" s="433">
        <f t="shared" si="20"/>
        <v>0</v>
      </c>
      <c r="O105"/>
    </row>
    <row r="106" spans="1:15" ht="12.75" customHeight="1">
      <c r="A106" s="780">
        <f>A105+1</f>
        <v>912</v>
      </c>
      <c r="B106" s="781" t="str">
        <f>CONCATENATE("Totaal regel ",A104," t/m ",A105,)</f>
        <v>Totaal regel 910 t/m 911</v>
      </c>
      <c r="C106" s="781"/>
      <c r="D106" s="785">
        <f>SUM(D104:D105)</f>
        <v>0</v>
      </c>
      <c r="E106" s="786"/>
      <c r="F106" s="785">
        <f>F104+F105</f>
        <v>0</v>
      </c>
      <c r="G106" s="584"/>
      <c r="H106" s="780">
        <f t="shared" si="21"/>
        <v>940</v>
      </c>
      <c r="I106" s="434"/>
      <c r="J106" s="588"/>
      <c r="K106" s="434"/>
      <c r="L106" s="1271"/>
      <c r="M106" s="433">
        <f t="shared" si="20"/>
        <v>0</v>
      </c>
      <c r="O106"/>
    </row>
    <row r="107" spans="6:15" ht="12.75" customHeight="1">
      <c r="F107" s="1276"/>
      <c r="G107" s="586"/>
      <c r="H107" s="780">
        <f>H106+1</f>
        <v>941</v>
      </c>
      <c r="I107" s="434"/>
      <c r="J107" s="588"/>
      <c r="K107" s="434"/>
      <c r="L107" s="1271"/>
      <c r="M107" s="433">
        <f t="shared" si="20"/>
        <v>0</v>
      </c>
      <c r="O107"/>
    </row>
    <row r="108" spans="1:15" ht="12.75" customHeight="1">
      <c r="A108" s="41"/>
      <c r="B108" s="1161" t="s">
        <v>74</v>
      </c>
      <c r="C108" s="663"/>
      <c r="D108" s="647" t="s">
        <v>168</v>
      </c>
      <c r="E108" s="648" t="s">
        <v>396</v>
      </c>
      <c r="F108" s="648" t="s">
        <v>167</v>
      </c>
      <c r="G108" s="584"/>
      <c r="H108" s="780">
        <f>H107+1</f>
        <v>942</v>
      </c>
      <c r="I108" s="434"/>
      <c r="J108" s="588"/>
      <c r="K108" s="434"/>
      <c r="L108" s="1271"/>
      <c r="M108" s="433">
        <f t="shared" si="20"/>
        <v>0</v>
      </c>
      <c r="O108"/>
    </row>
    <row r="109" spans="1:13" ht="12.75" customHeight="1">
      <c r="A109" s="780">
        <f>A106+1</f>
        <v>913</v>
      </c>
      <c r="B109" s="651" t="s">
        <v>760</v>
      </c>
      <c r="C109" s="651" t="s">
        <v>752</v>
      </c>
      <c r="D109" s="434"/>
      <c r="E109" s="935">
        <v>125.43</v>
      </c>
      <c r="F109" s="433">
        <f aca="true" t="shared" si="22" ref="F109:F114">D109*E109</f>
        <v>0</v>
      </c>
      <c r="G109" s="584"/>
      <c r="H109" s="780">
        <f>H108+1</f>
        <v>943</v>
      </c>
      <c r="I109" s="434"/>
      <c r="J109" s="588"/>
      <c r="K109" s="434"/>
      <c r="L109" s="1271"/>
      <c r="M109" s="433">
        <f t="shared" si="20"/>
        <v>0</v>
      </c>
    </row>
    <row r="110" spans="1:13" ht="12.75" customHeight="1">
      <c r="A110" s="780">
        <f>A109+1</f>
        <v>914</v>
      </c>
      <c r="B110" s="651" t="s">
        <v>760</v>
      </c>
      <c r="C110" s="651" t="s">
        <v>753</v>
      </c>
      <c r="D110" s="434"/>
      <c r="E110" s="936">
        <v>125.43</v>
      </c>
      <c r="F110" s="433">
        <f t="shared" si="22"/>
        <v>0</v>
      </c>
      <c r="G110" s="584"/>
      <c r="H110" s="780">
        <f>H109+1</f>
        <v>944</v>
      </c>
      <c r="I110" s="781" t="str">
        <f>CONCATENATE("Totaal regel ",H93," t/m ",H109)</f>
        <v>Totaal regel 927 t/m 943</v>
      </c>
      <c r="J110" s="782"/>
      <c r="K110" s="785">
        <f>SUM(K93:K109)</f>
        <v>0</v>
      </c>
      <c r="L110" s="786"/>
      <c r="M110" s="785">
        <f>SUM(M93:M109)</f>
        <v>0</v>
      </c>
    </row>
    <row r="111" spans="1:7" ht="12.75" customHeight="1">
      <c r="A111" s="780">
        <f>A110+1</f>
        <v>915</v>
      </c>
      <c r="B111" s="651" t="s">
        <v>761</v>
      </c>
      <c r="C111" s="651" t="s">
        <v>759</v>
      </c>
      <c r="D111" s="434"/>
      <c r="E111" s="936">
        <v>142.22</v>
      </c>
      <c r="F111" s="433">
        <f t="shared" si="22"/>
        <v>0</v>
      </c>
      <c r="G111" s="584"/>
    </row>
    <row r="112" spans="1:7" ht="12">
      <c r="A112" s="780">
        <f>A111+1</f>
        <v>916</v>
      </c>
      <c r="B112" s="1275" t="s">
        <v>762</v>
      </c>
      <c r="C112" s="651" t="s">
        <v>758</v>
      </c>
      <c r="D112" s="434"/>
      <c r="E112" s="936">
        <v>1457.94</v>
      </c>
      <c r="F112" s="433">
        <f t="shared" si="22"/>
        <v>0</v>
      </c>
      <c r="G112" s="586"/>
    </row>
    <row r="113" spans="1:13" ht="12" customHeight="1">
      <c r="A113" s="780">
        <f>A112+1</f>
        <v>917</v>
      </c>
      <c r="B113" s="651" t="s">
        <v>871</v>
      </c>
      <c r="C113" s="796" t="s">
        <v>757</v>
      </c>
      <c r="D113" s="434"/>
      <c r="E113" s="937">
        <v>74.45</v>
      </c>
      <c r="F113" s="433">
        <f t="shared" si="22"/>
        <v>0</v>
      </c>
      <c r="G113" s="586"/>
      <c r="L113" s="1533"/>
      <c r="M113" s="1533"/>
    </row>
    <row r="114" spans="1:13" ht="12" customHeight="1">
      <c r="A114" s="780">
        <f aca="true" t="shared" si="23" ref="A114:A119">A113+1</f>
        <v>918</v>
      </c>
      <c r="B114" s="1275" t="s">
        <v>762</v>
      </c>
      <c r="C114" s="574" t="s">
        <v>756</v>
      </c>
      <c r="D114" s="434"/>
      <c r="E114" s="936">
        <v>2921.92</v>
      </c>
      <c r="F114" s="433">
        <f t="shared" si="22"/>
        <v>0</v>
      </c>
      <c r="G114" s="584"/>
      <c r="L114" s="1533"/>
      <c r="M114" s="1533"/>
    </row>
    <row r="115" spans="1:13" ht="12" customHeight="1">
      <c r="A115" s="780">
        <f t="shared" si="23"/>
        <v>919</v>
      </c>
      <c r="B115" s="651" t="s">
        <v>644</v>
      </c>
      <c r="C115" s="456" t="s">
        <v>842</v>
      </c>
      <c r="D115" s="434"/>
      <c r="E115" s="936">
        <v>7.3</v>
      </c>
      <c r="F115" s="433">
        <f>D115*E115</f>
        <v>0</v>
      </c>
      <c r="G115" s="586"/>
      <c r="L115" s="1533"/>
      <c r="M115" s="1533"/>
    </row>
    <row r="116" spans="1:14" ht="12">
      <c r="A116" s="780">
        <f t="shared" si="23"/>
        <v>920</v>
      </c>
      <c r="B116" s="658" t="s">
        <v>840</v>
      </c>
      <c r="C116" s="351"/>
      <c r="D116" s="587"/>
      <c r="E116" s="587"/>
      <c r="F116" s="939"/>
      <c r="G116" s="584"/>
      <c r="L116" s="1533"/>
      <c r="M116" s="1533"/>
      <c r="N116" s="566"/>
    </row>
    <row r="117" spans="1:14" ht="12.75">
      <c r="A117" s="780">
        <f t="shared" si="23"/>
        <v>921</v>
      </c>
      <c r="B117" s="658" t="s">
        <v>841</v>
      </c>
      <c r="C117" s="351"/>
      <c r="D117" s="587"/>
      <c r="E117" s="587"/>
      <c r="F117" s="939"/>
      <c r="G117" s="586"/>
      <c r="L117" s="1533"/>
      <c r="M117" s="1533"/>
      <c r="N117"/>
    </row>
    <row r="118" spans="1:13" ht="12">
      <c r="A118" s="780">
        <f t="shared" si="23"/>
        <v>922</v>
      </c>
      <c r="B118" s="588"/>
      <c r="C118" s="588"/>
      <c r="D118" s="588"/>
      <c r="E118" s="502"/>
      <c r="F118" s="434"/>
      <c r="G118" s="586"/>
      <c r="L118" s="1533"/>
      <c r="M118" s="1533"/>
    </row>
    <row r="119" spans="1:13" ht="12">
      <c r="A119" s="780">
        <f t="shared" si="23"/>
        <v>923</v>
      </c>
      <c r="B119" s="799"/>
      <c r="C119" s="799"/>
      <c r="D119" s="799"/>
      <c r="E119" s="800"/>
      <c r="F119" s="783"/>
      <c r="G119" s="586"/>
      <c r="L119" s="1534"/>
      <c r="M119" s="1534"/>
    </row>
    <row r="120" spans="1:14" ht="12.75" customHeight="1">
      <c r="A120" s="780">
        <f>A119+1</f>
        <v>924</v>
      </c>
      <c r="B120" s="799"/>
      <c r="C120" s="799"/>
      <c r="D120" s="799"/>
      <c r="E120" s="800"/>
      <c r="F120" s="783"/>
      <c r="G120" s="586"/>
      <c r="I120" s="451"/>
      <c r="J120" s="451"/>
      <c r="K120" s="451"/>
      <c r="L120" s="451"/>
      <c r="M120" s="451"/>
      <c r="N120" s="566"/>
    </row>
    <row r="121" spans="1:13" ht="12.75" customHeight="1">
      <c r="A121" s="780">
        <f>A120+1</f>
        <v>925</v>
      </c>
      <c r="B121" s="799"/>
      <c r="C121" s="799"/>
      <c r="D121" s="799"/>
      <c r="E121" s="800"/>
      <c r="F121" s="783"/>
      <c r="G121" s="578"/>
      <c r="H121" s="472"/>
      <c r="I121" s="472"/>
      <c r="J121" s="472"/>
      <c r="K121" s="472"/>
      <c r="L121" s="472"/>
      <c r="M121" s="472"/>
    </row>
    <row r="122" spans="1:7" ht="12.75" customHeight="1">
      <c r="A122" s="780">
        <f>A121+1</f>
        <v>926</v>
      </c>
      <c r="B122" s="781" t="str">
        <f>CONCATENATE("Totaal regel ",A109," t/m ",A121,)</f>
        <v>Totaal regel 913 t/m 925</v>
      </c>
      <c r="C122" s="788"/>
      <c r="D122" s="801"/>
      <c r="E122" s="802"/>
      <c r="F122" s="785">
        <f>SUM(F109:F121)</f>
        <v>0</v>
      </c>
      <c r="G122" s="453"/>
    </row>
    <row r="123" spans="2:3" s="515" customFormat="1" ht="12.75" customHeight="1">
      <c r="B123" s="712"/>
      <c r="C123" s="516"/>
    </row>
    <row r="124" ht="12.75" customHeight="1">
      <c r="G124" s="453"/>
    </row>
    <row r="125" s="515" customFormat="1" ht="15.75" customHeight="1">
      <c r="G125" s="552"/>
    </row>
    <row r="126" spans="1:13" s="515" customFormat="1" ht="15.75" customHeight="1">
      <c r="A126" s="622" t="str">
        <f>Inhoud!$A$2</f>
        <v>Nacalculatieformulier 2004 GGZ-instellingen</v>
      </c>
      <c r="B126" s="637"/>
      <c r="C126" s="637"/>
      <c r="D126" s="641"/>
      <c r="E126" s="641"/>
      <c r="F126" s="637"/>
      <c r="G126" s="637"/>
      <c r="H126" s="637"/>
      <c r="I126" s="637"/>
      <c r="J126" s="637"/>
      <c r="K126" s="637"/>
      <c r="L126" s="637"/>
      <c r="M126" s="1302">
        <f>M89+1</f>
        <v>10</v>
      </c>
    </row>
    <row r="127" s="515" customFormat="1" ht="12.75" customHeight="1">
      <c r="G127" s="552"/>
    </row>
    <row r="128" spans="1:13" s="515" customFormat="1" ht="12.75" customHeight="1">
      <c r="A128" s="41"/>
      <c r="B128" s="1178" t="str">
        <f>CONCATENATE("Recapitulatie werkelijke produktie ",Voorblad!E3)</f>
        <v>Recapitulatie werkelijke produktie 2004</v>
      </c>
      <c r="C128" s="52"/>
      <c r="D128" s="739"/>
      <c r="E128" s="1543" t="s">
        <v>396</v>
      </c>
      <c r="F128" s="1544"/>
      <c r="G128" s="552"/>
      <c r="H128" s="41"/>
      <c r="I128" s="1172" t="str">
        <f>CONCATENATE("Beschikbaar productiebudget *) ",Voorblad!E3)</f>
        <v>Beschikbaar productiebudget *) 2004</v>
      </c>
      <c r="J128" s="52"/>
      <c r="K128" s="739"/>
      <c r="L128" s="1539" t="s">
        <v>396</v>
      </c>
      <c r="M128" s="1540"/>
    </row>
    <row r="129" spans="1:13" s="515" customFormat="1" ht="12.75" customHeight="1">
      <c r="A129" s="780">
        <f>M126*100+1</f>
        <v>1001</v>
      </c>
      <c r="B129" s="408" t="str">
        <f>CONCATENATE(B7," (regel ",A14,")")</f>
        <v>Dagen verslavingszorg (regel 707)</v>
      </c>
      <c r="C129" s="1157"/>
      <c r="D129" s="1177"/>
      <c r="E129" s="1547">
        <f>F14</f>
        <v>0</v>
      </c>
      <c r="F129" s="1548"/>
      <c r="G129" s="552"/>
      <c r="H129" s="780">
        <f>A152+1</f>
        <v>1024</v>
      </c>
      <c r="I129" s="797" t="s">
        <v>531</v>
      </c>
      <c r="J129" s="1157"/>
      <c r="K129" s="1171"/>
      <c r="L129" s="1536"/>
      <c r="M129" s="1537"/>
    </row>
    <row r="130" spans="1:13" s="515" customFormat="1" ht="12.75" customHeight="1">
      <c r="A130" s="780">
        <f aca="true" t="shared" si="24" ref="A130:A149">A129+1</f>
        <v>1002</v>
      </c>
      <c r="B130" s="658" t="str">
        <f>CONCATENATE(B16," (regel ",A24,")")</f>
        <v>Dagen kinderen en jeugd (regel 715)</v>
      </c>
      <c r="C130" s="351"/>
      <c r="D130" s="666"/>
      <c r="E130" s="1530">
        <f>F24</f>
        <v>0</v>
      </c>
      <c r="F130" s="1545"/>
      <c r="G130" s="552"/>
      <c r="H130" s="780">
        <f aca="true" t="shared" si="25" ref="H130:H135">H129+1</f>
        <v>1025</v>
      </c>
      <c r="I130" s="575" t="s">
        <v>540</v>
      </c>
      <c r="J130" s="351"/>
      <c r="K130" s="669"/>
      <c r="L130" s="1470"/>
      <c r="M130" s="1471"/>
    </row>
    <row r="131" spans="1:13" s="515" customFormat="1" ht="12.75" customHeight="1">
      <c r="A131" s="780">
        <f t="shared" si="24"/>
        <v>1003</v>
      </c>
      <c r="B131" s="658" t="str">
        <f>CONCATENATE(B26," (regel ",A36,")")</f>
        <v>Dagen volwassenen en ouderen (regel 725)</v>
      </c>
      <c r="C131" s="351"/>
      <c r="D131" s="666"/>
      <c r="E131" s="1530">
        <f>F36</f>
        <v>0</v>
      </c>
      <c r="F131" s="1545"/>
      <c r="G131" s="552"/>
      <c r="H131" s="780">
        <f t="shared" si="25"/>
        <v>1026</v>
      </c>
      <c r="I131" s="575" t="s">
        <v>690</v>
      </c>
      <c r="J131" s="351"/>
      <c r="K131" s="669"/>
      <c r="L131" s="1470"/>
      <c r="M131" s="1471"/>
    </row>
    <row r="132" spans="1:13" s="515" customFormat="1" ht="12.75" customHeight="1">
      <c r="A132" s="780">
        <f t="shared" si="24"/>
        <v>1004</v>
      </c>
      <c r="B132" s="658" t="str">
        <f>CONCATENATE(I7," (regel ",H14,")")</f>
        <v>Dagen forensisch (regel 732)</v>
      </c>
      <c r="C132" s="351"/>
      <c r="D132" s="666"/>
      <c r="E132" s="1530">
        <f>M14</f>
        <v>0</v>
      </c>
      <c r="F132" s="1545"/>
      <c r="G132" s="552"/>
      <c r="H132" s="780">
        <f t="shared" si="25"/>
        <v>1027</v>
      </c>
      <c r="I132" s="575" t="s">
        <v>691</v>
      </c>
      <c r="J132" s="453"/>
      <c r="K132" s="453"/>
      <c r="L132" s="1470"/>
      <c r="M132" s="1471"/>
    </row>
    <row r="133" spans="1:13" s="515" customFormat="1" ht="12.75" customHeight="1">
      <c r="A133" s="780">
        <f t="shared" si="24"/>
        <v>1005</v>
      </c>
      <c r="B133" s="658" t="str">
        <f>CONCATENATE(I16," (regel ",H16,")")</f>
        <v>Dagen intensieve behandelingen (regel 733)</v>
      </c>
      <c r="C133" s="351"/>
      <c r="D133" s="666"/>
      <c r="E133" s="1530">
        <f>M16</f>
        <v>0</v>
      </c>
      <c r="F133" s="1545"/>
      <c r="G133" s="552"/>
      <c r="H133" s="780">
        <f t="shared" si="25"/>
        <v>1028</v>
      </c>
      <c r="I133" s="1018" t="s">
        <v>780</v>
      </c>
      <c r="J133" s="587"/>
      <c r="K133" s="669"/>
      <c r="L133" s="1470"/>
      <c r="M133" s="1471"/>
    </row>
    <row r="134" spans="1:13" s="515" customFormat="1" ht="12.75" customHeight="1">
      <c r="A134" s="780">
        <f t="shared" si="24"/>
        <v>1006</v>
      </c>
      <c r="B134" s="658" t="str">
        <f>CONCATENATE(I18," (regel ",H23,")")</f>
        <v>Verzorgingsdagen Beschermd Wonen (regel 738)</v>
      </c>
      <c r="E134" s="1530">
        <f>M23</f>
        <v>0</v>
      </c>
      <c r="F134" s="1545"/>
      <c r="G134" s="552"/>
      <c r="H134" s="780">
        <f t="shared" si="25"/>
        <v>1029</v>
      </c>
      <c r="I134" s="515" t="s">
        <v>505</v>
      </c>
      <c r="L134" s="1470"/>
      <c r="M134" s="1471"/>
    </row>
    <row r="135" spans="1:13" s="515" customFormat="1" ht="12.75" customHeight="1">
      <c r="A135" s="780">
        <f t="shared" si="24"/>
        <v>1007</v>
      </c>
      <c r="B135" s="658" t="str">
        <f>CONCATENATE(I26," (regel ",H29,")")</f>
        <v>Deeltijd verslavingszorg (regel 741)</v>
      </c>
      <c r="C135" s="351"/>
      <c r="D135" s="666"/>
      <c r="E135" s="1530">
        <f>M29</f>
        <v>0</v>
      </c>
      <c r="F135" s="1545"/>
      <c r="G135" s="552"/>
      <c r="H135" s="780">
        <f t="shared" si="25"/>
        <v>1030</v>
      </c>
      <c r="I135" s="781" t="str">
        <f>CONCATENATE("Beschikbaar prod.budget  (regel ",H129," t/m ",H132," - ",H133,")")</f>
        <v>Beschikbaar prod.budget  (regel 1024 t/m 1027 - 1028)</v>
      </c>
      <c r="J135" s="788"/>
      <c r="K135" s="798"/>
      <c r="L135" s="1532">
        <f>SUM(L129:M132)-L133-L134</f>
        <v>0</v>
      </c>
      <c r="M135" s="1531"/>
    </row>
    <row r="136" spans="1:13" s="515" customFormat="1" ht="12.75" customHeight="1">
      <c r="A136" s="780">
        <f t="shared" si="24"/>
        <v>1008</v>
      </c>
      <c r="B136" s="658" t="str">
        <f>CONCATENATE(I32," (regel ",H36,")")</f>
        <v>Deeltijd kinderen en jeugd (regel 745)</v>
      </c>
      <c r="C136" s="351"/>
      <c r="D136" s="666"/>
      <c r="E136" s="1530">
        <f>M36</f>
        <v>0</v>
      </c>
      <c r="F136" s="1531"/>
      <c r="G136" s="552"/>
      <c r="H136" s="780">
        <f>H135+1</f>
        <v>1031</v>
      </c>
      <c r="I136" s="797" t="str">
        <f>CONCATENATE("Over-/onderproductie (regel ",A149,"  -/- ",H135,")")</f>
        <v>Over-/onderproductie (regel 1021  -/- 1030)</v>
      </c>
      <c r="J136" s="797"/>
      <c r="K136" s="797"/>
      <c r="L136" s="1538">
        <f>E149-L135</f>
        <v>0</v>
      </c>
      <c r="M136" s="1529"/>
    </row>
    <row r="137" spans="1:13" s="515" customFormat="1" ht="12.75" customHeight="1">
      <c r="A137" s="780">
        <f t="shared" si="24"/>
        <v>1009</v>
      </c>
      <c r="B137" s="658" t="str">
        <f>CONCATENATE(B44," (regel ",A51,")")</f>
        <v>Deeltijd volwassenen en ouderen (regel 807)</v>
      </c>
      <c r="C137" s="351"/>
      <c r="D137" s="666"/>
      <c r="E137" s="1530">
        <f>F51</f>
        <v>0</v>
      </c>
      <c r="F137" s="1531"/>
      <c r="G137" s="552"/>
      <c r="H137" s="780">
        <f>H136+1</f>
        <v>1032</v>
      </c>
      <c r="I137" s="795" t="str">
        <f>CONCATENATE("Berekend bedrag nacalculatie productie ",Voorblad!E3)</f>
        <v>Berekend bedrag nacalculatie productie 2004</v>
      </c>
      <c r="J137" s="577"/>
      <c r="K137" s="1113"/>
      <c r="L137" s="1541">
        <f>IF(AND(L136&gt;0,L133&lt;0),0,IF(AND(L136&gt;0,L133&gt;=0),0,L136))</f>
        <v>0</v>
      </c>
      <c r="M137" s="1542"/>
    </row>
    <row r="138" spans="1:12" s="515" customFormat="1" ht="12.75" customHeight="1">
      <c r="A138" s="780">
        <f t="shared" si="24"/>
        <v>1010</v>
      </c>
      <c r="B138" s="658" t="str">
        <f>CONCATENATE(B53," (regel ",A53,")")</f>
        <v>Deeltijd forensisch (regel 808)</v>
      </c>
      <c r="C138" s="351"/>
      <c r="D138" s="666"/>
      <c r="E138" s="1530">
        <f>F53</f>
        <v>0</v>
      </c>
      <c r="F138" s="1531"/>
      <c r="G138" s="552"/>
      <c r="H138" s="456" t="s">
        <v>698</v>
      </c>
      <c r="I138" s="456"/>
      <c r="J138" s="456"/>
      <c r="K138" s="1256"/>
      <c r="L138" s="1256"/>
    </row>
    <row r="139" spans="1:13" s="515" customFormat="1" ht="12.75" customHeight="1">
      <c r="A139" s="780">
        <f t="shared" si="24"/>
        <v>1011</v>
      </c>
      <c r="B139" s="658" t="str">
        <f>CONCATENATE(B55," (regel ",A61,")")</f>
        <v>Eerste opnames (regel 814)</v>
      </c>
      <c r="C139" s="351"/>
      <c r="D139" s="666"/>
      <c r="E139" s="1530">
        <f>F61</f>
        <v>0</v>
      </c>
      <c r="F139" s="1531"/>
      <c r="G139" s="552"/>
      <c r="H139" s="451" t="s">
        <v>781</v>
      </c>
      <c r="I139" s="453"/>
      <c r="J139" s="453"/>
      <c r="K139" s="453"/>
      <c r="L139" s="453"/>
      <c r="M139" s="453"/>
    </row>
    <row r="140" spans="1:13" s="515" customFormat="1" ht="12.75" customHeight="1">
      <c r="A140" s="780">
        <f t="shared" si="24"/>
        <v>1012</v>
      </c>
      <c r="B140" s="658" t="str">
        <f>CONCATENATE(B63," (regel ",A64,")")</f>
        <v>Zorgvernieuwing (regel 815)</v>
      </c>
      <c r="C140" s="351"/>
      <c r="D140" s="666"/>
      <c r="E140" s="1530">
        <f>F64</f>
        <v>0</v>
      </c>
      <c r="F140" s="1531"/>
      <c r="G140" s="552"/>
      <c r="H140" s="1458" t="s">
        <v>782</v>
      </c>
      <c r="I140" s="453"/>
      <c r="J140" s="453"/>
      <c r="K140" s="453"/>
      <c r="L140" s="453"/>
      <c r="M140" s="453"/>
    </row>
    <row r="141" spans="1:13" s="515" customFormat="1" ht="12.75" customHeight="1">
      <c r="A141" s="780">
        <f t="shared" si="24"/>
        <v>1013</v>
      </c>
      <c r="B141" s="658" t="str">
        <f>CONCATENATE(B67," (regel ",A79,")")</f>
        <v>Ambulant kinderen en jeugd (regel 827)</v>
      </c>
      <c r="C141" s="351"/>
      <c r="D141" s="666"/>
      <c r="E141" s="1530">
        <f>F79</f>
        <v>0</v>
      </c>
      <c r="F141" s="1531"/>
      <c r="G141" s="552"/>
      <c r="H141" s="451" t="s">
        <v>783</v>
      </c>
      <c r="I141" s="453"/>
      <c r="J141" s="453"/>
      <c r="K141" s="453"/>
      <c r="L141" s="453"/>
      <c r="M141" s="453"/>
    </row>
    <row r="142" spans="1:13" s="515" customFormat="1" ht="12.75" customHeight="1">
      <c r="A142" s="780">
        <f t="shared" si="24"/>
        <v>1014</v>
      </c>
      <c r="B142" s="658" t="str">
        <f>CONCATENATE(I44," (regel ",H56,")")</f>
        <v>Ambulant volwassenen (regel 839)</v>
      </c>
      <c r="C142" s="351"/>
      <c r="D142" s="666"/>
      <c r="E142" s="1530">
        <f>M56</f>
        <v>0</v>
      </c>
      <c r="F142" s="1531"/>
      <c r="G142" s="552"/>
      <c r="H142" s="451" t="s">
        <v>786</v>
      </c>
      <c r="I142" s="453"/>
      <c r="J142" s="453"/>
      <c r="K142" s="453"/>
      <c r="L142" s="453"/>
      <c r="M142" s="453"/>
    </row>
    <row r="143" spans="1:13" s="515" customFormat="1" ht="12.75" customHeight="1">
      <c r="A143" s="780">
        <f t="shared" si="24"/>
        <v>1015</v>
      </c>
      <c r="B143" s="658" t="str">
        <f>CONCATENATE(I58," (regel ",H70,")")</f>
        <v>Ambulant ouderen (regel 851)</v>
      </c>
      <c r="C143" s="351"/>
      <c r="D143" s="666"/>
      <c r="E143" s="1530">
        <f>M70</f>
        <v>0</v>
      </c>
      <c r="F143" s="1531"/>
      <c r="G143" s="552"/>
      <c r="H143" s="559" t="s">
        <v>787</v>
      </c>
      <c r="I143" s="456"/>
      <c r="J143" s="568"/>
      <c r="K143" s="459"/>
      <c r="L143" s="456"/>
      <c r="M143" s="456"/>
    </row>
    <row r="144" spans="1:13" s="515" customFormat="1" ht="12.75" customHeight="1">
      <c r="A144" s="780">
        <f t="shared" si="24"/>
        <v>1016</v>
      </c>
      <c r="B144" s="658" t="str">
        <f>CONCATENATE(I72," (regel ",H84,")")</f>
        <v>Ambulant verslavingszorg (regel 863)</v>
      </c>
      <c r="C144" s="351"/>
      <c r="D144" s="666"/>
      <c r="E144" s="1530">
        <f>M84</f>
        <v>0</v>
      </c>
      <c r="F144" s="1531"/>
      <c r="G144" s="552"/>
      <c r="H144" s="472" t="s">
        <v>506</v>
      </c>
      <c r="I144" s="1459"/>
      <c r="J144" s="1459"/>
      <c r="K144" s="1459"/>
      <c r="L144" s="1459"/>
      <c r="M144" s="1459"/>
    </row>
    <row r="145" spans="1:13" s="515" customFormat="1" ht="12.75" customHeight="1">
      <c r="A145" s="780">
        <f t="shared" si="24"/>
        <v>1017</v>
      </c>
      <c r="B145" s="658" t="str">
        <f>CONCATENATE(B92," (regel ",A101,")")</f>
        <v>Ambulant forensisch (regel 909)</v>
      </c>
      <c r="C145" s="667"/>
      <c r="D145" s="666"/>
      <c r="E145" s="1530">
        <f>F101</f>
        <v>0</v>
      </c>
      <c r="F145" s="1531"/>
      <c r="G145" s="552"/>
      <c r="H145" s="472" t="s">
        <v>269</v>
      </c>
      <c r="I145" s="1459"/>
      <c r="J145" s="1459"/>
      <c r="K145" s="1459"/>
      <c r="L145" s="1459"/>
      <c r="M145" s="1459"/>
    </row>
    <row r="146" spans="1:13" s="515" customFormat="1" ht="12.75" customHeight="1">
      <c r="A146" s="780">
        <f t="shared" si="24"/>
        <v>1018</v>
      </c>
      <c r="B146" s="658" t="str">
        <f>CONCATENATE(B103," (regel ",A106,")")</f>
        <v>Dienstverlening en preventie (regel 912)</v>
      </c>
      <c r="C146" s="667"/>
      <c r="D146" s="666"/>
      <c r="E146" s="1530">
        <f>F106</f>
        <v>0</v>
      </c>
      <c r="F146" s="1531"/>
      <c r="G146" s="552"/>
      <c r="H146" s="472" t="s">
        <v>270</v>
      </c>
      <c r="I146" s="1459"/>
      <c r="J146" s="1459"/>
      <c r="K146" s="1459"/>
      <c r="L146" s="1459"/>
      <c r="M146" s="1459"/>
    </row>
    <row r="147" spans="1:13" s="515" customFormat="1" ht="12.75" customHeight="1">
      <c r="A147" s="780">
        <f t="shared" si="24"/>
        <v>1019</v>
      </c>
      <c r="B147" s="1110" t="str">
        <f>CONCATENATE(B108," (regel ",A122,")")</f>
        <v>Overig (regel 926)</v>
      </c>
      <c r="C147" s="667"/>
      <c r="D147" s="1111"/>
      <c r="E147" s="1530">
        <f>F122</f>
        <v>0</v>
      </c>
      <c r="F147" s="1531"/>
      <c r="G147" s="552"/>
      <c r="H147" s="465" t="s">
        <v>271</v>
      </c>
      <c r="I147" s="1459"/>
      <c r="J147" s="1459"/>
      <c r="K147" s="1459"/>
      <c r="L147" s="1459"/>
      <c r="M147" s="1459"/>
    </row>
    <row r="148" spans="1:13" s="515" customFormat="1" ht="12.75" customHeight="1">
      <c r="A148" s="780">
        <f t="shared" si="24"/>
        <v>1020</v>
      </c>
      <c r="B148" s="1110" t="str">
        <f>CONCATENATE("Sectoroverstijgende productie"," (regel ",H110,")")</f>
        <v>Sectoroverstijgende productie (regel 944)</v>
      </c>
      <c r="C148" s="587"/>
      <c r="D148" s="1112"/>
      <c r="E148" s="1530">
        <f>M110</f>
        <v>0</v>
      </c>
      <c r="F148" s="1531"/>
      <c r="G148" s="552"/>
      <c r="H148" s="1460"/>
      <c r="I148" s="1460"/>
      <c r="J148" s="1460"/>
      <c r="K148" s="1460"/>
      <c r="L148" s="1460"/>
      <c r="M148" s="1460"/>
    </row>
    <row r="149" spans="1:13" s="515" customFormat="1" ht="12.75" customHeight="1">
      <c r="A149" s="780">
        <f t="shared" si="24"/>
        <v>1021</v>
      </c>
      <c r="B149" s="781" t="str">
        <f>CONCATENATE("Werkelijke produktie (regel ",A129," t/m ",A148,")")</f>
        <v>Werkelijke produktie (regel 1001 t/m 1020)</v>
      </c>
      <c r="C149" s="788"/>
      <c r="D149" s="798"/>
      <c r="E149" s="1532">
        <f>SUM(E129:E148)</f>
        <v>0</v>
      </c>
      <c r="F149" s="1531"/>
      <c r="G149" s="552"/>
      <c r="H149" s="566" t="s">
        <v>773</v>
      </c>
      <c r="I149" s="1161" t="s">
        <v>637</v>
      </c>
      <c r="J149" s="1035"/>
      <c r="K149" s="1176"/>
      <c r="L149" s="1035" t="s">
        <v>774</v>
      </c>
      <c r="M149" s="1388"/>
    </row>
    <row r="150" spans="7:13" ht="12.75" customHeight="1">
      <c r="G150" s="578"/>
      <c r="H150" s="793">
        <f>H137+1</f>
        <v>1033</v>
      </c>
      <c r="I150" s="1173" t="s">
        <v>633</v>
      </c>
      <c r="J150" s="866"/>
      <c r="K150" s="1010"/>
      <c r="L150" s="1174">
        <v>13.9</v>
      </c>
      <c r="M150" s="1175">
        <f>K150*L150</f>
        <v>0</v>
      </c>
    </row>
    <row r="151" spans="1:13" ht="12.75" customHeight="1">
      <c r="A151" s="780">
        <f>A149+1</f>
        <v>1022</v>
      </c>
      <c r="B151" s="658" t="s">
        <v>854</v>
      </c>
      <c r="C151" s="667"/>
      <c r="D151" s="666"/>
      <c r="E151" s="1470"/>
      <c r="F151" s="1546"/>
      <c r="G151" s="586"/>
      <c r="H151" s="793">
        <f>H150+1</f>
        <v>1034</v>
      </c>
      <c r="I151" s="938" t="s">
        <v>634</v>
      </c>
      <c r="J151" s="1086"/>
      <c r="K151" s="1086"/>
      <c r="L151" s="1087"/>
      <c r="M151" s="434"/>
    </row>
    <row r="152" spans="1:13" ht="12.75" customHeight="1">
      <c r="A152" s="780">
        <f>A151+1</f>
        <v>1023</v>
      </c>
      <c r="B152" s="658" t="s">
        <v>649</v>
      </c>
      <c r="C152" s="667"/>
      <c r="D152" s="666"/>
      <c r="E152" s="1472" t="str">
        <f>IF(E151=0," ",ROUND(E149/E151,4)-1)</f>
        <v> </v>
      </c>
      <c r="F152" s="1529"/>
      <c r="G152" s="585"/>
      <c r="H152" s="793">
        <f>H151+1</f>
        <v>1035</v>
      </c>
      <c r="I152" s="938" t="s">
        <v>35</v>
      </c>
      <c r="J152" s="1086"/>
      <c r="K152" s="1086"/>
      <c r="L152" s="1087"/>
      <c r="M152" s="1088">
        <f>M150-M151</f>
        <v>0</v>
      </c>
    </row>
    <row r="153" spans="7:13" ht="12.75" customHeight="1">
      <c r="G153" s="585"/>
      <c r="H153" s="793">
        <f>H152+1</f>
        <v>1036</v>
      </c>
      <c r="I153" s="938" t="s">
        <v>635</v>
      </c>
      <c r="J153" s="1086"/>
      <c r="K153" s="1089" t="s">
        <v>699</v>
      </c>
      <c r="L153" s="1090">
        <v>0.75</v>
      </c>
      <c r="M153" s="1091" t="str">
        <f>IF(AND(K153="ja",M152&lt;0),L153*-M152," ")</f>
        <v> </v>
      </c>
    </row>
    <row r="154" spans="7:13" ht="12.75" customHeight="1">
      <c r="G154" s="585"/>
      <c r="H154" s="793">
        <f>H153+1</f>
        <v>1037</v>
      </c>
      <c r="I154" s="938" t="str">
        <f>CONCATENATE("Totaal nacalculatie vervoerskosten (regel ",H150," + ",H153,")")</f>
        <v>Totaal nacalculatie vervoerskosten (regel 1033 + 1036)</v>
      </c>
      <c r="J154" s="1086"/>
      <c r="K154" s="1086"/>
      <c r="L154" s="1087"/>
      <c r="M154" s="1088">
        <f>IF(M153=" ",M150,M150+M153)</f>
        <v>0</v>
      </c>
    </row>
    <row r="155" spans="7:13" ht="12.75" customHeight="1">
      <c r="G155" s="585"/>
      <c r="H155" s="1535" t="s">
        <v>636</v>
      </c>
      <c r="I155" s="1491"/>
      <c r="J155" s="1491"/>
      <c r="K155" s="1491"/>
      <c r="L155" s="1491"/>
      <c r="M155" s="1491"/>
    </row>
    <row r="156" spans="7:13" ht="12.75" customHeight="1">
      <c r="G156" s="585"/>
      <c r="H156" s="1535"/>
      <c r="I156" s="1491"/>
      <c r="J156" s="1491"/>
      <c r="K156" s="1491"/>
      <c r="L156" s="1491"/>
      <c r="M156" s="1491"/>
    </row>
    <row r="157" spans="7:13" ht="12.75" customHeight="1">
      <c r="G157" s="585"/>
      <c r="H157" s="1491"/>
      <c r="I157" s="1491"/>
      <c r="J157" s="1491"/>
      <c r="K157" s="1491"/>
      <c r="L157" s="1491"/>
      <c r="M157" s="1491"/>
    </row>
    <row r="158" spans="7:13" ht="12">
      <c r="G158" s="585"/>
      <c r="H158" s="1491"/>
      <c r="I158" s="1491"/>
      <c r="J158" s="1491"/>
      <c r="K158" s="1491"/>
      <c r="L158" s="1491"/>
      <c r="M158" s="1491"/>
    </row>
    <row r="159" ht="12">
      <c r="G159" s="585"/>
    </row>
    <row r="160" ht="12">
      <c r="G160" s="586"/>
    </row>
    <row r="164" ht="12">
      <c r="C164" s="568"/>
    </row>
    <row r="166" ht="12">
      <c r="C166" s="568"/>
    </row>
    <row r="191" ht="12">
      <c r="C191" s="568"/>
    </row>
    <row r="192" ht="12">
      <c r="C192" s="568"/>
    </row>
    <row r="193" ht="12">
      <c r="C193" s="568"/>
    </row>
    <row r="194" ht="12">
      <c r="C194" s="568"/>
    </row>
    <row r="195" ht="12">
      <c r="C195" s="568"/>
    </row>
    <row r="196" ht="12">
      <c r="C196" s="568"/>
    </row>
    <row r="197" ht="12">
      <c r="C197" s="568"/>
    </row>
    <row r="198" ht="12">
      <c r="C198" s="568"/>
    </row>
    <row r="199" ht="12">
      <c r="C199" s="568"/>
    </row>
    <row r="200" ht="12">
      <c r="C200" s="568"/>
    </row>
    <row r="201" ht="12">
      <c r="C201" s="568"/>
    </row>
    <row r="202" ht="12">
      <c r="C202" s="568"/>
    </row>
    <row r="203" ht="12">
      <c r="C203" s="568"/>
    </row>
    <row r="204" ht="12">
      <c r="C204" s="568"/>
    </row>
    <row r="205" ht="12">
      <c r="C205" s="568"/>
    </row>
    <row r="206" ht="12">
      <c r="C206" s="568"/>
    </row>
    <row r="207" ht="12">
      <c r="C207" s="568"/>
    </row>
    <row r="208" ht="12">
      <c r="C208" s="568"/>
    </row>
    <row r="209" ht="12">
      <c r="C209" s="568"/>
    </row>
    <row r="210" ht="12">
      <c r="C210" s="568"/>
    </row>
    <row r="211" ht="12">
      <c r="C211" s="568"/>
    </row>
    <row r="212" ht="12">
      <c r="C212" s="568"/>
    </row>
    <row r="213" ht="12">
      <c r="C213" s="568"/>
    </row>
    <row r="214" ht="12">
      <c r="C214" s="568"/>
    </row>
    <row r="215" ht="12">
      <c r="C215" s="568"/>
    </row>
    <row r="216" ht="12">
      <c r="C216" s="568"/>
    </row>
    <row r="217" ht="12">
      <c r="C217" s="568"/>
    </row>
    <row r="218" ht="12">
      <c r="C218" s="568"/>
    </row>
    <row r="219" ht="12">
      <c r="C219" s="568"/>
    </row>
    <row r="220" ht="12">
      <c r="C220" s="568"/>
    </row>
    <row r="221" ht="12">
      <c r="C221" s="568"/>
    </row>
    <row r="222" ht="12">
      <c r="C222" s="568"/>
    </row>
    <row r="223" ht="12">
      <c r="C223" s="568"/>
    </row>
    <row r="224" ht="12">
      <c r="C224" s="568"/>
    </row>
    <row r="225" ht="12">
      <c r="C225" s="568"/>
    </row>
    <row r="226" ht="12">
      <c r="C226" s="568"/>
    </row>
    <row r="227" ht="12">
      <c r="C227" s="568"/>
    </row>
    <row r="228" ht="12">
      <c r="C228" s="568"/>
    </row>
    <row r="229" ht="12">
      <c r="C229" s="568"/>
    </row>
    <row r="230" ht="12">
      <c r="C230" s="568"/>
    </row>
    <row r="231" ht="12">
      <c r="C231" s="568"/>
    </row>
    <row r="232" ht="12">
      <c r="C232" s="568"/>
    </row>
    <row r="233" ht="12">
      <c r="C233" s="568"/>
    </row>
  </sheetData>
  <sheetProtection password="C281" sheet="1" objects="1" scenarios="1"/>
  <mergeCells count="42">
    <mergeCell ref="E151:F151"/>
    <mergeCell ref="E129:F129"/>
    <mergeCell ref="E132:F132"/>
    <mergeCell ref="E130:F130"/>
    <mergeCell ref="E133:F133"/>
    <mergeCell ref="E147:F147"/>
    <mergeCell ref="E135:F135"/>
    <mergeCell ref="E131:F131"/>
    <mergeCell ref="E148:F148"/>
    <mergeCell ref="E146:F146"/>
    <mergeCell ref="E141:F141"/>
    <mergeCell ref="E142:F142"/>
    <mergeCell ref="E128:F128"/>
    <mergeCell ref="E134:F134"/>
    <mergeCell ref="L117:M117"/>
    <mergeCell ref="L119:M119"/>
    <mergeCell ref="L118:M118"/>
    <mergeCell ref="H155:M158"/>
    <mergeCell ref="L129:M129"/>
    <mergeCell ref="L131:M131"/>
    <mergeCell ref="L136:M136"/>
    <mergeCell ref="L128:M128"/>
    <mergeCell ref="L137:M137"/>
    <mergeCell ref="L135:M135"/>
    <mergeCell ref="L113:M113"/>
    <mergeCell ref="L114:M114"/>
    <mergeCell ref="L115:M115"/>
    <mergeCell ref="L116:M116"/>
    <mergeCell ref="E152:F152"/>
    <mergeCell ref="E136:F136"/>
    <mergeCell ref="E137:F137"/>
    <mergeCell ref="E138:F138"/>
    <mergeCell ref="E139:F139"/>
    <mergeCell ref="E140:F140"/>
    <mergeCell ref="E143:F143"/>
    <mergeCell ref="E145:F145"/>
    <mergeCell ref="E149:F149"/>
    <mergeCell ref="E144:F144"/>
    <mergeCell ref="L133:M133"/>
    <mergeCell ref="L132:M132"/>
    <mergeCell ref="L130:M130"/>
    <mergeCell ref="L134:M134"/>
  </mergeCells>
  <conditionalFormatting sqref="E23">
    <cfRule type="expression" priority="1" dxfId="4" stopIfTrue="1">
      <formula>AND($G$5=TRUE,E23&lt;&gt;Q23+T23)</formula>
    </cfRule>
  </conditionalFormatting>
  <conditionalFormatting sqref="K150 M151 K153 E151:F151 D17:D23 F116:F121 B118:E121 D109:D115 I103:J109 K16 D93:D100 F64 D56:D60 D45:D50 D53 K33:K35 K19:K22 K27:K28 K93:L109 D27:D35 K8:K13 K45:K55 K59:K69 K73:K83 D68:D78 D104:D105 D8:D13 L129:L134">
    <cfRule type="expression" priority="2" dxfId="2" stopIfTrue="1">
      <formula>$H$2=TRUE</formula>
    </cfRule>
  </conditionalFormatting>
  <conditionalFormatting sqref="M150 M153">
    <cfRule type="expression" priority="3" dxfId="1" stopIfTrue="1">
      <formula>$K$2=TRUE</formula>
    </cfRule>
  </conditionalFormatting>
  <dataValidations count="1">
    <dataValidation type="list" allowBlank="1" showInputMessage="1" showErrorMessage="1" sqref="K153">
      <formula1>"ja,nee,n.v.t.,ja/nee"</formula1>
    </dataValidation>
  </dataValidations>
  <printOptions/>
  <pageMargins left="0.3937007874015748" right="0.3937007874015748" top="0.3937007874015748" bottom="0.3937007874015748" header="0" footer="0.11811023622047245"/>
  <pageSetup horizontalDpi="300" verticalDpi="300" orientation="landscape" paperSize="9" scale="95" r:id="rId2"/>
  <headerFooter alignWithMargins="0">
    <oddHeader xml:space="preserve">&amp;R&amp;9 </oddHeader>
  </headerFooter>
  <rowBreaks count="3" manualBreakCount="3">
    <brk id="40" max="255" man="1"/>
    <brk id="87" max="13" man="1"/>
    <brk id="124" max="13" man="1"/>
  </rowBreaks>
  <drawing r:id="rId1"/>
</worksheet>
</file>

<file path=xl/worksheets/sheet6.xml><?xml version="1.0" encoding="utf-8"?>
<worksheet xmlns="http://schemas.openxmlformats.org/spreadsheetml/2006/main" xmlns:r="http://schemas.openxmlformats.org/officeDocument/2006/relationships">
  <sheetPr codeName="Blad6"/>
  <dimension ref="A2:P111"/>
  <sheetViews>
    <sheetView showGridLines="0" zoomScale="86" zoomScaleNormal="86" workbookViewId="0" topLeftCell="A1">
      <selection activeCell="D8" sqref="D8"/>
    </sheetView>
  </sheetViews>
  <sheetFormatPr defaultColWidth="9.140625" defaultRowHeight="12.75"/>
  <cols>
    <col min="1" max="1" width="5.7109375" style="455" customWidth="1"/>
    <col min="2" max="2" width="5.140625" style="456" customWidth="1"/>
    <col min="3" max="3" width="25.7109375" style="456" customWidth="1"/>
    <col min="4" max="4" width="10.28125" style="459" customWidth="1"/>
    <col min="5" max="5" width="10.57421875" style="456" customWidth="1"/>
    <col min="6" max="6" width="12.7109375" style="456" customWidth="1"/>
    <col min="7" max="7" width="2.7109375" style="458" customWidth="1"/>
    <col min="8" max="8" width="5.7109375" style="455" customWidth="1"/>
    <col min="9" max="9" width="5.140625" style="456" customWidth="1"/>
    <col min="10" max="10" width="25.7109375" style="472" customWidth="1"/>
    <col min="11" max="11" width="10.28125" style="456" customWidth="1"/>
    <col min="12" max="12" width="8.7109375" style="456" customWidth="1"/>
    <col min="13" max="13" width="12.7109375" style="456" customWidth="1"/>
    <col min="14" max="14" width="4.00390625" style="453" customWidth="1"/>
    <col min="15" max="15" width="10.7109375" style="453" customWidth="1"/>
    <col min="16" max="16" width="10.7109375" style="451" customWidth="1"/>
    <col min="17" max="21" width="10.7109375" style="453" customWidth="1"/>
    <col min="22" max="29" width="9.140625" style="453" customWidth="1"/>
    <col min="30" max="30" width="1.7109375" style="453" customWidth="1"/>
    <col min="31" max="16384" width="9.140625" style="453" customWidth="1"/>
  </cols>
  <sheetData>
    <row r="1" ht="15.75" customHeight="1"/>
    <row r="2" spans="1:16" s="515" customFormat="1" ht="15.75" customHeight="1">
      <c r="A2" s="622" t="str">
        <f>Inhoud!$A$2</f>
        <v>Nacalculatieformulier 2004 GGZ-instellingen</v>
      </c>
      <c r="B2" s="637"/>
      <c r="C2" s="637"/>
      <c r="D2" s="638"/>
      <c r="E2" s="639"/>
      <c r="F2" s="639"/>
      <c r="G2" s="546"/>
      <c r="H2" s="640" t="b">
        <f>Voorblad!E28</f>
        <v>1</v>
      </c>
      <c r="I2" s="637"/>
      <c r="J2" s="640"/>
      <c r="K2" s="637"/>
      <c r="L2" s="641"/>
      <c r="M2" s="1302">
        <f>Productie!M126+1</f>
        <v>11</v>
      </c>
      <c r="P2" s="516"/>
    </row>
    <row r="3" spans="1:13" ht="7.5" customHeight="1">
      <c r="A3" s="41"/>
      <c r="B3" s="42"/>
      <c r="C3" s="42"/>
      <c r="D3" s="43"/>
      <c r="E3" s="42"/>
      <c r="F3" s="42"/>
      <c r="G3" s="45"/>
      <c r="H3" s="41"/>
      <c r="I3" s="42"/>
      <c r="J3" s="90"/>
      <c r="K3" s="42"/>
      <c r="L3" s="42"/>
      <c r="M3" s="90"/>
    </row>
    <row r="4" spans="1:16" ht="12.75" customHeight="1">
      <c r="A4" s="14" t="str">
        <f>CONCATENATE("RUBRIEK 2: WERKELIJKE OPBRENGSTEN")</f>
        <v>RUBRIEK 2: WERKELIJKE OPBRENGSTEN</v>
      </c>
      <c r="B4" s="95"/>
      <c r="C4" s="95"/>
      <c r="D4" s="642"/>
      <c r="E4" s="387"/>
      <c r="F4" s="643"/>
      <c r="G4" s="95"/>
      <c r="H4" s="33"/>
      <c r="I4" s="42"/>
      <c r="J4" s="95"/>
      <c r="K4" s="644"/>
      <c r="L4" s="95"/>
      <c r="M4" s="95"/>
      <c r="N4" s="451"/>
      <c r="P4" s="453"/>
    </row>
    <row r="5" spans="1:16" ht="7.5" customHeight="1">
      <c r="A5" s="41"/>
      <c r="B5" s="645"/>
      <c r="C5" s="645"/>
      <c r="D5" s="645"/>
      <c r="E5" s="645"/>
      <c r="F5" s="645"/>
      <c r="G5" s="645"/>
      <c r="H5" s="645"/>
      <c r="I5" s="645"/>
      <c r="J5" s="645"/>
      <c r="K5" s="645"/>
      <c r="L5" s="645"/>
      <c r="M5" s="645"/>
      <c r="P5" s="453"/>
    </row>
    <row r="6" spans="1:16" ht="12.75" customHeight="1">
      <c r="A6" s="26" t="s">
        <v>445</v>
      </c>
      <c r="B6" s="27" t="s">
        <v>533</v>
      </c>
      <c r="C6" s="578"/>
      <c r="E6" s="578"/>
      <c r="F6" s="650"/>
      <c r="G6" s="578"/>
      <c r="H6" s="26" t="s">
        <v>447</v>
      </c>
      <c r="I6" s="27" t="s">
        <v>403</v>
      </c>
      <c r="P6" s="453"/>
    </row>
    <row r="7" spans="2:13" s="451" customFormat="1" ht="12.75" customHeight="1">
      <c r="B7" s="646" t="s">
        <v>282</v>
      </c>
      <c r="C7" s="646" t="s">
        <v>64</v>
      </c>
      <c r="D7" s="1187" t="s">
        <v>707</v>
      </c>
      <c r="E7" s="648" t="s">
        <v>708</v>
      </c>
      <c r="F7" s="648" t="s">
        <v>167</v>
      </c>
      <c r="G7" s="450"/>
      <c r="H7" s="455"/>
      <c r="I7" s="646" t="s">
        <v>282</v>
      </c>
      <c r="J7" s="646" t="s">
        <v>64</v>
      </c>
      <c r="K7" s="1187" t="s">
        <v>168</v>
      </c>
      <c r="L7" s="648" t="s">
        <v>532</v>
      </c>
      <c r="M7" s="648" t="s">
        <v>167</v>
      </c>
    </row>
    <row r="8" spans="1:13" s="451" customFormat="1" ht="12.75" customHeight="1">
      <c r="A8" s="780">
        <f>(100*M2)+1</f>
        <v>1101</v>
      </c>
      <c r="B8" s="651" t="s">
        <v>259</v>
      </c>
      <c r="C8" s="651" t="s">
        <v>126</v>
      </c>
      <c r="D8" s="434"/>
      <c r="E8" s="941"/>
      <c r="F8" s="433">
        <f aca="true" t="shared" si="0" ref="F8:F14">D8*E8</f>
        <v>0</v>
      </c>
      <c r="G8" s="450"/>
      <c r="H8" s="780">
        <f>A43+1</f>
        <v>1125</v>
      </c>
      <c r="I8" s="1179" t="s">
        <v>127</v>
      </c>
      <c r="J8" s="660" t="s">
        <v>166</v>
      </c>
      <c r="K8" s="945">
        <f>Productie!D68</f>
        <v>0</v>
      </c>
      <c r="L8" s="1097">
        <v>21</v>
      </c>
      <c r="M8" s="433">
        <f aca="true" t="shared" si="1" ref="M8:M26">K8*L8</f>
        <v>0</v>
      </c>
    </row>
    <row r="9" spans="1:13" ht="12.75" customHeight="1">
      <c r="A9" s="780">
        <f aca="true" t="shared" si="2" ref="A9:A16">A8+1</f>
        <v>1102</v>
      </c>
      <c r="B9" s="651" t="s">
        <v>260</v>
      </c>
      <c r="C9" s="651" t="s">
        <v>125</v>
      </c>
      <c r="D9" s="434"/>
      <c r="E9" s="941"/>
      <c r="F9" s="433">
        <f t="shared" si="0"/>
        <v>0</v>
      </c>
      <c r="G9" s="452"/>
      <c r="H9" s="780">
        <f>H8+1</f>
        <v>1126</v>
      </c>
      <c r="I9" s="1179" t="s">
        <v>128</v>
      </c>
      <c r="J9" s="651"/>
      <c r="K9" s="945">
        <f>Productie!D69</f>
        <v>0</v>
      </c>
      <c r="L9" s="1097">
        <v>161</v>
      </c>
      <c r="M9" s="433">
        <f t="shared" si="1"/>
        <v>0</v>
      </c>
    </row>
    <row r="10" spans="1:13" ht="12.75" customHeight="1">
      <c r="A10" s="780">
        <f t="shared" si="2"/>
        <v>1103</v>
      </c>
      <c r="B10" s="651" t="s">
        <v>261</v>
      </c>
      <c r="C10" s="651" t="s">
        <v>123</v>
      </c>
      <c r="D10" s="434"/>
      <c r="E10" s="941"/>
      <c r="F10" s="433">
        <f t="shared" si="0"/>
        <v>0</v>
      </c>
      <c r="G10" s="452"/>
      <c r="H10" s="780">
        <f>H9+1</f>
        <v>1127</v>
      </c>
      <c r="I10" s="1179" t="s">
        <v>129</v>
      </c>
      <c r="J10" s="651"/>
      <c r="K10" s="945">
        <f>Productie!D70</f>
        <v>0</v>
      </c>
      <c r="L10" s="1097">
        <v>440</v>
      </c>
      <c r="M10" s="433">
        <f t="shared" si="1"/>
        <v>0</v>
      </c>
    </row>
    <row r="11" spans="1:13" ht="12.75" customHeight="1">
      <c r="A11" s="780">
        <f>A10+1</f>
        <v>1104</v>
      </c>
      <c r="B11" s="651" t="s">
        <v>262</v>
      </c>
      <c r="C11" s="651" t="s">
        <v>252</v>
      </c>
      <c r="D11" s="434"/>
      <c r="E11" s="941"/>
      <c r="F11" s="433">
        <f t="shared" si="0"/>
        <v>0</v>
      </c>
      <c r="G11" s="452"/>
      <c r="H11" s="780">
        <f>H10+1</f>
        <v>1128</v>
      </c>
      <c r="I11" s="1179" t="s">
        <v>130</v>
      </c>
      <c r="J11" s="651"/>
      <c r="K11" s="945">
        <f>Productie!D71</f>
        <v>0</v>
      </c>
      <c r="L11" s="1097">
        <v>152</v>
      </c>
      <c r="M11" s="433">
        <f t="shared" si="1"/>
        <v>0</v>
      </c>
    </row>
    <row r="12" spans="1:13" ht="12.75" customHeight="1">
      <c r="A12" s="780">
        <f t="shared" si="2"/>
        <v>1105</v>
      </c>
      <c r="B12" s="651" t="s">
        <v>263</v>
      </c>
      <c r="C12" s="651" t="s">
        <v>253</v>
      </c>
      <c r="D12" s="434"/>
      <c r="E12" s="941"/>
      <c r="F12" s="433">
        <f t="shared" si="0"/>
        <v>0</v>
      </c>
      <c r="G12" s="452"/>
      <c r="H12" s="780">
        <f>H11+1</f>
        <v>1129</v>
      </c>
      <c r="I12" s="1179" t="s">
        <v>131</v>
      </c>
      <c r="J12" s="651"/>
      <c r="K12" s="945">
        <f>Productie!D72</f>
        <v>0</v>
      </c>
      <c r="L12" s="1097">
        <v>97</v>
      </c>
      <c r="M12" s="433">
        <f t="shared" si="1"/>
        <v>0</v>
      </c>
    </row>
    <row r="13" spans="1:13" ht="12.75" customHeight="1">
      <c r="A13" s="780">
        <f t="shared" si="2"/>
        <v>1106</v>
      </c>
      <c r="B13" s="651" t="s">
        <v>264</v>
      </c>
      <c r="C13" s="651" t="s">
        <v>124</v>
      </c>
      <c r="D13" s="434"/>
      <c r="E13" s="941"/>
      <c r="F13" s="433">
        <f t="shared" si="0"/>
        <v>0</v>
      </c>
      <c r="G13" s="452"/>
      <c r="H13" s="780">
        <f>H12+1</f>
        <v>1130</v>
      </c>
      <c r="I13" s="1179" t="s">
        <v>132</v>
      </c>
      <c r="J13" s="651"/>
      <c r="K13" s="945">
        <f>Productie!D73</f>
        <v>0</v>
      </c>
      <c r="L13" s="1097">
        <v>91</v>
      </c>
      <c r="M13" s="433">
        <f t="shared" si="1"/>
        <v>0</v>
      </c>
    </row>
    <row r="14" spans="1:13" ht="12.75" customHeight="1">
      <c r="A14" s="780">
        <f t="shared" si="2"/>
        <v>1107</v>
      </c>
      <c r="B14" s="36" t="s">
        <v>265</v>
      </c>
      <c r="C14" s="36" t="s">
        <v>266</v>
      </c>
      <c r="D14" s="434"/>
      <c r="E14" s="940">
        <v>144</v>
      </c>
      <c r="F14" s="433">
        <f t="shared" si="0"/>
        <v>0</v>
      </c>
      <c r="G14" s="452"/>
      <c r="H14" s="780">
        <f aca="true" t="shared" si="3" ref="H14:H43">H13+1</f>
        <v>1131</v>
      </c>
      <c r="I14" s="1179" t="s">
        <v>747</v>
      </c>
      <c r="J14" s="453" t="s">
        <v>818</v>
      </c>
      <c r="K14" s="945">
        <f>Productie!D74</f>
        <v>0</v>
      </c>
      <c r="L14" s="1097">
        <v>50</v>
      </c>
      <c r="M14" s="433">
        <f t="shared" si="1"/>
        <v>0</v>
      </c>
    </row>
    <row r="15" spans="1:13" ht="12.75" customHeight="1">
      <c r="A15" s="780">
        <f>A14+1</f>
        <v>1108</v>
      </c>
      <c r="B15" s="816"/>
      <c r="C15" s="816"/>
      <c r="D15" s="783"/>
      <c r="E15" s="942"/>
      <c r="F15" s="784">
        <f>D15*E15</f>
        <v>0</v>
      </c>
      <c r="G15" s="452"/>
      <c r="H15" s="780">
        <f t="shared" si="3"/>
        <v>1132</v>
      </c>
      <c r="I15" s="1179" t="s">
        <v>133</v>
      </c>
      <c r="J15" s="651"/>
      <c r="K15" s="945">
        <f>Productie!D75</f>
        <v>0</v>
      </c>
      <c r="L15" s="1097">
        <v>63</v>
      </c>
      <c r="M15" s="433">
        <f t="shared" si="1"/>
        <v>0</v>
      </c>
    </row>
    <row r="16" spans="1:13" ht="12.75" customHeight="1">
      <c r="A16" s="780">
        <f t="shared" si="2"/>
        <v>1109</v>
      </c>
      <c r="B16" s="781" t="str">
        <f>CONCATENATE("Totaal regel ",A8," t/m ",A15,)</f>
        <v>Totaal regel 1101 t/m 1108</v>
      </c>
      <c r="C16" s="782"/>
      <c r="D16" s="785">
        <f>SUM(D8:D15)</f>
        <v>0</v>
      </c>
      <c r="E16" s="786"/>
      <c r="F16" s="785">
        <f>SUM(F8:F15)</f>
        <v>0</v>
      </c>
      <c r="G16" s="452"/>
      <c r="H16" s="780">
        <f t="shared" si="3"/>
        <v>1133</v>
      </c>
      <c r="I16" s="1179" t="s">
        <v>300</v>
      </c>
      <c r="J16" s="661"/>
      <c r="K16" s="945">
        <f>Productie!D76</f>
        <v>0</v>
      </c>
      <c r="L16" s="1097">
        <v>209</v>
      </c>
      <c r="M16" s="433">
        <f t="shared" si="1"/>
        <v>0</v>
      </c>
    </row>
    <row r="17" spans="1:13" ht="12.75" customHeight="1">
      <c r="A17" s="41"/>
      <c r="B17" s="42" t="s">
        <v>843</v>
      </c>
      <c r="C17" s="325"/>
      <c r="D17" s="482"/>
      <c r="G17" s="452"/>
      <c r="H17" s="780">
        <f t="shared" si="3"/>
        <v>1134</v>
      </c>
      <c r="I17" s="1179" t="s">
        <v>301</v>
      </c>
      <c r="J17" s="661"/>
      <c r="K17" s="945">
        <f>Productie!D77</f>
        <v>0</v>
      </c>
      <c r="L17" s="1097">
        <v>783</v>
      </c>
      <c r="M17" s="433">
        <f t="shared" si="1"/>
        <v>0</v>
      </c>
    </row>
    <row r="18" spans="2:13" ht="12.75" customHeight="1">
      <c r="B18" s="1188" t="str">
        <f>CONCATENATE("**) inclusief toeslag/aftrek; conform laatste tariefbeschikking ",Voorblad!E3)</f>
        <v>**) inclusief toeslag/aftrek; conform laatste tariefbeschikking 2004</v>
      </c>
      <c r="G18" s="452"/>
      <c r="H18" s="780">
        <f t="shared" si="3"/>
        <v>1135</v>
      </c>
      <c r="I18" s="1179" t="s">
        <v>302</v>
      </c>
      <c r="J18" s="661"/>
      <c r="K18" s="945">
        <f>Productie!D78</f>
        <v>0</v>
      </c>
      <c r="L18" s="1097">
        <v>39</v>
      </c>
      <c r="M18" s="433">
        <f t="shared" si="1"/>
        <v>0</v>
      </c>
    </row>
    <row r="19" spans="7:13" ht="12.75" customHeight="1">
      <c r="G19" s="457"/>
      <c r="H19" s="780">
        <f t="shared" si="3"/>
        <v>1136</v>
      </c>
      <c r="I19" s="1179" t="s">
        <v>735</v>
      </c>
      <c r="J19" s="660" t="s">
        <v>555</v>
      </c>
      <c r="K19" s="945">
        <f>Productie!K45+Productie!K59+Productie!K73</f>
        <v>0</v>
      </c>
      <c r="L19" s="1097">
        <v>21</v>
      </c>
      <c r="M19" s="433">
        <f t="shared" si="1"/>
        <v>0</v>
      </c>
    </row>
    <row r="20" spans="1:13" ht="12.75" customHeight="1">
      <c r="A20" s="26" t="s">
        <v>446</v>
      </c>
      <c r="B20" s="27" t="s">
        <v>734</v>
      </c>
      <c r="C20" s="578"/>
      <c r="E20" s="578"/>
      <c r="F20" s="650"/>
      <c r="H20" s="780">
        <f t="shared" si="3"/>
        <v>1137</v>
      </c>
      <c r="I20" s="1179" t="s">
        <v>736</v>
      </c>
      <c r="J20" s="651"/>
      <c r="K20" s="945">
        <f>Productie!K46+Productie!K60+Productie!K74</f>
        <v>0</v>
      </c>
      <c r="L20" s="1097">
        <v>202</v>
      </c>
      <c r="M20" s="433">
        <f t="shared" si="1"/>
        <v>0</v>
      </c>
    </row>
    <row r="21" spans="2:13" s="451" customFormat="1" ht="12.75" customHeight="1">
      <c r="B21" s="646" t="s">
        <v>282</v>
      </c>
      <c r="C21" s="646" t="s">
        <v>64</v>
      </c>
      <c r="D21" s="1187" t="s">
        <v>731</v>
      </c>
      <c r="E21" s="648" t="s">
        <v>732</v>
      </c>
      <c r="F21" s="648" t="s">
        <v>167</v>
      </c>
      <c r="G21" s="450"/>
      <c r="H21" s="780">
        <f t="shared" si="3"/>
        <v>1138</v>
      </c>
      <c r="I21" s="1179" t="s">
        <v>737</v>
      </c>
      <c r="J21" s="651"/>
      <c r="K21" s="945">
        <f>Productie!K47+Productie!K61+Productie!K75</f>
        <v>0</v>
      </c>
      <c r="L21" s="1097">
        <v>420</v>
      </c>
      <c r="M21" s="433">
        <f t="shared" si="1"/>
        <v>0</v>
      </c>
    </row>
    <row r="22" spans="1:13" s="451" customFormat="1" ht="12.75" customHeight="1">
      <c r="A22" s="780">
        <f>A16+1</f>
        <v>1110</v>
      </c>
      <c r="B22" s="651" t="s">
        <v>858</v>
      </c>
      <c r="C22" s="651" t="s">
        <v>866</v>
      </c>
      <c r="D22" s="434"/>
      <c r="E22" s="941"/>
      <c r="F22" s="433">
        <f>D22*E22</f>
        <v>0</v>
      </c>
      <c r="G22" s="450"/>
      <c r="H22" s="780">
        <f t="shared" si="3"/>
        <v>1139</v>
      </c>
      <c r="I22" s="1179" t="s">
        <v>738</v>
      </c>
      <c r="J22" s="651"/>
      <c r="K22" s="945">
        <f>Productie!K48+Productie!K62+Productie!K76</f>
        <v>0</v>
      </c>
      <c r="L22" s="1097">
        <v>102</v>
      </c>
      <c r="M22" s="433">
        <f t="shared" si="1"/>
        <v>0</v>
      </c>
    </row>
    <row r="23" spans="7:13" ht="12.75" customHeight="1">
      <c r="G23" s="452"/>
      <c r="H23" s="780">
        <f t="shared" si="3"/>
        <v>1140</v>
      </c>
      <c r="I23" s="1179" t="s">
        <v>739</v>
      </c>
      <c r="J23" s="651"/>
      <c r="K23" s="945">
        <f>Productie!K49+Productie!K63+Productie!K77</f>
        <v>0</v>
      </c>
      <c r="L23" s="1097">
        <v>69</v>
      </c>
      <c r="M23" s="433">
        <f t="shared" si="1"/>
        <v>0</v>
      </c>
    </row>
    <row r="24" spans="1:13" ht="12.75" customHeight="1">
      <c r="A24" s="26" t="s">
        <v>172</v>
      </c>
      <c r="B24" s="27" t="s">
        <v>857</v>
      </c>
      <c r="G24" s="452"/>
      <c r="H24" s="780">
        <f t="shared" si="3"/>
        <v>1141</v>
      </c>
      <c r="I24" s="1179" t="s">
        <v>740</v>
      </c>
      <c r="J24" s="651"/>
      <c r="K24" s="945">
        <f>Productie!K50+Productie!K64+Productie!K78</f>
        <v>0</v>
      </c>
      <c r="L24" s="1097">
        <v>87</v>
      </c>
      <c r="M24" s="433">
        <f t="shared" si="1"/>
        <v>0</v>
      </c>
    </row>
    <row r="25" spans="1:13" ht="12.75" customHeight="1">
      <c r="A25" s="780">
        <f>A22+1</f>
        <v>1111</v>
      </c>
      <c r="B25" s="651" t="s">
        <v>733</v>
      </c>
      <c r="C25" s="781" t="s">
        <v>884</v>
      </c>
      <c r="D25" s="788"/>
      <c r="E25" s="782"/>
      <c r="F25" s="434"/>
      <c r="G25" s="452"/>
      <c r="H25" s="780">
        <f t="shared" si="3"/>
        <v>1142</v>
      </c>
      <c r="I25" s="1179" t="s">
        <v>867</v>
      </c>
      <c r="J25" s="453" t="s">
        <v>818</v>
      </c>
      <c r="K25" s="945">
        <f>Productie!K51+Productie!K65+Productie!K79</f>
        <v>0</v>
      </c>
      <c r="L25" s="1097">
        <v>48</v>
      </c>
      <c r="M25" s="433">
        <f t="shared" si="1"/>
        <v>0</v>
      </c>
    </row>
    <row r="26" spans="2:13" ht="12.75" customHeight="1">
      <c r="B26" s="456" t="s">
        <v>763</v>
      </c>
      <c r="G26" s="457"/>
      <c r="H26" s="780">
        <f t="shared" si="3"/>
        <v>1143</v>
      </c>
      <c r="I26" s="1179" t="s">
        <v>741</v>
      </c>
      <c r="J26" s="651"/>
      <c r="K26" s="945">
        <f>Productie!K52+Productie!K66+Productie!K80</f>
        <v>0</v>
      </c>
      <c r="L26" s="1097">
        <v>60</v>
      </c>
      <c r="M26" s="433">
        <f t="shared" si="1"/>
        <v>0</v>
      </c>
    </row>
    <row r="27" spans="2:13" ht="12.75" customHeight="1">
      <c r="B27" s="456" t="s">
        <v>853</v>
      </c>
      <c r="H27" s="780">
        <f t="shared" si="3"/>
        <v>1144</v>
      </c>
      <c r="I27" s="1179" t="s">
        <v>742</v>
      </c>
      <c r="J27" s="661"/>
      <c r="K27" s="945">
        <f>Productie!K53+Productie!K67+Productie!K81</f>
        <v>0</v>
      </c>
      <c r="L27" s="1097">
        <v>209</v>
      </c>
      <c r="M27" s="433">
        <f aca="true" t="shared" si="4" ref="M27:M33">K27*L27</f>
        <v>0</v>
      </c>
    </row>
    <row r="28" spans="7:13" s="451" customFormat="1" ht="12.75" customHeight="1">
      <c r="G28" s="450"/>
      <c r="H28" s="780">
        <f t="shared" si="3"/>
        <v>1145</v>
      </c>
      <c r="I28" s="1179" t="s">
        <v>743</v>
      </c>
      <c r="J28" s="661"/>
      <c r="K28" s="945">
        <f>Productie!K54+Productie!K68+Productie!K82</f>
        <v>0</v>
      </c>
      <c r="L28" s="1097">
        <v>783</v>
      </c>
      <c r="M28" s="433">
        <f t="shared" si="4"/>
        <v>0</v>
      </c>
    </row>
    <row r="29" spans="1:13" s="451" customFormat="1" ht="12.75" customHeight="1">
      <c r="A29" s="26" t="s">
        <v>176</v>
      </c>
      <c r="B29" s="27" t="s">
        <v>158</v>
      </c>
      <c r="G29" s="450"/>
      <c r="H29" s="780">
        <f t="shared" si="3"/>
        <v>1146</v>
      </c>
      <c r="I29" s="1179" t="s">
        <v>744</v>
      </c>
      <c r="J29" s="661"/>
      <c r="K29" s="945">
        <f>Productie!K55+Productie!K69+Productie!K83</f>
        <v>0</v>
      </c>
      <c r="L29" s="1097">
        <v>39</v>
      </c>
      <c r="M29" s="433">
        <f t="shared" si="4"/>
        <v>0</v>
      </c>
    </row>
    <row r="30" spans="2:13" ht="12.75" customHeight="1">
      <c r="B30" s="646" t="s">
        <v>282</v>
      </c>
      <c r="C30" s="646" t="s">
        <v>64</v>
      </c>
      <c r="D30" s="1187" t="s">
        <v>168</v>
      </c>
      <c r="E30" s="648" t="s">
        <v>532</v>
      </c>
      <c r="F30" s="648" t="s">
        <v>167</v>
      </c>
      <c r="G30" s="452"/>
      <c r="H30" s="780">
        <f t="shared" si="3"/>
        <v>1147</v>
      </c>
      <c r="I30" s="1179" t="s">
        <v>700</v>
      </c>
      <c r="J30" s="661" t="s">
        <v>701</v>
      </c>
      <c r="K30" s="945">
        <f>Productie!D109+Productie!D110</f>
        <v>0</v>
      </c>
      <c r="L30" s="1097">
        <v>133.4</v>
      </c>
      <c r="M30" s="433">
        <f t="shared" si="4"/>
        <v>0</v>
      </c>
    </row>
    <row r="31" spans="1:13" ht="12.75" customHeight="1">
      <c r="A31" s="780">
        <f>A25+1</f>
        <v>1112</v>
      </c>
      <c r="B31" s="36" t="s">
        <v>654</v>
      </c>
      <c r="C31" s="574" t="s">
        <v>653</v>
      </c>
      <c r="D31" s="945">
        <f>Productie!K27</f>
        <v>0</v>
      </c>
      <c r="E31" s="1106">
        <v>117</v>
      </c>
      <c r="F31" s="433">
        <f>D31*E31</f>
        <v>0</v>
      </c>
      <c r="G31" s="452"/>
      <c r="H31" s="780">
        <f t="shared" si="3"/>
        <v>1148</v>
      </c>
      <c r="I31" s="1179" t="s">
        <v>702</v>
      </c>
      <c r="J31" s="661" t="s">
        <v>546</v>
      </c>
      <c r="K31" s="945">
        <f>Productie!D111</f>
        <v>0</v>
      </c>
      <c r="L31" s="1097">
        <v>157.7</v>
      </c>
      <c r="M31" s="433">
        <f t="shared" si="4"/>
        <v>0</v>
      </c>
    </row>
    <row r="32" spans="1:13" ht="12.75" customHeight="1">
      <c r="A32" s="780">
        <f aca="true" t="shared" si="5" ref="A32:A42">A31+1</f>
        <v>1113</v>
      </c>
      <c r="B32" s="36" t="s">
        <v>655</v>
      </c>
      <c r="C32" s="574" t="s">
        <v>653</v>
      </c>
      <c r="D32" s="945">
        <f>Productie!K28</f>
        <v>0</v>
      </c>
      <c r="E32" s="1106">
        <v>144</v>
      </c>
      <c r="F32" s="433">
        <f aca="true" t="shared" si="6" ref="F32:F42">D32*E32</f>
        <v>0</v>
      </c>
      <c r="G32" s="452"/>
      <c r="H32" s="780">
        <f t="shared" si="3"/>
        <v>1149</v>
      </c>
      <c r="I32" s="1179" t="s">
        <v>703</v>
      </c>
      <c r="J32" s="661" t="s">
        <v>704</v>
      </c>
      <c r="K32" s="945">
        <f>Productie!D113</f>
        <v>0</v>
      </c>
      <c r="L32" s="1097">
        <v>82</v>
      </c>
      <c r="M32" s="433">
        <f t="shared" si="4"/>
        <v>0</v>
      </c>
    </row>
    <row r="33" spans="1:13" ht="12.75" customHeight="1">
      <c r="A33" s="780">
        <f t="shared" si="5"/>
        <v>1114</v>
      </c>
      <c r="B33" s="36" t="s">
        <v>656</v>
      </c>
      <c r="C33" s="574" t="s">
        <v>125</v>
      </c>
      <c r="D33" s="945">
        <f>Productie!K33</f>
        <v>0</v>
      </c>
      <c r="E33" s="1106">
        <v>238</v>
      </c>
      <c r="F33" s="433">
        <f t="shared" si="6"/>
        <v>0</v>
      </c>
      <c r="G33" s="461"/>
      <c r="H33" s="780">
        <f t="shared" si="3"/>
        <v>1150</v>
      </c>
      <c r="I33" s="1180" t="s">
        <v>705</v>
      </c>
      <c r="J33" s="1164" t="s">
        <v>706</v>
      </c>
      <c r="K33" s="945">
        <f>Productie!D106</f>
        <v>0</v>
      </c>
      <c r="L33" s="1097">
        <v>70</v>
      </c>
      <c r="M33" s="433">
        <f t="shared" si="4"/>
        <v>0</v>
      </c>
    </row>
    <row r="34" spans="1:13" ht="12.75" customHeight="1">
      <c r="A34" s="780">
        <f t="shared" si="5"/>
        <v>1115</v>
      </c>
      <c r="B34" s="36" t="s">
        <v>657</v>
      </c>
      <c r="C34" s="574" t="s">
        <v>125</v>
      </c>
      <c r="D34" s="945">
        <f>Productie!K34</f>
        <v>0</v>
      </c>
      <c r="E34" s="1106">
        <v>171</v>
      </c>
      <c r="F34" s="433">
        <f t="shared" si="6"/>
        <v>0</v>
      </c>
      <c r="G34" s="453"/>
      <c r="H34" s="780">
        <f t="shared" si="3"/>
        <v>1151</v>
      </c>
      <c r="I34" s="651" t="s">
        <v>644</v>
      </c>
      <c r="J34" s="1029" t="s">
        <v>765</v>
      </c>
      <c r="K34" s="945">
        <f>Productie!D115</f>
        <v>0</v>
      </c>
      <c r="L34" s="1097">
        <v>7.8</v>
      </c>
      <c r="M34" s="433">
        <f aca="true" t="shared" si="7" ref="M34:M42">K34*L34</f>
        <v>0</v>
      </c>
    </row>
    <row r="35" spans="1:13" ht="12.75" customHeight="1">
      <c r="A35" s="780">
        <f t="shared" si="5"/>
        <v>1116</v>
      </c>
      <c r="B35" s="36" t="s">
        <v>658</v>
      </c>
      <c r="C35" s="574" t="s">
        <v>125</v>
      </c>
      <c r="D35" s="945">
        <f>Productie!K35</f>
        <v>0</v>
      </c>
      <c r="E35" s="1106">
        <v>195</v>
      </c>
      <c r="F35" s="433">
        <f t="shared" si="6"/>
        <v>0</v>
      </c>
      <c r="H35" s="780">
        <f t="shared" si="3"/>
        <v>1152</v>
      </c>
      <c r="I35" s="1179" t="s">
        <v>238</v>
      </c>
      <c r="J35" s="660" t="s">
        <v>134</v>
      </c>
      <c r="K35" s="945">
        <f>Productie!D93</f>
        <v>0</v>
      </c>
      <c r="L35" s="1097">
        <v>21</v>
      </c>
      <c r="M35" s="433">
        <f t="shared" si="7"/>
        <v>0</v>
      </c>
    </row>
    <row r="36" spans="1:13" ht="12.75" customHeight="1">
      <c r="A36" s="780">
        <f t="shared" si="5"/>
        <v>1117</v>
      </c>
      <c r="B36" s="36" t="s">
        <v>659</v>
      </c>
      <c r="C36" s="574" t="s">
        <v>338</v>
      </c>
      <c r="D36" s="945">
        <f>Productie!D45</f>
        <v>0</v>
      </c>
      <c r="E36" s="1106">
        <v>118</v>
      </c>
      <c r="F36" s="433">
        <f t="shared" si="6"/>
        <v>0</v>
      </c>
      <c r="H36" s="780">
        <f t="shared" si="3"/>
        <v>1153</v>
      </c>
      <c r="I36" s="1179" t="s">
        <v>142</v>
      </c>
      <c r="J36" s="651"/>
      <c r="K36" s="945">
        <f>Productie!D94</f>
        <v>0</v>
      </c>
      <c r="L36" s="1097">
        <v>377</v>
      </c>
      <c r="M36" s="433">
        <f t="shared" si="7"/>
        <v>0</v>
      </c>
    </row>
    <row r="37" spans="1:13" ht="12" customHeight="1">
      <c r="A37" s="780">
        <f t="shared" si="5"/>
        <v>1118</v>
      </c>
      <c r="B37" s="36" t="s">
        <v>660</v>
      </c>
      <c r="C37" s="574" t="s">
        <v>338</v>
      </c>
      <c r="D37" s="945">
        <f>Productie!D46</f>
        <v>0</v>
      </c>
      <c r="E37" s="1106">
        <v>149</v>
      </c>
      <c r="F37" s="433">
        <f t="shared" si="6"/>
        <v>0</v>
      </c>
      <c r="H37" s="780">
        <f t="shared" si="3"/>
        <v>1154</v>
      </c>
      <c r="I37" s="1179" t="s">
        <v>143</v>
      </c>
      <c r="J37" s="651"/>
      <c r="K37" s="945">
        <f>Productie!D95</f>
        <v>0</v>
      </c>
      <c r="L37" s="1097">
        <v>184</v>
      </c>
      <c r="M37" s="433">
        <f t="shared" si="7"/>
        <v>0</v>
      </c>
    </row>
    <row r="38" spans="1:13" ht="12" customHeight="1">
      <c r="A38" s="780">
        <f t="shared" si="5"/>
        <v>1119</v>
      </c>
      <c r="B38" s="36" t="s">
        <v>661</v>
      </c>
      <c r="C38" s="574" t="s">
        <v>338</v>
      </c>
      <c r="D38" s="945">
        <f>Productie!D47</f>
        <v>0</v>
      </c>
      <c r="E38" s="1106">
        <v>134</v>
      </c>
      <c r="F38" s="433">
        <f t="shared" si="6"/>
        <v>0</v>
      </c>
      <c r="H38" s="780">
        <f t="shared" si="3"/>
        <v>1155</v>
      </c>
      <c r="I38" s="1179" t="s">
        <v>144</v>
      </c>
      <c r="J38" s="651"/>
      <c r="K38" s="945">
        <f>Productie!D96</f>
        <v>0</v>
      </c>
      <c r="L38" s="1097">
        <v>116</v>
      </c>
      <c r="M38" s="433">
        <f t="shared" si="7"/>
        <v>0</v>
      </c>
    </row>
    <row r="39" spans="1:13" ht="12">
      <c r="A39" s="780">
        <f t="shared" si="5"/>
        <v>1120</v>
      </c>
      <c r="B39" s="36" t="s">
        <v>662</v>
      </c>
      <c r="C39" s="574" t="s">
        <v>338</v>
      </c>
      <c r="D39" s="945">
        <f>Productie!D48</f>
        <v>0</v>
      </c>
      <c r="E39" s="1106">
        <v>168</v>
      </c>
      <c r="F39" s="433">
        <f t="shared" si="6"/>
        <v>0</v>
      </c>
      <c r="H39" s="780">
        <f t="shared" si="3"/>
        <v>1156</v>
      </c>
      <c r="I39" s="1179" t="s">
        <v>145</v>
      </c>
      <c r="J39" s="651"/>
      <c r="K39" s="945">
        <f>Productie!D97</f>
        <v>0</v>
      </c>
      <c r="L39" s="1097">
        <v>100</v>
      </c>
      <c r="M39" s="433">
        <f t="shared" si="7"/>
        <v>0</v>
      </c>
    </row>
    <row r="40" spans="1:13" ht="12.75" customHeight="1">
      <c r="A40" s="780">
        <f t="shared" si="5"/>
        <v>1121</v>
      </c>
      <c r="B40" s="36" t="s">
        <v>663</v>
      </c>
      <c r="C40" s="574" t="s">
        <v>338</v>
      </c>
      <c r="D40" s="945">
        <f>Productie!D49</f>
        <v>0</v>
      </c>
      <c r="E40" s="1106">
        <v>66</v>
      </c>
      <c r="F40" s="433">
        <f t="shared" si="6"/>
        <v>0</v>
      </c>
      <c r="H40" s="780">
        <f t="shared" si="3"/>
        <v>1157</v>
      </c>
      <c r="I40" s="1179" t="s">
        <v>750</v>
      </c>
      <c r="J40" s="453" t="s">
        <v>818</v>
      </c>
      <c r="K40" s="945">
        <f>Productie!D98</f>
        <v>0</v>
      </c>
      <c r="L40" s="1097">
        <v>54</v>
      </c>
      <c r="M40" s="433">
        <f t="shared" si="7"/>
        <v>0</v>
      </c>
    </row>
    <row r="41" spans="1:13" ht="12.75" customHeight="1">
      <c r="A41" s="780">
        <f t="shared" si="5"/>
        <v>1122</v>
      </c>
      <c r="B41" s="36" t="s">
        <v>664</v>
      </c>
      <c r="C41" s="574" t="s">
        <v>338</v>
      </c>
      <c r="D41" s="945">
        <f>Productie!D50</f>
        <v>0</v>
      </c>
      <c r="E41" s="1106">
        <v>93</v>
      </c>
      <c r="F41" s="433">
        <f t="shared" si="6"/>
        <v>0</v>
      </c>
      <c r="H41" s="780">
        <f t="shared" si="3"/>
        <v>1158</v>
      </c>
      <c r="I41" s="1179" t="s">
        <v>237</v>
      </c>
      <c r="J41" s="36"/>
      <c r="K41" s="945">
        <f>Productie!D99</f>
        <v>0</v>
      </c>
      <c r="L41" s="1277">
        <v>76</v>
      </c>
      <c r="M41" s="784">
        <f t="shared" si="7"/>
        <v>0</v>
      </c>
    </row>
    <row r="42" spans="1:13" ht="12.75" customHeight="1">
      <c r="A42" s="780">
        <f t="shared" si="5"/>
        <v>1123</v>
      </c>
      <c r="B42" s="36" t="s">
        <v>665</v>
      </c>
      <c r="C42" s="574" t="s">
        <v>335</v>
      </c>
      <c r="D42" s="945">
        <f>Productie!D53</f>
        <v>0</v>
      </c>
      <c r="E42" s="1106">
        <v>185</v>
      </c>
      <c r="F42" s="433">
        <f t="shared" si="6"/>
        <v>0</v>
      </c>
      <c r="H42" s="780">
        <f t="shared" si="3"/>
        <v>1159</v>
      </c>
      <c r="I42" s="1179" t="s">
        <v>751</v>
      </c>
      <c r="J42" s="651"/>
      <c r="K42" s="945">
        <f>Productie!D100</f>
        <v>0</v>
      </c>
      <c r="L42" s="1097">
        <v>99</v>
      </c>
      <c r="M42" s="433">
        <f t="shared" si="7"/>
        <v>0</v>
      </c>
    </row>
    <row r="43" spans="1:13" ht="12.75" customHeight="1">
      <c r="A43" s="780">
        <f>A42+1</f>
        <v>1124</v>
      </c>
      <c r="B43" s="781" t="str">
        <f>CONCATENATE("Totaal regel ",A31," t/m ",A42)</f>
        <v>Totaal regel 1112 t/m 1123</v>
      </c>
      <c r="C43" s="788"/>
      <c r="D43" s="785">
        <f>SUM(D31:D42)</f>
        <v>0</v>
      </c>
      <c r="E43" s="815"/>
      <c r="F43" s="785">
        <f>SUM(F31:F42)</f>
        <v>0</v>
      </c>
      <c r="H43" s="780">
        <f t="shared" si="3"/>
        <v>1160</v>
      </c>
      <c r="I43" s="788" t="str">
        <f>CONCATENATE("Totaal regel ",H8," t/m ",H42)</f>
        <v>Totaal regel 1125 t/m 1159</v>
      </c>
      <c r="J43" s="782"/>
      <c r="K43" s="785">
        <f>SUM(K8:K41)</f>
        <v>0</v>
      </c>
      <c r="L43" s="817"/>
      <c r="M43" s="785">
        <f>SUM(M8:M41)</f>
        <v>0</v>
      </c>
    </row>
    <row r="44" ht="12.75" customHeight="1"/>
    <row r="45" spans="1:13" s="515" customFormat="1" ht="15.75" customHeight="1">
      <c r="A45" s="41"/>
      <c r="B45" s="42"/>
      <c r="C45" s="42"/>
      <c r="D45" s="459"/>
      <c r="E45" s="456"/>
      <c r="F45" s="456"/>
      <c r="G45" s="458"/>
      <c r="H45" s="455"/>
      <c r="I45" s="456"/>
      <c r="J45" s="472"/>
      <c r="K45" s="456"/>
      <c r="L45" s="456"/>
      <c r="M45" s="456"/>
    </row>
    <row r="46" spans="1:13" s="451" customFormat="1" ht="15.75" customHeight="1">
      <c r="A46" s="622" t="str">
        <f>Inhoud!$A$2</f>
        <v>Nacalculatieformulier 2004 GGZ-instellingen</v>
      </c>
      <c r="B46" s="637"/>
      <c r="C46" s="637"/>
      <c r="D46" s="589"/>
      <c r="E46" s="590"/>
      <c r="F46" s="591"/>
      <c r="G46" s="590"/>
      <c r="H46" s="590"/>
      <c r="I46" s="546"/>
      <c r="J46" s="591"/>
      <c r="K46" s="546"/>
      <c r="L46" s="581"/>
      <c r="M46" s="1302">
        <f>Opbrengsten!M2+1</f>
        <v>12</v>
      </c>
    </row>
    <row r="47" spans="1:13" s="451" customFormat="1" ht="12.75" customHeight="1">
      <c r="A47" s="635"/>
      <c r="B47" s="91"/>
      <c r="C47" s="91"/>
      <c r="D47" s="1108"/>
      <c r="E47" s="582"/>
      <c r="F47" s="620"/>
      <c r="G47" s="582"/>
      <c r="H47" s="582"/>
      <c r="I47" s="516"/>
      <c r="J47" s="620"/>
      <c r="K47" s="516"/>
      <c r="L47" s="1109"/>
      <c r="M47" s="634"/>
    </row>
    <row r="48" spans="1:9" s="451" customFormat="1" ht="12.75" customHeight="1">
      <c r="A48" s="26" t="s">
        <v>277</v>
      </c>
      <c r="B48" s="27" t="s">
        <v>156</v>
      </c>
      <c r="C48" s="456"/>
      <c r="D48" s="459"/>
      <c r="E48" s="456"/>
      <c r="F48" s="456"/>
      <c r="G48" s="582"/>
      <c r="H48" s="26" t="s">
        <v>855</v>
      </c>
      <c r="I48" s="27" t="s">
        <v>845</v>
      </c>
    </row>
    <row r="49" spans="2:13" s="451" customFormat="1" ht="12.75" customHeight="1">
      <c r="B49" s="646" t="s">
        <v>282</v>
      </c>
      <c r="C49" s="646" t="s">
        <v>64</v>
      </c>
      <c r="D49" s="1187" t="s">
        <v>168</v>
      </c>
      <c r="E49" s="648" t="s">
        <v>532</v>
      </c>
      <c r="F49" s="648" t="s">
        <v>167</v>
      </c>
      <c r="G49" s="582"/>
      <c r="H49" s="780">
        <f>A86+1</f>
        <v>1225</v>
      </c>
      <c r="I49" s="1556" t="s">
        <v>844</v>
      </c>
      <c r="J49" s="1557"/>
      <c r="K49" s="1557"/>
      <c r="L49" s="1558"/>
      <c r="M49" s="944"/>
    </row>
    <row r="50" spans="1:9" s="451" customFormat="1" ht="12.75" customHeight="1">
      <c r="A50" s="780">
        <f>M46*100+1</f>
        <v>1201</v>
      </c>
      <c r="B50" s="651" t="s">
        <v>254</v>
      </c>
      <c r="C50" s="651" t="s">
        <v>125</v>
      </c>
      <c r="D50" s="945">
        <f>Productie!D56</f>
        <v>0</v>
      </c>
      <c r="E50" s="940">
        <v>338</v>
      </c>
      <c r="F50" s="433">
        <f>D50*E50</f>
        <v>0</v>
      </c>
      <c r="G50" s="582"/>
      <c r="I50" s="451" t="s">
        <v>847</v>
      </c>
    </row>
    <row r="51" spans="1:7" s="451" customFormat="1" ht="12.75" customHeight="1">
      <c r="A51" s="780">
        <f>A50+1</f>
        <v>1202</v>
      </c>
      <c r="B51" s="651" t="s">
        <v>255</v>
      </c>
      <c r="C51" s="651" t="s">
        <v>124</v>
      </c>
      <c r="D51" s="945">
        <f>Productie!D57</f>
        <v>0</v>
      </c>
      <c r="E51" s="940">
        <v>338</v>
      </c>
      <c r="F51" s="433">
        <f>D51*E51</f>
        <v>0</v>
      </c>
      <c r="G51" s="582"/>
    </row>
    <row r="52" spans="1:13" s="451" customFormat="1" ht="12.75" customHeight="1">
      <c r="A52" s="780">
        <f>A51+1</f>
        <v>1203</v>
      </c>
      <c r="B52" s="651" t="s">
        <v>256</v>
      </c>
      <c r="C52" s="36" t="s">
        <v>126</v>
      </c>
      <c r="D52" s="945">
        <f>Productie!D58</f>
        <v>0</v>
      </c>
      <c r="E52" s="940">
        <v>952</v>
      </c>
      <c r="F52" s="433">
        <f>D52*E52</f>
        <v>0</v>
      </c>
      <c r="G52" s="582"/>
      <c r="H52" s="26" t="s">
        <v>856</v>
      </c>
      <c r="I52" s="1565" t="s">
        <v>160</v>
      </c>
      <c r="J52" s="1565"/>
      <c r="K52" s="1565"/>
      <c r="L52" s="1565"/>
      <c r="M52" s="1565"/>
    </row>
    <row r="53" spans="1:13" s="451" customFormat="1" ht="12.75" customHeight="1">
      <c r="A53" s="780">
        <f>A52+1</f>
        <v>1204</v>
      </c>
      <c r="B53" s="651" t="s">
        <v>257</v>
      </c>
      <c r="C53" s="651" t="s">
        <v>252</v>
      </c>
      <c r="D53" s="945">
        <f>Productie!D59</f>
        <v>0</v>
      </c>
      <c r="E53" s="940">
        <v>2754</v>
      </c>
      <c r="F53" s="433">
        <f>D53*E53</f>
        <v>0</v>
      </c>
      <c r="G53" s="582"/>
      <c r="H53" s="808">
        <f>H49+1</f>
        <v>1226</v>
      </c>
      <c r="I53" s="1258" t="str">
        <f>CONCATENATE("Totaal ",A16,", ",A22,", ",A25,", ",A43,", ",H43,", ",A55,", ",A59)</f>
        <v>Totaal 1109, 1110, 1111, 1124, 1160, 1206, 1207</v>
      </c>
      <c r="J53" s="1259"/>
      <c r="K53" s="1260"/>
      <c r="L53" s="1261"/>
      <c r="M53" s="1566">
        <f>F16+F22+F25+F43+M43+F55+F59+F62+F86+G86+M49</f>
        <v>0</v>
      </c>
    </row>
    <row r="54" spans="1:13" s="451" customFormat="1" ht="12.75" customHeight="1">
      <c r="A54" s="780">
        <f>A53+1</f>
        <v>1205</v>
      </c>
      <c r="B54" s="36" t="s">
        <v>258</v>
      </c>
      <c r="C54" s="36" t="s">
        <v>253</v>
      </c>
      <c r="D54" s="945">
        <f>Productie!D60</f>
        <v>0</v>
      </c>
      <c r="E54" s="943">
        <v>1331</v>
      </c>
      <c r="F54" s="784">
        <f>D54*E54</f>
        <v>0</v>
      </c>
      <c r="G54" s="582"/>
      <c r="H54" s="1269"/>
      <c r="I54" s="1278" t="str">
        <f>CONCATENATE("            ",A62,", ",A86," en ",H49)</f>
        <v>            1208, 1224 en 1225</v>
      </c>
      <c r="J54" s="1262"/>
      <c r="K54" s="1262"/>
      <c r="L54" s="1263"/>
      <c r="M54" s="1567"/>
    </row>
    <row r="55" spans="1:7" s="451" customFormat="1" ht="12.75" customHeight="1">
      <c r="A55" s="780">
        <f>A54+1</f>
        <v>1206</v>
      </c>
      <c r="B55" s="781" t="str">
        <f>CONCATENATE("Totaal regel ",A50," t/m ",A54)</f>
        <v>Totaal regel 1201 t/m 1205</v>
      </c>
      <c r="C55" s="782"/>
      <c r="D55" s="785">
        <f>SUM(D50:D54)</f>
        <v>0</v>
      </c>
      <c r="E55" s="786"/>
      <c r="F55" s="785">
        <f>SUM(F50:F54)</f>
        <v>0</v>
      </c>
      <c r="G55" s="582"/>
    </row>
    <row r="56" spans="1:13" s="451" customFormat="1" ht="12.75" customHeight="1">
      <c r="A56" s="26"/>
      <c r="B56" s="26"/>
      <c r="C56" s="26"/>
      <c r="D56" s="26"/>
      <c r="E56" s="26"/>
      <c r="F56" s="26"/>
      <c r="G56" s="582"/>
      <c r="H56" s="26" t="s">
        <v>846</v>
      </c>
      <c r="I56" s="1185" t="s">
        <v>901</v>
      </c>
      <c r="J56" s="1186"/>
      <c r="K56" s="1186"/>
      <c r="L56" s="1186"/>
      <c r="M56" s="1186"/>
    </row>
    <row r="57" spans="1:13" s="451" customFormat="1" ht="12.75" customHeight="1">
      <c r="A57" s="26" t="s">
        <v>181</v>
      </c>
      <c r="B57" s="27" t="s">
        <v>637</v>
      </c>
      <c r="C57" s="578"/>
      <c r="D57" s="578"/>
      <c r="E57" s="578"/>
      <c r="F57" s="578"/>
      <c r="G57" s="582"/>
      <c r="H57" s="608"/>
      <c r="I57" s="1182"/>
      <c r="J57" s="1183"/>
      <c r="K57" s="1183"/>
      <c r="L57" s="1183"/>
      <c r="M57" s="1184" t="s">
        <v>396</v>
      </c>
    </row>
    <row r="58" spans="2:13" s="451" customFormat="1" ht="12.75" customHeight="1">
      <c r="B58" s="646" t="s">
        <v>282</v>
      </c>
      <c r="C58" s="646" t="s">
        <v>64</v>
      </c>
      <c r="D58" s="1187" t="s">
        <v>168</v>
      </c>
      <c r="E58" s="648" t="s">
        <v>532</v>
      </c>
      <c r="F58" s="648" t="s">
        <v>167</v>
      </c>
      <c r="G58" s="582"/>
      <c r="H58" s="780">
        <f>H53+1</f>
        <v>1227</v>
      </c>
      <c r="I58" s="408" t="s">
        <v>165</v>
      </c>
      <c r="J58" s="408"/>
      <c r="K58" s="797"/>
      <c r="L58" s="1181"/>
      <c r="M58" s="1010"/>
    </row>
    <row r="59" spans="1:13" s="451" customFormat="1" ht="12.75" customHeight="1">
      <c r="A59" s="780">
        <f>A55+1</f>
        <v>1207</v>
      </c>
      <c r="B59" s="651" t="s">
        <v>764</v>
      </c>
      <c r="C59" s="651" t="s">
        <v>633</v>
      </c>
      <c r="D59" s="945">
        <f>Productie!K150</f>
        <v>0</v>
      </c>
      <c r="E59" s="1097">
        <v>13.9</v>
      </c>
      <c r="F59" s="433">
        <f>D59*E59</f>
        <v>0</v>
      </c>
      <c r="G59" s="582"/>
      <c r="H59" s="780">
        <f>H58+1</f>
        <v>1228</v>
      </c>
      <c r="I59" s="658" t="str">
        <f>CONCATENATE("Totaal  aanvullende inkomsten (",Opbrengsten!A84,")")</f>
        <v>Totaal  aanvullende inkomsten (1222)</v>
      </c>
      <c r="J59" s="658"/>
      <c r="K59" s="575"/>
      <c r="L59" s="77"/>
      <c r="M59" s="433">
        <f>F84+G84</f>
        <v>0</v>
      </c>
    </row>
    <row r="60" spans="7:13" s="451" customFormat="1" ht="12.75" customHeight="1">
      <c r="G60" s="582"/>
      <c r="H60" s="780">
        <f>H59+1</f>
        <v>1229</v>
      </c>
      <c r="I60" s="658" t="s">
        <v>287</v>
      </c>
      <c r="J60" s="658"/>
      <c r="K60" s="134"/>
      <c r="L60" s="410"/>
      <c r="M60" s="434"/>
    </row>
    <row r="61" spans="1:13" s="451" customFormat="1" ht="12.75" customHeight="1">
      <c r="A61" s="26" t="s">
        <v>278</v>
      </c>
      <c r="B61" s="1281" t="s">
        <v>689</v>
      </c>
      <c r="G61" s="582"/>
      <c r="H61" s="780">
        <f>H60+1</f>
        <v>1230</v>
      </c>
      <c r="I61" s="658" t="str">
        <f>CONCATENATE("Verkeerd bed (regel ",Opbrengsten!A14,")")</f>
        <v>Verkeerd bed (regel 1107)</v>
      </c>
      <c r="J61" s="658"/>
      <c r="K61" s="575"/>
      <c r="L61" s="659"/>
      <c r="M61" s="433">
        <f>Opbrengsten!F14</f>
        <v>0</v>
      </c>
    </row>
    <row r="62" spans="1:13" s="451" customFormat="1" ht="12.75" customHeight="1">
      <c r="A62" s="780">
        <f>A59+1</f>
        <v>1208</v>
      </c>
      <c r="B62" s="781" t="str">
        <f>CONCATENATE("Sectoroverstijgende productie/opbrengsten, van regel ",Productie!H110,)</f>
        <v>Sectoroverstijgende productie/opbrengsten, van regel 944</v>
      </c>
      <c r="C62" s="788"/>
      <c r="D62" s="1257"/>
      <c r="E62" s="815"/>
      <c r="F62" s="785">
        <f>Productie!M110</f>
        <v>0</v>
      </c>
      <c r="G62" s="582"/>
      <c r="H62" s="808">
        <f>H61+1</f>
        <v>1231</v>
      </c>
      <c r="I62" s="1568" t="s">
        <v>239</v>
      </c>
      <c r="J62" s="1569"/>
      <c r="K62" s="1569"/>
      <c r="L62" s="1570"/>
      <c r="M62" s="1574"/>
    </row>
    <row r="63" spans="1:13" s="451" customFormat="1" ht="12.75" customHeight="1">
      <c r="A63" s="26"/>
      <c r="B63" s="26"/>
      <c r="C63" s="26"/>
      <c r="D63" s="26"/>
      <c r="E63" s="26"/>
      <c r="F63" s="26"/>
      <c r="G63" s="582"/>
      <c r="H63" s="809"/>
      <c r="I63" s="1571"/>
      <c r="J63" s="1572"/>
      <c r="K63" s="1572"/>
      <c r="L63" s="1573"/>
      <c r="M63" s="1575"/>
    </row>
    <row r="64" spans="7:13" s="451" customFormat="1" ht="12.75" customHeight="1">
      <c r="G64" s="582"/>
      <c r="H64" s="780">
        <f>H62+1</f>
        <v>1232</v>
      </c>
      <c r="I64" s="237" t="s">
        <v>529</v>
      </c>
      <c r="J64" s="237"/>
      <c r="K64" s="191"/>
      <c r="L64" s="803"/>
      <c r="M64" s="783"/>
    </row>
    <row r="65" spans="7:13" s="451" customFormat="1" ht="12.75" customHeight="1">
      <c r="G65" s="582"/>
      <c r="H65" s="780">
        <f>H64+1</f>
        <v>1233</v>
      </c>
      <c r="I65" s="781" t="str">
        <f>CONCATENATE("Totaal ",H58," t/m ",H64,)</f>
        <v>Totaal 1227 t/m 1232</v>
      </c>
      <c r="J65" s="788"/>
      <c r="K65" s="804"/>
      <c r="L65" s="805"/>
      <c r="M65" s="806">
        <f>SUM(M58:M64)</f>
        <v>0</v>
      </c>
    </row>
    <row r="66" spans="7:13" s="451" customFormat="1" ht="12.75" customHeight="1">
      <c r="G66" s="582"/>
      <c r="H66" s="780">
        <f>H65+1</f>
        <v>1234</v>
      </c>
      <c r="I66" s="237" t="s">
        <v>652</v>
      </c>
      <c r="J66" s="237"/>
      <c r="K66" s="191"/>
      <c r="L66" s="803"/>
      <c r="M66" s="783"/>
    </row>
    <row r="67" spans="7:13" s="451" customFormat="1" ht="12.75" customHeight="1">
      <c r="G67" s="582"/>
      <c r="H67" s="780">
        <f>H66+1</f>
        <v>1235</v>
      </c>
      <c r="I67" s="658" t="str">
        <f>CONCATENATE("Verschil tussen regel ",H66," en regel ",H65)</f>
        <v>Verschil tussen regel 1234 en regel 1233</v>
      </c>
      <c r="J67" s="658"/>
      <c r="K67" s="575"/>
      <c r="L67" s="77"/>
      <c r="M67" s="433">
        <f>M66-M65</f>
        <v>0</v>
      </c>
    </row>
    <row r="68" spans="1:13" s="451" customFormat="1" ht="12.75" customHeight="1">
      <c r="A68" s="635"/>
      <c r="B68" s="91"/>
      <c r="C68" s="91"/>
      <c r="D68" s="1108"/>
      <c r="E68" s="582"/>
      <c r="F68" s="620"/>
      <c r="G68" s="582"/>
      <c r="H68" s="325"/>
      <c r="I68" s="325"/>
      <c r="J68" s="325"/>
      <c r="K68" s="712"/>
      <c r="L68" s="113"/>
      <c r="M68" s="1105"/>
    </row>
    <row r="69" spans="1:13" ht="12.75">
      <c r="A69" s="26" t="s">
        <v>686</v>
      </c>
      <c r="B69" s="1552" t="s">
        <v>413</v>
      </c>
      <c r="C69" s="1553"/>
      <c r="D69" s="1553"/>
      <c r="E69" s="1554"/>
      <c r="F69" s="730" t="s">
        <v>414</v>
      </c>
      <c r="G69" s="1555" t="s">
        <v>416</v>
      </c>
      <c r="H69" s="1555"/>
      <c r="I69" s="1555"/>
      <c r="J69" s="1549" t="str">
        <f>CONCATENATE("Ruimte voor toelichting op regel ",H67)</f>
        <v>Ruimte voor toelichting op regel 1235</v>
      </c>
      <c r="K69" s="1550"/>
      <c r="L69" s="1550"/>
      <c r="M69" s="1550"/>
    </row>
    <row r="70" spans="1:13" ht="12">
      <c r="A70" s="632"/>
      <c r="B70" s="654"/>
      <c r="C70" s="655"/>
      <c r="D70" s="655"/>
      <c r="E70" s="656"/>
      <c r="F70" s="657" t="s">
        <v>415</v>
      </c>
      <c r="G70" s="1559" t="s">
        <v>415</v>
      </c>
      <c r="H70" s="1560"/>
      <c r="I70" s="1561"/>
      <c r="J70" s="1046"/>
      <c r="K70" s="1100"/>
      <c r="L70" s="1100"/>
      <c r="M70" s="1101"/>
    </row>
    <row r="71" spans="1:13" ht="12.75">
      <c r="A71" s="780">
        <f>A62+1</f>
        <v>1209</v>
      </c>
      <c r="B71" s="667" t="s">
        <v>11</v>
      </c>
      <c r="C71" s="658"/>
      <c r="D71" s="658"/>
      <c r="E71" s="651"/>
      <c r="F71" s="609"/>
      <c r="G71" s="1562"/>
      <c r="H71" s="1563"/>
      <c r="I71" s="1564"/>
      <c r="J71" s="1098"/>
      <c r="K71" s="1098"/>
      <c r="L71" s="1098"/>
      <c r="M71" s="1098"/>
    </row>
    <row r="72" spans="1:13" ht="12">
      <c r="A72" s="780">
        <f>A71+1</f>
        <v>1210</v>
      </c>
      <c r="B72" s="667" t="s">
        <v>458</v>
      </c>
      <c r="C72" s="658"/>
      <c r="D72" s="658"/>
      <c r="E72" s="651"/>
      <c r="F72" s="609"/>
      <c r="G72" s="1470"/>
      <c r="H72" s="1551"/>
      <c r="I72" s="1546"/>
      <c r="J72" s="1098"/>
      <c r="K72" s="1098"/>
      <c r="L72" s="1098"/>
      <c r="M72" s="1098"/>
    </row>
    <row r="73" spans="1:13" ht="12">
      <c r="A73" s="780">
        <f aca="true" t="shared" si="8" ref="A73:A82">A72+1</f>
        <v>1211</v>
      </c>
      <c r="B73" s="667" t="s">
        <v>459</v>
      </c>
      <c r="C73" s="658"/>
      <c r="D73" s="658"/>
      <c r="E73" s="651"/>
      <c r="F73" s="609"/>
      <c r="G73" s="1470"/>
      <c r="H73" s="1551"/>
      <c r="I73" s="1546"/>
      <c r="J73" s="1098"/>
      <c r="K73" s="1098"/>
      <c r="L73" s="1098"/>
      <c r="M73" s="1098"/>
    </row>
    <row r="74" spans="1:13" ht="12.75" customHeight="1">
      <c r="A74" s="780">
        <f t="shared" si="8"/>
        <v>1212</v>
      </c>
      <c r="B74" s="454"/>
      <c r="C74" s="454"/>
      <c r="D74" s="454"/>
      <c r="E74" s="462"/>
      <c r="F74" s="609"/>
      <c r="G74" s="1470"/>
      <c r="H74" s="1551"/>
      <c r="I74" s="1546"/>
      <c r="J74" s="1098"/>
      <c r="K74" s="1098"/>
      <c r="L74" s="1098"/>
      <c r="M74" s="1098"/>
    </row>
    <row r="75" spans="1:13" ht="12.75" customHeight="1">
      <c r="A75" s="780">
        <f t="shared" si="8"/>
        <v>1213</v>
      </c>
      <c r="B75" s="454"/>
      <c r="C75" s="454"/>
      <c r="D75" s="454"/>
      <c r="E75" s="462"/>
      <c r="F75" s="609"/>
      <c r="G75" s="1470"/>
      <c r="H75" s="1551"/>
      <c r="I75" s="1546"/>
      <c r="J75" s="1098"/>
      <c r="K75" s="1098"/>
      <c r="L75" s="1098"/>
      <c r="M75" s="1098"/>
    </row>
    <row r="76" spans="1:13" ht="12.75" customHeight="1">
      <c r="A76" s="780">
        <f t="shared" si="8"/>
        <v>1214</v>
      </c>
      <c r="B76" s="454"/>
      <c r="C76" s="454"/>
      <c r="D76" s="454"/>
      <c r="E76" s="462"/>
      <c r="F76" s="609"/>
      <c r="G76" s="1470"/>
      <c r="H76" s="1551"/>
      <c r="I76" s="1546"/>
      <c r="J76" s="1098"/>
      <c r="K76" s="1098"/>
      <c r="L76" s="1098"/>
      <c r="M76" s="1098"/>
    </row>
    <row r="77" spans="1:13" ht="12.75" customHeight="1">
      <c r="A77" s="780">
        <f t="shared" si="8"/>
        <v>1215</v>
      </c>
      <c r="B77" s="454"/>
      <c r="C77" s="454"/>
      <c r="D77" s="454"/>
      <c r="E77" s="462"/>
      <c r="F77" s="609"/>
      <c r="G77" s="1470"/>
      <c r="H77" s="1551"/>
      <c r="I77" s="1546"/>
      <c r="J77" s="1098"/>
      <c r="K77" s="1098"/>
      <c r="L77" s="1098"/>
      <c r="M77" s="1098"/>
    </row>
    <row r="78" spans="1:13" ht="12.75" customHeight="1">
      <c r="A78" s="780">
        <f t="shared" si="8"/>
        <v>1216</v>
      </c>
      <c r="B78" s="454"/>
      <c r="C78" s="454"/>
      <c r="D78" s="454"/>
      <c r="E78" s="462"/>
      <c r="F78" s="609"/>
      <c r="G78" s="1470"/>
      <c r="H78" s="1551"/>
      <c r="I78" s="1546"/>
      <c r="J78" s="1098"/>
      <c r="K78" s="1098"/>
      <c r="L78" s="1098"/>
      <c r="M78" s="1098"/>
    </row>
    <row r="79" spans="1:13" ht="12.75" customHeight="1">
      <c r="A79" s="780">
        <f t="shared" si="8"/>
        <v>1217</v>
      </c>
      <c r="B79" s="454"/>
      <c r="C79" s="454"/>
      <c r="D79" s="454"/>
      <c r="E79" s="462"/>
      <c r="F79" s="609"/>
      <c r="G79" s="1470"/>
      <c r="H79" s="1551"/>
      <c r="I79" s="1546"/>
      <c r="J79" s="1098"/>
      <c r="K79" s="1098"/>
      <c r="L79" s="1098"/>
      <c r="M79" s="1098"/>
    </row>
    <row r="80" spans="1:13" ht="12.75" customHeight="1">
      <c r="A80" s="780">
        <f t="shared" si="8"/>
        <v>1218</v>
      </c>
      <c r="B80" s="454"/>
      <c r="C80" s="454"/>
      <c r="D80" s="454"/>
      <c r="E80" s="462"/>
      <c r="F80" s="609"/>
      <c r="G80" s="1470"/>
      <c r="H80" s="1551"/>
      <c r="I80" s="1546"/>
      <c r="J80" s="1098"/>
      <c r="K80" s="1098"/>
      <c r="L80" s="1098"/>
      <c r="M80" s="1098"/>
    </row>
    <row r="81" spans="1:13" ht="12.75" customHeight="1">
      <c r="A81" s="780">
        <f t="shared" si="8"/>
        <v>1219</v>
      </c>
      <c r="B81" s="454"/>
      <c r="C81" s="454"/>
      <c r="D81" s="454"/>
      <c r="E81" s="462"/>
      <c r="F81" s="609"/>
      <c r="G81" s="1470"/>
      <c r="H81" s="1551"/>
      <c r="I81" s="1546"/>
      <c r="J81" s="1098"/>
      <c r="K81" s="1098"/>
      <c r="L81" s="1098"/>
      <c r="M81" s="1098"/>
    </row>
    <row r="82" spans="1:13" ht="12.75" customHeight="1">
      <c r="A82" s="780">
        <f t="shared" si="8"/>
        <v>1220</v>
      </c>
      <c r="B82" s="454"/>
      <c r="C82" s="454"/>
      <c r="D82" s="454"/>
      <c r="E82" s="462"/>
      <c r="F82" s="609"/>
      <c r="G82" s="1470"/>
      <c r="H82" s="1551"/>
      <c r="I82" s="1546"/>
      <c r="J82" s="813"/>
      <c r="K82" s="813"/>
      <c r="L82" s="813"/>
      <c r="M82" s="813"/>
    </row>
    <row r="83" spans="1:13" ht="12.75" customHeight="1">
      <c r="A83" s="780">
        <f>A82+1</f>
        <v>1221</v>
      </c>
      <c r="B83" s="812"/>
      <c r="C83" s="812"/>
      <c r="D83" s="812"/>
      <c r="E83" s="813"/>
      <c r="F83" s="610"/>
      <c r="G83" s="1577"/>
      <c r="H83" s="1578"/>
      <c r="I83" s="1579"/>
      <c r="J83" s="1099"/>
      <c r="K83" s="579"/>
      <c r="L83" s="579"/>
      <c r="M83" s="579"/>
    </row>
    <row r="84" spans="1:13" ht="12">
      <c r="A84" s="780">
        <f>A83+1</f>
        <v>1222</v>
      </c>
      <c r="B84" s="781" t="str">
        <f>CONCATENATE("Totaal regel ",A71," t/m ",A83,)</f>
        <v>Totaal regel 1209 t/m 1221</v>
      </c>
      <c r="C84" s="814"/>
      <c r="D84" s="814"/>
      <c r="E84" s="810"/>
      <c r="F84" s="785">
        <f>SUM(F71:F83)</f>
        <v>0</v>
      </c>
      <c r="G84" s="1576">
        <f>SUM(G71:G83)</f>
        <v>0</v>
      </c>
      <c r="H84" s="1576"/>
      <c r="I84" s="1576"/>
      <c r="J84" s="1099"/>
      <c r="K84" s="579"/>
      <c r="L84" s="579"/>
      <c r="M84" s="579"/>
    </row>
    <row r="85" spans="1:16" s="496" customFormat="1" ht="12">
      <c r="A85" s="780">
        <f>A84+1</f>
        <v>1223</v>
      </c>
      <c r="B85" s="568" t="str">
        <f>CONCATENATE("Hiervan reeds verwerkt onder de regels ",A8," t/m ",A62)</f>
        <v>Hiervan reeds verwerkt onder de regels 1101 t/m 1208</v>
      </c>
      <c r="C85" s="568"/>
      <c r="D85" s="568"/>
      <c r="E85" s="568"/>
      <c r="F85" s="811"/>
      <c r="G85" s="1580"/>
      <c r="H85" s="1581"/>
      <c r="I85" s="1582"/>
      <c r="J85" s="1099"/>
      <c r="K85" s="579"/>
      <c r="L85" s="579"/>
      <c r="M85" s="579"/>
      <c r="P85" s="477"/>
    </row>
    <row r="86" spans="1:13" ht="12">
      <c r="A86" s="780">
        <f>A85+1</f>
        <v>1224</v>
      </c>
      <c r="B86" s="781" t="s">
        <v>454</v>
      </c>
      <c r="C86" s="788"/>
      <c r="D86" s="788"/>
      <c r="E86" s="810"/>
      <c r="F86" s="785">
        <f>F84-F85</f>
        <v>0</v>
      </c>
      <c r="G86" s="1576">
        <f>G84-G85</f>
        <v>0</v>
      </c>
      <c r="H86" s="1576"/>
      <c r="I86" s="1576"/>
      <c r="J86" s="1099"/>
      <c r="K86" s="579"/>
      <c r="L86" s="579"/>
      <c r="M86" s="579"/>
    </row>
    <row r="87" spans="10:13" ht="12">
      <c r="J87" s="1099"/>
      <c r="K87" s="579"/>
      <c r="L87" s="579"/>
      <c r="M87" s="579"/>
    </row>
    <row r="88" spans="10:13" ht="12">
      <c r="J88" s="1099"/>
      <c r="K88" s="579"/>
      <c r="L88" s="579"/>
      <c r="M88" s="579"/>
    </row>
    <row r="89" spans="10:13" ht="12.75" customHeight="1">
      <c r="J89" s="1099"/>
      <c r="K89" s="579"/>
      <c r="L89" s="579"/>
      <c r="M89" s="579"/>
    </row>
    <row r="90" spans="10:13" ht="4.5" customHeight="1">
      <c r="J90" s="1099"/>
      <c r="K90" s="579"/>
      <c r="L90" s="579"/>
      <c r="M90" s="579"/>
    </row>
    <row r="91" spans="10:13" ht="12">
      <c r="J91" s="1099"/>
      <c r="K91" s="579"/>
      <c r="L91" s="579"/>
      <c r="M91" s="579"/>
    </row>
    <row r="92" spans="10:13" ht="12">
      <c r="J92" s="1099"/>
      <c r="K92" s="579"/>
      <c r="L92" s="579"/>
      <c r="M92" s="579"/>
    </row>
    <row r="93" spans="10:13" ht="12">
      <c r="J93" s="1099"/>
      <c r="K93" s="579"/>
      <c r="L93" s="579"/>
      <c r="M93" s="579"/>
    </row>
    <row r="94" spans="10:13" ht="12">
      <c r="J94" s="1099"/>
      <c r="K94" s="579"/>
      <c r="L94" s="579"/>
      <c r="M94" s="579"/>
    </row>
    <row r="95" spans="10:13" ht="12">
      <c r="J95" s="1099"/>
      <c r="K95" s="579"/>
      <c r="L95" s="579"/>
      <c r="M95" s="579"/>
    </row>
    <row r="96" spans="10:13" ht="4.5" customHeight="1">
      <c r="J96" s="1099"/>
      <c r="K96" s="579"/>
      <c r="L96" s="579"/>
      <c r="M96" s="579"/>
    </row>
    <row r="97" spans="10:13" ht="12">
      <c r="J97" s="1099"/>
      <c r="K97" s="579"/>
      <c r="L97" s="579"/>
      <c r="M97" s="579"/>
    </row>
    <row r="98" spans="10:13" ht="12">
      <c r="J98" s="1099"/>
      <c r="K98" s="579"/>
      <c r="L98" s="579"/>
      <c r="M98" s="579"/>
    </row>
    <row r="99" spans="10:13" ht="12">
      <c r="J99" s="1099"/>
      <c r="K99" s="579"/>
      <c r="L99" s="579"/>
      <c r="M99" s="579"/>
    </row>
    <row r="100" spans="10:13" ht="12">
      <c r="J100" s="1099"/>
      <c r="K100" s="579"/>
      <c r="L100" s="579"/>
      <c r="M100" s="579"/>
    </row>
    <row r="101" spans="10:13" ht="12">
      <c r="J101" s="1099"/>
      <c r="K101" s="579"/>
      <c r="L101" s="579"/>
      <c r="M101" s="579"/>
    </row>
    <row r="102" spans="10:13" ht="12">
      <c r="J102" s="1099"/>
      <c r="K102" s="579"/>
      <c r="L102" s="579"/>
      <c r="M102" s="579"/>
    </row>
    <row r="103" spans="10:13" ht="12">
      <c r="J103" s="1099"/>
      <c r="K103" s="579"/>
      <c r="L103" s="579"/>
      <c r="M103" s="579"/>
    </row>
    <row r="104" spans="10:13" ht="12">
      <c r="J104" s="1099"/>
      <c r="K104" s="579"/>
      <c r="L104" s="579"/>
      <c r="M104" s="579"/>
    </row>
    <row r="105" spans="10:13" ht="12">
      <c r="J105" s="1099"/>
      <c r="K105" s="579"/>
      <c r="L105" s="579"/>
      <c r="M105" s="579"/>
    </row>
    <row r="106" spans="10:13" ht="12">
      <c r="J106" s="1099"/>
      <c r="K106" s="579"/>
      <c r="L106" s="579"/>
      <c r="M106" s="579"/>
    </row>
    <row r="109" spans="1:7" ht="12">
      <c r="A109" s="585"/>
      <c r="B109" s="585"/>
      <c r="C109" s="585"/>
      <c r="D109" s="585"/>
      <c r="E109" s="585"/>
      <c r="F109" s="585"/>
      <c r="G109" s="585"/>
    </row>
    <row r="110" spans="1:6" ht="12">
      <c r="A110" s="585"/>
      <c r="B110" s="585"/>
      <c r="C110" s="585"/>
      <c r="D110" s="585"/>
      <c r="E110" s="585"/>
      <c r="F110" s="585"/>
    </row>
    <row r="111" spans="1:6" ht="12">
      <c r="A111" s="585"/>
      <c r="B111" s="585"/>
      <c r="C111" s="585"/>
      <c r="D111" s="585"/>
      <c r="E111" s="585"/>
      <c r="F111" s="585"/>
    </row>
  </sheetData>
  <sheetProtection password="C281" sheet="1" objects="1" scenarios="1"/>
  <mergeCells count="25">
    <mergeCell ref="M53:M54"/>
    <mergeCell ref="I62:L63"/>
    <mergeCell ref="M62:M63"/>
    <mergeCell ref="G86:I86"/>
    <mergeCell ref="G82:I82"/>
    <mergeCell ref="G83:I83"/>
    <mergeCell ref="G84:I84"/>
    <mergeCell ref="G85:I85"/>
    <mergeCell ref="G76:I76"/>
    <mergeCell ref="G77:I77"/>
    <mergeCell ref="G78:I78"/>
    <mergeCell ref="G79:I79"/>
    <mergeCell ref="G81:I81"/>
    <mergeCell ref="I49:L49"/>
    <mergeCell ref="G80:I80"/>
    <mergeCell ref="G70:I70"/>
    <mergeCell ref="G71:I71"/>
    <mergeCell ref="G72:I72"/>
    <mergeCell ref="G73:I73"/>
    <mergeCell ref="I52:M52"/>
    <mergeCell ref="J69:M69"/>
    <mergeCell ref="G74:I74"/>
    <mergeCell ref="G75:I75"/>
    <mergeCell ref="B69:E69"/>
    <mergeCell ref="G69:I69"/>
  </mergeCells>
  <conditionalFormatting sqref="D22:E22 M66 M58 M60 M49 F85:I85 B74:I83 F71:F73 G72:I73 F25 D8:D15 E8:E13 E15 M62:M64">
    <cfRule type="expression" priority="1" dxfId="2" stopIfTrue="1">
      <formula>$H$2=TRUE</formula>
    </cfRule>
  </conditionalFormatting>
  <dataValidations count="2">
    <dataValidation type="whole" operator="lessThan" allowBlank="1" showInputMessage="1" showErrorMessage="1" promptTitle="Aftrek vrijg. Paaz psychiaters" prompt="De vaste tarieven zijn inclusief de loonkosten van de psychiater. Indien er bij Paaz-en sprake is van vrijgevestigde psychiaters in dit veld het totale aftrekbedrag invullen t o.v. de lagere tarieven die gelden voor PAAZ-en met vrijgevestigde psychiaters." errorTitle="Alleen negatieve getallen!" error="U kunt hier alleen een negatief (afgerond) bedrag invoeren!" sqref="M49">
      <formula1>1</formula1>
    </dataValidation>
    <dataValidation type="whole" operator="greaterThan" allowBlank="1" showInputMessage="1" showErrorMessage="1" errorTitle="Alleen positieve aantallen!" error="U kunt hier alleen een positief aantal invoeren!" sqref="E31:E42">
      <formula1>-1</formula1>
    </dataValidation>
  </dataValidations>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1" manualBreakCount="1">
    <brk id="44" max="12" man="1"/>
  </rowBreaks>
  <drawing r:id="rId1"/>
</worksheet>
</file>

<file path=xl/worksheets/sheet7.xml><?xml version="1.0" encoding="utf-8"?>
<worksheet xmlns="http://schemas.openxmlformats.org/spreadsheetml/2006/main" xmlns:r="http://schemas.openxmlformats.org/officeDocument/2006/relationships">
  <sheetPr codeName="Blad7"/>
  <dimension ref="A1:Q38"/>
  <sheetViews>
    <sheetView showGridLines="0" zoomScale="86" zoomScaleNormal="86" workbookViewId="0" topLeftCell="A1">
      <selection activeCell="D10" sqref="D10"/>
    </sheetView>
  </sheetViews>
  <sheetFormatPr defaultColWidth="9.140625" defaultRowHeight="12.75"/>
  <cols>
    <col min="1" max="1" width="5.7109375" style="467" customWidth="1"/>
    <col min="2" max="2" width="27.57421875" style="453" customWidth="1"/>
    <col min="3" max="3" width="5.421875" style="597" customWidth="1"/>
    <col min="4" max="8" width="12.7109375" style="453" customWidth="1"/>
    <col min="9" max="9" width="12.7109375" style="456" customWidth="1"/>
    <col min="10" max="12" width="12.7109375" style="453" customWidth="1"/>
    <col min="13" max="16384" width="9.140625" style="453" customWidth="1"/>
  </cols>
  <sheetData>
    <row r="1" spans="1:12" ht="15.75" customHeight="1">
      <c r="A1" s="455"/>
      <c r="B1" s="456"/>
      <c r="C1" s="459"/>
      <c r="D1" s="456"/>
      <c r="E1" s="456"/>
      <c r="F1" s="458"/>
      <c r="G1" s="455"/>
      <c r="H1" s="456"/>
      <c r="J1" s="456"/>
      <c r="L1" s="451"/>
    </row>
    <row r="2" spans="1:12" s="515" customFormat="1" ht="15.75" customHeight="1">
      <c r="A2" s="622" t="str">
        <f>Inhoud!$A$2</f>
        <v>Nacalculatieformulier 2004 GGZ-instellingen</v>
      </c>
      <c r="B2" s="637"/>
      <c r="C2" s="638"/>
      <c r="D2" s="639"/>
      <c r="E2" s="639"/>
      <c r="F2" s="546"/>
      <c r="G2" s="640" t="b">
        <f>Voorblad!E28</f>
        <v>1</v>
      </c>
      <c r="H2" s="637"/>
      <c r="I2" s="640"/>
      <c r="J2" s="640"/>
      <c r="K2" s="1302">
        <f>Opbrengsten!M46+1</f>
        <v>13</v>
      </c>
      <c r="L2" s="516"/>
    </row>
    <row r="3" spans="1:12" ht="12.75" customHeight="1">
      <c r="A3" s="41"/>
      <c r="B3" s="42"/>
      <c r="C3" s="43"/>
      <c r="D3" s="42"/>
      <c r="E3" s="42"/>
      <c r="F3" s="45"/>
      <c r="G3" s="41"/>
      <c r="H3" s="42"/>
      <c r="I3" s="42"/>
      <c r="J3" s="42"/>
      <c r="K3" s="608"/>
      <c r="L3" s="451"/>
    </row>
    <row r="4" spans="1:11" ht="12.75" customHeight="1">
      <c r="A4" s="14" t="s">
        <v>448</v>
      </c>
      <c r="B4" s="95"/>
      <c r="C4" s="642"/>
      <c r="D4" s="95"/>
      <c r="E4" s="95"/>
      <c r="F4" s="33"/>
      <c r="G4" s="14"/>
      <c r="H4" s="95"/>
      <c r="I4" s="644"/>
      <c r="J4" s="95"/>
      <c r="K4" s="608"/>
    </row>
    <row r="5" spans="1:11" s="594" customFormat="1" ht="12.75" customHeight="1">
      <c r="A5" s="672"/>
      <c r="B5" s="286"/>
      <c r="C5" s="110"/>
      <c r="D5" s="111"/>
      <c r="E5" s="112"/>
      <c r="F5" s="113"/>
      <c r="G5" s="112"/>
      <c r="H5" s="113"/>
      <c r="I5" s="113"/>
      <c r="J5" s="113"/>
      <c r="K5" s="569"/>
    </row>
    <row r="6" spans="1:2" s="595" customFormat="1" ht="12.75" customHeight="1">
      <c r="A6" s="1128"/>
      <c r="B6" s="708"/>
    </row>
    <row r="7" spans="1:2" s="595" customFormat="1" ht="12.75" customHeight="1">
      <c r="A7" s="677" t="s">
        <v>289</v>
      </c>
      <c r="B7" s="44" t="s">
        <v>164</v>
      </c>
    </row>
    <row r="8" spans="1:11" ht="12.75" customHeight="1">
      <c r="A8" s="578"/>
      <c r="B8" s="1165"/>
      <c r="C8" s="1203" t="s">
        <v>66</v>
      </c>
      <c r="D8" s="653" t="s">
        <v>117</v>
      </c>
      <c r="E8" s="1583" t="s">
        <v>215</v>
      </c>
      <c r="F8" s="1584"/>
      <c r="G8" s="1585" t="s">
        <v>216</v>
      </c>
      <c r="H8" s="1586"/>
      <c r="I8" s="1583" t="str">
        <f>CONCATENATE("Jaarrekening ",Voorblad!E3)</f>
        <v>Jaarrekening 2004</v>
      </c>
      <c r="J8" s="1587"/>
      <c r="K8" s="1588"/>
    </row>
    <row r="9" spans="2:11" s="460" customFormat="1" ht="12.75" customHeight="1">
      <c r="B9" s="1027"/>
      <c r="C9" s="1204"/>
      <c r="D9" s="673" t="str">
        <f>CONCATENATE("nacalc. ",Voorblad!E3-1)</f>
        <v>nacalc. 2003</v>
      </c>
      <c r="E9" s="673" t="str">
        <f>CONCATENATE("Doorw. ",Voorblad!E3-1," ")</f>
        <v>Doorw. 2003 </v>
      </c>
      <c r="F9" s="673">
        <f>Voorblad!E3</f>
        <v>2004</v>
      </c>
      <c r="G9" s="673" t="str">
        <f>CONCATENATE("Doorw. ",Voorblad!E3-1," ")</f>
        <v>Doorw. 2003 </v>
      </c>
      <c r="H9" s="674" t="str">
        <f>CONCATENATE(Voorblad!E3)</f>
        <v>2004</v>
      </c>
      <c r="I9" s="675" t="s">
        <v>117</v>
      </c>
      <c r="J9" s="676" t="s">
        <v>217</v>
      </c>
      <c r="K9" s="674" t="s">
        <v>116</v>
      </c>
    </row>
    <row r="10" spans="1:11" ht="12.75" customHeight="1">
      <c r="A10" s="780">
        <f>(100*K2)+1</f>
        <v>1301</v>
      </c>
      <c r="B10" s="866" t="s">
        <v>67</v>
      </c>
      <c r="C10" s="1021">
        <v>5</v>
      </c>
      <c r="D10" s="434"/>
      <c r="E10" s="503">
        <v>0</v>
      </c>
      <c r="F10" s="503">
        <v>0</v>
      </c>
      <c r="G10" s="434"/>
      <c r="H10" s="434"/>
      <c r="I10" s="433">
        <f aca="true" t="shared" si="0" ref="I10:I21">D10-E10-F10+G10+H10</f>
        <v>0</v>
      </c>
      <c r="J10" s="434"/>
      <c r="K10" s="434"/>
    </row>
    <row r="11" spans="1:11" ht="12.75" customHeight="1">
      <c r="A11" s="780">
        <f aca="true" t="shared" si="1" ref="A11:A20">A10+1</f>
        <v>1302</v>
      </c>
      <c r="B11" s="680" t="s">
        <v>68</v>
      </c>
      <c r="C11" s="1021">
        <v>2</v>
      </c>
      <c r="D11" s="434"/>
      <c r="E11" s="503">
        <v>0</v>
      </c>
      <c r="F11" s="503">
        <v>0</v>
      </c>
      <c r="G11" s="434"/>
      <c r="H11" s="434"/>
      <c r="I11" s="433">
        <f t="shared" si="0"/>
        <v>0</v>
      </c>
      <c r="J11" s="434"/>
      <c r="K11" s="434"/>
    </row>
    <row r="12" spans="1:11" ht="12.75" customHeight="1">
      <c r="A12" s="780">
        <f t="shared" si="1"/>
        <v>1303</v>
      </c>
      <c r="B12" s="680" t="s">
        <v>98</v>
      </c>
      <c r="C12" s="1021">
        <v>5</v>
      </c>
      <c r="D12" s="434"/>
      <c r="E12" s="503">
        <v>0</v>
      </c>
      <c r="F12" s="503">
        <v>0</v>
      </c>
      <c r="G12" s="434"/>
      <c r="H12" s="434"/>
      <c r="I12" s="433">
        <f t="shared" si="0"/>
        <v>0</v>
      </c>
      <c r="J12" s="434"/>
      <c r="K12" s="434"/>
    </row>
    <row r="13" spans="1:17" ht="12.75" customHeight="1">
      <c r="A13" s="780">
        <f t="shared" si="1"/>
        <v>1304</v>
      </c>
      <c r="B13" s="680" t="s">
        <v>69</v>
      </c>
      <c r="C13" s="1021">
        <v>10</v>
      </c>
      <c r="D13" s="434"/>
      <c r="E13" s="503">
        <v>0</v>
      </c>
      <c r="F13" s="503">
        <v>0</v>
      </c>
      <c r="G13" s="434"/>
      <c r="H13" s="434"/>
      <c r="I13" s="433">
        <f t="shared" si="0"/>
        <v>0</v>
      </c>
      <c r="J13" s="434"/>
      <c r="K13" s="434"/>
      <c r="Q13" s="471"/>
    </row>
    <row r="14" spans="1:11" ht="12.75" customHeight="1">
      <c r="A14" s="780">
        <f t="shared" si="1"/>
        <v>1305</v>
      </c>
      <c r="B14" s="680" t="s">
        <v>70</v>
      </c>
      <c r="C14" s="1021">
        <v>5</v>
      </c>
      <c r="D14" s="434"/>
      <c r="E14" s="503">
        <v>0</v>
      </c>
      <c r="F14" s="503">
        <v>0</v>
      </c>
      <c r="G14" s="434"/>
      <c r="H14" s="434"/>
      <c r="I14" s="433">
        <f t="shared" si="0"/>
        <v>0</v>
      </c>
      <c r="J14" s="434"/>
      <c r="K14" s="434"/>
    </row>
    <row r="15" spans="1:11" ht="12.75" customHeight="1">
      <c r="A15" s="780">
        <f t="shared" si="1"/>
        <v>1306</v>
      </c>
      <c r="B15" s="680" t="s">
        <v>433</v>
      </c>
      <c r="C15" s="1021">
        <v>5</v>
      </c>
      <c r="D15" s="434"/>
      <c r="E15" s="503">
        <v>0</v>
      </c>
      <c r="F15" s="503">
        <v>0</v>
      </c>
      <c r="G15" s="434"/>
      <c r="H15" s="434"/>
      <c r="I15" s="433">
        <f t="shared" si="0"/>
        <v>0</v>
      </c>
      <c r="J15" s="434"/>
      <c r="K15" s="434"/>
    </row>
    <row r="16" spans="1:11" ht="12.75" customHeight="1">
      <c r="A16" s="780">
        <f t="shared" si="1"/>
        <v>1307</v>
      </c>
      <c r="B16" s="680" t="s">
        <v>71</v>
      </c>
      <c r="C16" s="1022">
        <v>2.5</v>
      </c>
      <c r="D16" s="434"/>
      <c r="E16" s="503">
        <v>0</v>
      </c>
      <c r="F16" s="503">
        <v>0</v>
      </c>
      <c r="G16" s="434"/>
      <c r="H16" s="434"/>
      <c r="I16" s="433">
        <f t="shared" si="0"/>
        <v>0</v>
      </c>
      <c r="J16" s="434"/>
      <c r="K16" s="434"/>
    </row>
    <row r="17" spans="1:11" ht="12.75" customHeight="1">
      <c r="A17" s="780">
        <f t="shared" si="1"/>
        <v>1308</v>
      </c>
      <c r="B17" s="680" t="s">
        <v>72</v>
      </c>
      <c r="C17" s="1022"/>
      <c r="D17" s="434"/>
      <c r="E17" s="503">
        <v>0</v>
      </c>
      <c r="F17" s="503">
        <v>0</v>
      </c>
      <c r="G17" s="434"/>
      <c r="H17" s="434"/>
      <c r="I17" s="433">
        <f t="shared" si="0"/>
        <v>0</v>
      </c>
      <c r="J17" s="434"/>
      <c r="K17" s="434"/>
    </row>
    <row r="18" spans="1:11" ht="12.75" customHeight="1">
      <c r="A18" s="780">
        <f t="shared" si="1"/>
        <v>1309</v>
      </c>
      <c r="B18" s="680" t="s">
        <v>73</v>
      </c>
      <c r="C18" s="1021">
        <v>0</v>
      </c>
      <c r="D18" s="434"/>
      <c r="E18" s="503">
        <v>0</v>
      </c>
      <c r="F18" s="503">
        <v>0</v>
      </c>
      <c r="G18" s="434"/>
      <c r="H18" s="434"/>
      <c r="I18" s="433">
        <f t="shared" si="0"/>
        <v>0</v>
      </c>
      <c r="J18" s="434"/>
      <c r="K18" s="434"/>
    </row>
    <row r="19" spans="1:11" ht="12.75" customHeight="1">
      <c r="A19" s="780">
        <f t="shared" si="1"/>
        <v>1310</v>
      </c>
      <c r="B19" s="721" t="s">
        <v>74</v>
      </c>
      <c r="C19" s="1023"/>
      <c r="D19" s="783"/>
      <c r="E19" s="820">
        <v>0</v>
      </c>
      <c r="F19" s="820">
        <v>0</v>
      </c>
      <c r="G19" s="783"/>
      <c r="H19" s="783"/>
      <c r="I19" s="784">
        <f t="shared" si="0"/>
        <v>0</v>
      </c>
      <c r="J19" s="783"/>
      <c r="K19" s="783"/>
    </row>
    <row r="20" spans="1:11" ht="12.75" customHeight="1">
      <c r="A20" s="780">
        <f t="shared" si="1"/>
        <v>1311</v>
      </c>
      <c r="B20" s="818" t="str">
        <f>CONCATENATE("Totaal regel ",A10," t/m ",A19)</f>
        <v>Totaal regel 1301 t/m 1310</v>
      </c>
      <c r="C20" s="819"/>
      <c r="D20" s="785">
        <f aca="true" t="shared" si="2" ref="D20:K20">SUM(D10:D19)</f>
        <v>0</v>
      </c>
      <c r="E20" s="821">
        <f t="shared" si="2"/>
        <v>0</v>
      </c>
      <c r="F20" s="821">
        <f t="shared" si="2"/>
        <v>0</v>
      </c>
      <c r="G20" s="785">
        <f t="shared" si="2"/>
        <v>0</v>
      </c>
      <c r="H20" s="785">
        <f t="shared" si="2"/>
        <v>0</v>
      </c>
      <c r="I20" s="806">
        <f>SUM(I10:I19)</f>
        <v>0</v>
      </c>
      <c r="J20" s="822">
        <f t="shared" si="2"/>
        <v>0</v>
      </c>
      <c r="K20" s="822">
        <f t="shared" si="2"/>
        <v>0</v>
      </c>
    </row>
    <row r="21" spans="1:11" ht="12.75" customHeight="1">
      <c r="A21" s="780">
        <f aca="true" t="shared" si="3" ref="A21:A26">A20+1</f>
        <v>1312</v>
      </c>
      <c r="B21" s="712" t="s">
        <v>645</v>
      </c>
      <c r="C21" s="678"/>
      <c r="D21" s="829"/>
      <c r="E21" s="820">
        <v>0</v>
      </c>
      <c r="F21" s="820">
        <v>0</v>
      </c>
      <c r="G21" s="829"/>
      <c r="H21" s="829"/>
      <c r="I21" s="433">
        <f t="shared" si="0"/>
        <v>0</v>
      </c>
      <c r="J21" s="829"/>
      <c r="K21" s="829"/>
    </row>
    <row r="22" spans="1:11" ht="12.75" customHeight="1">
      <c r="A22" s="780">
        <f t="shared" si="3"/>
        <v>1313</v>
      </c>
      <c r="B22" s="794" t="str">
        <f>CONCATENATE("Aanvaardbaar (rg ",A20," -/- ",A21,")")</f>
        <v>Aanvaardbaar (rg 1311 -/- 1312)</v>
      </c>
      <c r="C22" s="823"/>
      <c r="D22" s="806">
        <f aca="true" t="shared" si="4" ref="D22:K22">D20-D21</f>
        <v>0</v>
      </c>
      <c r="E22" s="821">
        <f t="shared" si="4"/>
        <v>0</v>
      </c>
      <c r="F22" s="821">
        <f t="shared" si="4"/>
        <v>0</v>
      </c>
      <c r="G22" s="806">
        <f t="shared" si="4"/>
        <v>0</v>
      </c>
      <c r="H22" s="806">
        <f t="shared" si="4"/>
        <v>0</v>
      </c>
      <c r="I22" s="806">
        <f t="shared" si="4"/>
        <v>0</v>
      </c>
      <c r="J22" s="830">
        <f t="shared" si="4"/>
        <v>0</v>
      </c>
      <c r="K22" s="830">
        <f t="shared" si="4"/>
        <v>0</v>
      </c>
    </row>
    <row r="23" spans="1:11" ht="12.75" customHeight="1">
      <c r="A23" s="780">
        <f t="shared" si="3"/>
        <v>1314</v>
      </c>
      <c r="B23" s="574" t="str">
        <f>CONCATENATE("Boekwaarde cf regel 1113 nacalculatieformulier ",Voorblad!E3-1)</f>
        <v>Boekwaarde cf regel 1113 nacalculatieformulier 2003</v>
      </c>
      <c r="C23" s="826"/>
      <c r="D23" s="827"/>
      <c r="E23" s="827"/>
      <c r="F23" s="828"/>
      <c r="G23" s="946"/>
      <c r="H23" s="950"/>
      <c r="I23" s="950"/>
      <c r="J23" s="951"/>
      <c r="K23" s="434"/>
    </row>
    <row r="24" spans="1:11" s="456" customFormat="1" ht="12.75" customHeight="1">
      <c r="A24" s="780">
        <f t="shared" si="3"/>
        <v>1315</v>
      </c>
      <c r="B24" s="574" t="str">
        <f>CONCATENATE("In nacalculatie ",Voorblad!E3-1," berekende doorwerking naar ",Voorblad!E3)</f>
        <v>In nacalculatie 2003 berekende doorwerking naar 2004</v>
      </c>
      <c r="C24" s="826"/>
      <c r="D24" s="827"/>
      <c r="E24" s="827"/>
      <c r="F24" s="828"/>
      <c r="G24" s="434"/>
      <c r="H24" s="949"/>
      <c r="I24" s="465"/>
      <c r="J24" s="465"/>
      <c r="K24" s="513"/>
    </row>
    <row r="25" spans="1:11" s="456" customFormat="1" ht="12.75" customHeight="1">
      <c r="A25" s="780">
        <f t="shared" si="3"/>
        <v>1316</v>
      </c>
      <c r="B25" s="574" t="str">
        <f>CONCATENATE("Totaal nieuwe afschrijving en investeringen ",Voorblad!E3," van regel ",WZV!H66)</f>
        <v>Totaal nieuwe afschrijving en investeringen 2004 van regel 1539</v>
      </c>
      <c r="C25" s="826"/>
      <c r="D25" s="827"/>
      <c r="E25" s="827"/>
      <c r="F25" s="827"/>
      <c r="G25" s="966"/>
      <c r="H25" s="433">
        <f>WZV!L66</f>
        <v>0</v>
      </c>
      <c r="I25" s="947"/>
      <c r="J25" s="948"/>
      <c r="K25" s="433">
        <f>WZV!J66</f>
        <v>0</v>
      </c>
    </row>
    <row r="26" spans="1:11" s="456" customFormat="1" ht="12.75" customHeight="1">
      <c r="A26" s="780">
        <f t="shared" si="3"/>
        <v>1317</v>
      </c>
      <c r="B26" s="795" t="s">
        <v>417</v>
      </c>
      <c r="C26" s="823"/>
      <c r="D26" s="824"/>
      <c r="E26" s="824"/>
      <c r="F26" s="825"/>
      <c r="G26" s="806">
        <f>G22-G24</f>
        <v>0</v>
      </c>
      <c r="H26" s="806">
        <f>H22-H25</f>
        <v>0</v>
      </c>
      <c r="I26" s="593"/>
      <c r="J26" s="465"/>
      <c r="K26" s="830">
        <f>K22-(K23+K25-I22)</f>
        <v>0</v>
      </c>
    </row>
    <row r="27" spans="1:10" s="456" customFormat="1" ht="12.75" customHeight="1">
      <c r="A27" s="596"/>
      <c r="B27" s="457"/>
      <c r="C27" s="468"/>
      <c r="D27" s="469"/>
      <c r="E27" s="469"/>
      <c r="F27" s="470"/>
      <c r="G27" s="470"/>
      <c r="H27" s="470"/>
      <c r="I27" s="593"/>
      <c r="J27" s="465"/>
    </row>
    <row r="28" spans="1:11" s="456" customFormat="1" ht="12.75" customHeight="1">
      <c r="A28" s="41" t="s">
        <v>290</v>
      </c>
      <c r="B28" s="45" t="s">
        <v>170</v>
      </c>
      <c r="C28" s="110"/>
      <c r="D28" s="111"/>
      <c r="E28" s="111"/>
      <c r="F28" s="113"/>
      <c r="G28" s="113"/>
      <c r="H28" s="113"/>
      <c r="I28" s="356"/>
      <c r="J28" s="84"/>
      <c r="K28" s="42"/>
    </row>
    <row r="29" spans="1:11" s="456" customFormat="1" ht="12.75" customHeight="1">
      <c r="A29" s="42"/>
      <c r="B29" s="1207"/>
      <c r="C29" s="1205" t="s">
        <v>66</v>
      </c>
      <c r="D29" s="653" t="s">
        <v>418</v>
      </c>
      <c r="E29" s="653" t="s">
        <v>419</v>
      </c>
      <c r="F29" s="653" t="s">
        <v>420</v>
      </c>
      <c r="G29" s="653" t="s">
        <v>418</v>
      </c>
      <c r="H29" s="653" t="s">
        <v>118</v>
      </c>
      <c r="I29" s="653" t="s">
        <v>421</v>
      </c>
      <c r="J29" s="653" t="s">
        <v>422</v>
      </c>
      <c r="K29" s="653" t="s">
        <v>422</v>
      </c>
    </row>
    <row r="30" spans="1:11" s="472" customFormat="1" ht="12.75" customHeight="1">
      <c r="A30" s="90"/>
      <c r="B30" s="1208"/>
      <c r="C30" s="1206"/>
      <c r="D30" s="673" t="str">
        <f>CONCATENATE("ultimo ",Voorblad!E3-1)</f>
        <v>ultimo 2003</v>
      </c>
      <c r="E30" s="673">
        <f>Voorblad!E3</f>
        <v>2004</v>
      </c>
      <c r="F30" s="673">
        <f>Voorblad!E3</f>
        <v>2004</v>
      </c>
      <c r="G30" s="673" t="str">
        <f>CONCATENATE("ultimo ",Voorblad!E3)</f>
        <v>ultimo 2004</v>
      </c>
      <c r="H30" s="673">
        <f>Voorblad!E3</f>
        <v>2004</v>
      </c>
      <c r="I30" s="673" t="str">
        <f>CONCATENATE("ultimo ",Voorblad!E3)</f>
        <v>ultimo 2004</v>
      </c>
      <c r="J30" s="673" t="str">
        <f>CONCATENATE("ultimo ",Voorblad!E3-1)</f>
        <v>ultimo 2003</v>
      </c>
      <c r="K30" s="673" t="str">
        <f>CONCATENATE("ultimo ",Voorblad!E3)</f>
        <v>ultimo 2004</v>
      </c>
    </row>
    <row r="31" spans="1:11" s="456" customFormat="1" ht="12.75" customHeight="1">
      <c r="A31" s="780">
        <f>A26+1</f>
        <v>1318</v>
      </c>
      <c r="B31" s="1168" t="s">
        <v>151</v>
      </c>
      <c r="C31" s="1021">
        <v>10</v>
      </c>
      <c r="D31" s="434"/>
      <c r="E31" s="503">
        <v>0</v>
      </c>
      <c r="F31" s="750"/>
      <c r="G31" s="433">
        <f aca="true" t="shared" si="5" ref="G31:G36">D31-E31+F31</f>
        <v>0</v>
      </c>
      <c r="H31" s="434"/>
      <c r="I31" s="434"/>
      <c r="J31" s="434"/>
      <c r="K31" s="433">
        <f aca="true" t="shared" si="6" ref="K31:K36">G31-I31</f>
        <v>0</v>
      </c>
    </row>
    <row r="32" spans="1:11" ht="12.75" customHeight="1">
      <c r="A32" s="780">
        <f aca="true" t="shared" si="7" ref="A32:A38">A31+1</f>
        <v>1319</v>
      </c>
      <c r="B32" s="680" t="s">
        <v>152</v>
      </c>
      <c r="C32" s="1021">
        <v>5</v>
      </c>
      <c r="D32" s="434"/>
      <c r="E32" s="503">
        <v>0</v>
      </c>
      <c r="F32" s="750"/>
      <c r="G32" s="433">
        <f t="shared" si="5"/>
        <v>0</v>
      </c>
      <c r="H32" s="434"/>
      <c r="I32" s="434"/>
      <c r="J32" s="434"/>
      <c r="K32" s="433">
        <f t="shared" si="6"/>
        <v>0</v>
      </c>
    </row>
    <row r="33" spans="1:11" ht="12.75" customHeight="1">
      <c r="A33" s="780">
        <f t="shared" si="7"/>
        <v>1320</v>
      </c>
      <c r="B33" s="681" t="s">
        <v>147</v>
      </c>
      <c r="C33" s="1021">
        <v>20</v>
      </c>
      <c r="D33" s="434"/>
      <c r="E33" s="503">
        <v>0</v>
      </c>
      <c r="F33" s="750"/>
      <c r="G33" s="433">
        <f t="shared" si="5"/>
        <v>0</v>
      </c>
      <c r="H33" s="434"/>
      <c r="I33" s="434"/>
      <c r="J33" s="434"/>
      <c r="K33" s="433">
        <f t="shared" si="6"/>
        <v>0</v>
      </c>
    </row>
    <row r="34" spans="1:11" ht="12.75" customHeight="1">
      <c r="A34" s="780">
        <f t="shared" si="7"/>
        <v>1321</v>
      </c>
      <c r="B34" s="680" t="s">
        <v>148</v>
      </c>
      <c r="C34" s="1021">
        <v>20</v>
      </c>
      <c r="D34" s="434"/>
      <c r="E34" s="503">
        <v>0</v>
      </c>
      <c r="F34" s="750"/>
      <c r="G34" s="433">
        <f t="shared" si="5"/>
        <v>0</v>
      </c>
      <c r="H34" s="434"/>
      <c r="I34" s="434"/>
      <c r="J34" s="434"/>
      <c r="K34" s="433">
        <f t="shared" si="6"/>
        <v>0</v>
      </c>
    </row>
    <row r="35" spans="1:11" ht="12.75" customHeight="1">
      <c r="A35" s="780">
        <f t="shared" si="7"/>
        <v>1322</v>
      </c>
      <c r="B35" s="681" t="s">
        <v>149</v>
      </c>
      <c r="C35" s="1021">
        <v>20</v>
      </c>
      <c r="D35" s="434"/>
      <c r="E35" s="503">
        <v>0</v>
      </c>
      <c r="F35" s="750"/>
      <c r="G35" s="433">
        <f t="shared" si="5"/>
        <v>0</v>
      </c>
      <c r="H35" s="434"/>
      <c r="I35" s="434"/>
      <c r="J35" s="434"/>
      <c r="K35" s="433">
        <f t="shared" si="6"/>
        <v>0</v>
      </c>
    </row>
    <row r="36" spans="1:11" ht="12.75" customHeight="1">
      <c r="A36" s="780">
        <f t="shared" si="7"/>
        <v>1323</v>
      </c>
      <c r="B36" s="721" t="s">
        <v>150</v>
      </c>
      <c r="C36" s="1024">
        <v>10</v>
      </c>
      <c r="D36" s="783"/>
      <c r="E36" s="820">
        <v>0</v>
      </c>
      <c r="F36" s="750"/>
      <c r="G36" s="433">
        <f t="shared" si="5"/>
        <v>0</v>
      </c>
      <c r="H36" s="434"/>
      <c r="I36" s="434"/>
      <c r="J36" s="434"/>
      <c r="K36" s="433">
        <f t="shared" si="6"/>
        <v>0</v>
      </c>
    </row>
    <row r="37" spans="1:14" ht="12.75" customHeight="1">
      <c r="A37" s="780">
        <f t="shared" si="7"/>
        <v>1324</v>
      </c>
      <c r="B37" s="795" t="str">
        <f>CONCATENATE("Instandhoudingsinvesteringen volgens regel ",Instandhouding!A27)</f>
        <v>Instandhoudingsinvesteringen volgens regel 1621</v>
      </c>
      <c r="C37" s="823"/>
      <c r="D37" s="824"/>
      <c r="E37" s="825"/>
      <c r="F37" s="433">
        <f>Instandhouding!F27</f>
        <v>0</v>
      </c>
      <c r="G37" s="585"/>
      <c r="H37" s="585"/>
      <c r="I37" s="585"/>
      <c r="J37" s="585"/>
      <c r="K37" s="585"/>
      <c r="L37" s="585"/>
      <c r="M37" s="585"/>
      <c r="N37" s="585"/>
    </row>
    <row r="38" spans="1:6" ht="12.75" customHeight="1">
      <c r="A38" s="780">
        <f t="shared" si="7"/>
        <v>1325</v>
      </c>
      <c r="B38" s="795" t="s">
        <v>432</v>
      </c>
      <c r="C38" s="823"/>
      <c r="D38" s="824"/>
      <c r="E38" s="825"/>
      <c r="F38" s="831">
        <f>F31+F32-F37</f>
        <v>0</v>
      </c>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password="C281" sheet="1" objects="1" scenarios="1"/>
  <mergeCells count="3">
    <mergeCell ref="E8:F8"/>
    <mergeCell ref="G8:H8"/>
    <mergeCell ref="I8:K8"/>
  </mergeCells>
  <conditionalFormatting sqref="D10:H19 D21:H21 J10:K19 J21:K21 D31:F36 H31:J36 G24 K23">
    <cfRule type="expression" priority="1" dxfId="2" stopIfTrue="1">
      <formula>$G$2=TRUE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Blad8"/>
  <dimension ref="A1:O83"/>
  <sheetViews>
    <sheetView showGridLines="0" zoomScale="86" zoomScaleNormal="86" workbookViewId="0" topLeftCell="A1">
      <selection activeCell="B6" sqref="B6:F6"/>
    </sheetView>
  </sheetViews>
  <sheetFormatPr defaultColWidth="9.140625" defaultRowHeight="12.75"/>
  <cols>
    <col min="1" max="1" width="5.00390625" style="467" customWidth="1"/>
    <col min="2" max="2" width="13.7109375" style="456" customWidth="1"/>
    <col min="3" max="6" width="12.7109375" style="456" customWidth="1"/>
    <col min="7" max="7" width="1.421875" style="453" customWidth="1"/>
    <col min="8" max="8" width="4.7109375" style="467" customWidth="1"/>
    <col min="9" max="9" width="13.7109375" style="456" customWidth="1"/>
    <col min="10" max="13" width="12.7109375" style="456" customWidth="1"/>
    <col min="14" max="16384" width="9.140625" style="453" customWidth="1"/>
  </cols>
  <sheetData>
    <row r="1" spans="1:13" ht="15.75" customHeight="1">
      <c r="A1" s="677"/>
      <c r="B1" s="42"/>
      <c r="C1" s="42"/>
      <c r="D1" s="42"/>
      <c r="E1" s="42"/>
      <c r="F1" s="42"/>
      <c r="G1" s="608"/>
      <c r="H1" s="677"/>
      <c r="I1" s="42"/>
      <c r="J1" s="42"/>
      <c r="K1" s="42"/>
      <c r="L1" s="42"/>
      <c r="M1" s="42"/>
    </row>
    <row r="2" spans="1:13" s="515" customFormat="1" ht="15.75" customHeight="1">
      <c r="A2" s="622" t="str">
        <f>Inhoud!$A$2</f>
        <v>Nacalculatieformulier 2004 GGZ-instellingen</v>
      </c>
      <c r="B2" s="637"/>
      <c r="C2" s="639"/>
      <c r="D2" s="640"/>
      <c r="E2" s="640"/>
      <c r="F2" s="640"/>
      <c r="G2" s="546"/>
      <c r="H2" s="640" t="b">
        <f>Voorblad!E28</f>
        <v>1</v>
      </c>
      <c r="I2" s="640"/>
      <c r="J2" s="640">
        <f>Voorblad!J28</f>
        <v>0</v>
      </c>
      <c r="K2" s="640"/>
      <c r="L2" s="640"/>
      <c r="M2" s="1302">
        <f>Afschrijvingen!$K$2+1</f>
        <v>14</v>
      </c>
    </row>
    <row r="3" spans="1:13" ht="12.75" customHeight="1">
      <c r="A3" s="677"/>
      <c r="B3" s="42"/>
      <c r="C3" s="42"/>
      <c r="D3" s="42"/>
      <c r="E3" s="42"/>
      <c r="F3" s="42"/>
      <c r="G3" s="608"/>
      <c r="H3" s="677"/>
      <c r="I3" s="42"/>
      <c r="J3" s="42"/>
      <c r="K3" s="42"/>
      <c r="L3" s="42"/>
      <c r="M3" s="42"/>
    </row>
    <row r="4" spans="1:13" ht="12.75" customHeight="1">
      <c r="A4" s="14" t="s">
        <v>291</v>
      </c>
      <c r="B4" s="682" t="s">
        <v>523</v>
      </c>
      <c r="C4" s="683"/>
      <c r="D4" s="42"/>
      <c r="E4" s="42"/>
      <c r="F4" s="42"/>
      <c r="G4" s="608"/>
      <c r="H4" s="677"/>
      <c r="I4" s="42"/>
      <c r="J4" s="42"/>
      <c r="K4" s="42"/>
      <c r="L4" s="42"/>
      <c r="M4" s="42"/>
    </row>
    <row r="5" spans="1:13" ht="12.75" customHeight="1">
      <c r="A5" s="677"/>
      <c r="B5" s="1613" t="s">
        <v>405</v>
      </c>
      <c r="C5" s="1614"/>
      <c r="D5" s="1614"/>
      <c r="E5" s="1614"/>
      <c r="F5" s="1615"/>
      <c r="G5" s="608"/>
      <c r="H5" s="677"/>
      <c r="I5" s="1613" t="s">
        <v>410</v>
      </c>
      <c r="J5" s="1614"/>
      <c r="K5" s="1614"/>
      <c r="L5" s="1614"/>
      <c r="M5" s="1615"/>
    </row>
    <row r="6" spans="1:13" ht="12.75" customHeight="1">
      <c r="A6" s="787">
        <f>(100*M2)+1</f>
        <v>1401</v>
      </c>
      <c r="B6" s="1616"/>
      <c r="C6" s="1611"/>
      <c r="D6" s="1611"/>
      <c r="E6" s="1611"/>
      <c r="F6" s="1612"/>
      <c r="H6" s="780">
        <f>A41+1</f>
        <v>1429</v>
      </c>
      <c r="I6" s="1616"/>
      <c r="J6" s="1611"/>
      <c r="K6" s="1611"/>
      <c r="L6" s="1611"/>
      <c r="M6" s="1612"/>
    </row>
    <row r="7" spans="1:13" s="515" customFormat="1" ht="12.75" customHeight="1">
      <c r="A7" s="582"/>
      <c r="B7" s="1617" t="s">
        <v>404</v>
      </c>
      <c r="C7" s="1618"/>
      <c r="D7" s="684" t="s">
        <v>91</v>
      </c>
      <c r="E7" s="1609" t="s">
        <v>406</v>
      </c>
      <c r="F7" s="1610"/>
      <c r="G7" s="92"/>
      <c r="H7" s="632"/>
      <c r="I7" s="1617" t="s">
        <v>404</v>
      </c>
      <c r="J7" s="1618"/>
      <c r="K7" s="684" t="s">
        <v>91</v>
      </c>
      <c r="L7" s="1609" t="s">
        <v>406</v>
      </c>
      <c r="M7" s="1610"/>
    </row>
    <row r="8" spans="1:13" s="515" customFormat="1" ht="12.75" customHeight="1">
      <c r="A8" s="787">
        <f>A6+1</f>
        <v>1402</v>
      </c>
      <c r="B8" s="1621"/>
      <c r="C8" s="1622"/>
      <c r="D8" s="570"/>
      <c r="E8" s="1623"/>
      <c r="F8" s="1624"/>
      <c r="G8" s="585"/>
      <c r="H8" s="780">
        <f>H6+1</f>
        <v>1430</v>
      </c>
      <c r="I8" s="1621"/>
      <c r="J8" s="1622"/>
      <c r="K8" s="570"/>
      <c r="L8" s="1623"/>
      <c r="M8" s="1624"/>
    </row>
    <row r="9" spans="1:13" s="515" customFormat="1" ht="12.75" customHeight="1">
      <c r="A9" s="787">
        <f>A8+1</f>
        <v>1403</v>
      </c>
      <c r="B9" s="1625"/>
      <c r="C9" s="1626"/>
      <c r="D9" s="571"/>
      <c r="E9" s="1619"/>
      <c r="F9" s="1620"/>
      <c r="G9" s="585"/>
      <c r="H9" s="780">
        <f>H8+1</f>
        <v>1431</v>
      </c>
      <c r="I9" s="1625"/>
      <c r="J9" s="1626"/>
      <c r="K9" s="571"/>
      <c r="L9" s="1619"/>
      <c r="M9" s="1620"/>
    </row>
    <row r="10" spans="1:13" s="475" customFormat="1" ht="12.75" customHeight="1">
      <c r="A10" s="649"/>
      <c r="B10" s="855"/>
      <c r="C10" s="1291" t="s">
        <v>103</v>
      </c>
      <c r="D10" s="1286" t="s">
        <v>219</v>
      </c>
      <c r="E10" s="685" t="s">
        <v>118</v>
      </c>
      <c r="F10" s="689" t="s">
        <v>191</v>
      </c>
      <c r="G10" s="178"/>
      <c r="H10" s="649"/>
      <c r="I10" s="855"/>
      <c r="J10" s="1291" t="s">
        <v>103</v>
      </c>
      <c r="K10" s="1286" t="s">
        <v>219</v>
      </c>
      <c r="L10" s="685" t="s">
        <v>118</v>
      </c>
      <c r="M10" s="686" t="s">
        <v>191</v>
      </c>
    </row>
    <row r="11" spans="1:13" s="475" customFormat="1" ht="12.75" customHeight="1">
      <c r="A11" s="649"/>
      <c r="B11" s="856"/>
      <c r="C11" s="1292" t="s">
        <v>407</v>
      </c>
      <c r="D11" s="1293" t="s">
        <v>220</v>
      </c>
      <c r="E11" s="687">
        <f>Voorblad!E3</f>
        <v>2004</v>
      </c>
      <c r="F11" s="673">
        <f>Voorblad!E3+1</f>
        <v>2005</v>
      </c>
      <c r="G11" s="178"/>
      <c r="H11" s="649"/>
      <c r="I11" s="856"/>
      <c r="J11" s="1292" t="s">
        <v>407</v>
      </c>
      <c r="K11" s="1293" t="s">
        <v>220</v>
      </c>
      <c r="L11" s="687">
        <f>Voorblad!E3</f>
        <v>2004</v>
      </c>
      <c r="M11" s="687">
        <f>Voorblad!E3+1</f>
        <v>2005</v>
      </c>
    </row>
    <row r="12" spans="1:13" ht="12.75" customHeight="1">
      <c r="A12" s="780">
        <f>A9+1</f>
        <v>1404</v>
      </c>
      <c r="B12" s="797" t="s">
        <v>273</v>
      </c>
      <c r="C12" s="599"/>
      <c r="D12" s="600"/>
      <c r="E12" s="600"/>
      <c r="F12" s="857">
        <f>D12-E12</f>
        <v>0</v>
      </c>
      <c r="H12" s="780">
        <f>H9+1</f>
        <v>1432</v>
      </c>
      <c r="I12" s="797" t="s">
        <v>273</v>
      </c>
      <c r="J12" s="599"/>
      <c r="K12" s="600"/>
      <c r="L12" s="600"/>
      <c r="M12" s="858">
        <f>K12-L12</f>
        <v>0</v>
      </c>
    </row>
    <row r="13" spans="1:13" ht="12.75" customHeight="1">
      <c r="A13" s="780">
        <f aca="true" t="shared" si="0" ref="A13:A21">A12+1</f>
        <v>1405</v>
      </c>
      <c r="B13" s="832" t="s">
        <v>68</v>
      </c>
      <c r="C13" s="601"/>
      <c r="D13" s="602"/>
      <c r="E13" s="602"/>
      <c r="F13" s="857">
        <f aca="true" t="shared" si="1" ref="F13:F21">D13-E13</f>
        <v>0</v>
      </c>
      <c r="H13" s="780">
        <f aca="true" t="shared" si="2" ref="H13:H21">H12+1</f>
        <v>1433</v>
      </c>
      <c r="I13" s="832" t="s">
        <v>68</v>
      </c>
      <c r="J13" s="601"/>
      <c r="K13" s="602"/>
      <c r="L13" s="602"/>
      <c r="M13" s="857">
        <f aca="true" t="shared" si="3" ref="M13:M21">K13-L13</f>
        <v>0</v>
      </c>
    </row>
    <row r="14" spans="1:13" ht="12.75" customHeight="1">
      <c r="A14" s="780">
        <f t="shared" si="0"/>
        <v>1406</v>
      </c>
      <c r="B14" s="832" t="s">
        <v>274</v>
      </c>
      <c r="C14" s="601"/>
      <c r="D14" s="602"/>
      <c r="E14" s="602"/>
      <c r="F14" s="857">
        <f t="shared" si="1"/>
        <v>0</v>
      </c>
      <c r="H14" s="780">
        <f t="shared" si="2"/>
        <v>1434</v>
      </c>
      <c r="I14" s="832" t="s">
        <v>274</v>
      </c>
      <c r="J14" s="601"/>
      <c r="K14" s="602"/>
      <c r="L14" s="602"/>
      <c r="M14" s="857">
        <f t="shared" si="3"/>
        <v>0</v>
      </c>
    </row>
    <row r="15" spans="1:13" ht="12.75" customHeight="1">
      <c r="A15" s="780">
        <f t="shared" si="0"/>
        <v>1407</v>
      </c>
      <c r="B15" s="832" t="s">
        <v>69</v>
      </c>
      <c r="C15" s="601"/>
      <c r="D15" s="602"/>
      <c r="E15" s="602"/>
      <c r="F15" s="857">
        <f t="shared" si="1"/>
        <v>0</v>
      </c>
      <c r="H15" s="780">
        <f t="shared" si="2"/>
        <v>1435</v>
      </c>
      <c r="I15" s="832" t="s">
        <v>69</v>
      </c>
      <c r="J15" s="601"/>
      <c r="K15" s="602"/>
      <c r="L15" s="602"/>
      <c r="M15" s="857">
        <f t="shared" si="3"/>
        <v>0</v>
      </c>
    </row>
    <row r="16" spans="1:13" ht="12.75" customHeight="1">
      <c r="A16" s="780">
        <f t="shared" si="0"/>
        <v>1408</v>
      </c>
      <c r="B16" s="832" t="s">
        <v>70</v>
      </c>
      <c r="C16" s="601"/>
      <c r="D16" s="602"/>
      <c r="E16" s="602"/>
      <c r="F16" s="857">
        <f t="shared" si="1"/>
        <v>0</v>
      </c>
      <c r="H16" s="780">
        <f t="shared" si="2"/>
        <v>1436</v>
      </c>
      <c r="I16" s="832" t="s">
        <v>70</v>
      </c>
      <c r="J16" s="601"/>
      <c r="K16" s="602"/>
      <c r="L16" s="602"/>
      <c r="M16" s="857">
        <f t="shared" si="3"/>
        <v>0</v>
      </c>
    </row>
    <row r="17" spans="1:13" ht="12.75" customHeight="1">
      <c r="A17" s="780">
        <f t="shared" si="0"/>
        <v>1409</v>
      </c>
      <c r="B17" s="832" t="s">
        <v>275</v>
      </c>
      <c r="C17" s="601"/>
      <c r="D17" s="602"/>
      <c r="E17" s="602"/>
      <c r="F17" s="857">
        <f t="shared" si="1"/>
        <v>0</v>
      </c>
      <c r="H17" s="780">
        <f t="shared" si="2"/>
        <v>1437</v>
      </c>
      <c r="I17" s="832" t="s">
        <v>275</v>
      </c>
      <c r="J17" s="601"/>
      <c r="K17" s="602"/>
      <c r="L17" s="602"/>
      <c r="M17" s="857">
        <f t="shared" si="3"/>
        <v>0</v>
      </c>
    </row>
    <row r="18" spans="1:13" ht="12.75" customHeight="1">
      <c r="A18" s="780">
        <f t="shared" si="0"/>
        <v>1410</v>
      </c>
      <c r="B18" s="832" t="s">
        <v>71</v>
      </c>
      <c r="C18" s="601"/>
      <c r="D18" s="602"/>
      <c r="E18" s="602"/>
      <c r="F18" s="857">
        <f t="shared" si="1"/>
        <v>0</v>
      </c>
      <c r="H18" s="780">
        <f t="shared" si="2"/>
        <v>1438</v>
      </c>
      <c r="I18" s="832" t="s">
        <v>71</v>
      </c>
      <c r="J18" s="601"/>
      <c r="K18" s="602"/>
      <c r="L18" s="602"/>
      <c r="M18" s="857">
        <f t="shared" si="3"/>
        <v>0</v>
      </c>
    </row>
    <row r="19" spans="1:13" ht="12.75" customHeight="1">
      <c r="A19" s="780">
        <f t="shared" si="0"/>
        <v>1411</v>
      </c>
      <c r="B19" s="832" t="s">
        <v>72</v>
      </c>
      <c r="C19" s="601"/>
      <c r="D19" s="602"/>
      <c r="E19" s="602"/>
      <c r="F19" s="857">
        <f t="shared" si="1"/>
        <v>0</v>
      </c>
      <c r="H19" s="780">
        <f t="shared" si="2"/>
        <v>1439</v>
      </c>
      <c r="I19" s="832" t="s">
        <v>72</v>
      </c>
      <c r="J19" s="601"/>
      <c r="K19" s="602"/>
      <c r="L19" s="602"/>
      <c r="M19" s="857">
        <f t="shared" si="3"/>
        <v>0</v>
      </c>
    </row>
    <row r="20" spans="1:13" ht="12.75" customHeight="1">
      <c r="A20" s="780">
        <f t="shared" si="0"/>
        <v>1412</v>
      </c>
      <c r="B20" s="832" t="s">
        <v>276</v>
      </c>
      <c r="C20" s="601"/>
      <c r="D20" s="602"/>
      <c r="E20" s="602"/>
      <c r="F20" s="857">
        <f t="shared" si="1"/>
        <v>0</v>
      </c>
      <c r="H20" s="780">
        <f t="shared" si="2"/>
        <v>1440</v>
      </c>
      <c r="I20" s="832" t="s">
        <v>276</v>
      </c>
      <c r="J20" s="601"/>
      <c r="K20" s="602"/>
      <c r="L20" s="602"/>
      <c r="M20" s="857">
        <f t="shared" si="3"/>
        <v>0</v>
      </c>
    </row>
    <row r="21" spans="1:13" ht="12.75" customHeight="1">
      <c r="A21" s="780">
        <f t="shared" si="0"/>
        <v>1413</v>
      </c>
      <c r="B21" s="833" t="s">
        <v>74</v>
      </c>
      <c r="C21" s="601"/>
      <c r="D21" s="602"/>
      <c r="E21" s="834"/>
      <c r="F21" s="857">
        <f t="shared" si="1"/>
        <v>0</v>
      </c>
      <c r="H21" s="780">
        <f t="shared" si="2"/>
        <v>1441</v>
      </c>
      <c r="I21" s="833" t="s">
        <v>74</v>
      </c>
      <c r="J21" s="601"/>
      <c r="K21" s="602"/>
      <c r="L21" s="834"/>
      <c r="M21" s="857">
        <f t="shared" si="3"/>
        <v>0</v>
      </c>
    </row>
    <row r="22" spans="1:13" ht="12.75" customHeight="1">
      <c r="A22" s="780">
        <f>A21+1</f>
        <v>1414</v>
      </c>
      <c r="B22" s="835" t="str">
        <f>CONCATENATE(A12," t/m ",A21)</f>
        <v>1404 t/m 1413</v>
      </c>
      <c r="C22" s="836">
        <f>SUM(C12:C21)</f>
        <v>0</v>
      </c>
      <c r="D22" s="836">
        <f>SUM(D12:D21)</f>
        <v>0</v>
      </c>
      <c r="E22" s="837">
        <f>SUM(E12:E21)</f>
        <v>0</v>
      </c>
      <c r="F22" s="837">
        <f>SUM(F12:F21)</f>
        <v>0</v>
      </c>
      <c r="H22" s="780">
        <f>H21+1</f>
        <v>1442</v>
      </c>
      <c r="I22" s="835" t="str">
        <f>CONCATENATE(H12," t/m ",H21)</f>
        <v>1432 t/m 1441</v>
      </c>
      <c r="J22" s="836">
        <f>SUM(J12:J21)</f>
        <v>0</v>
      </c>
      <c r="K22" s="836">
        <f>SUM(K12:K21)</f>
        <v>0</v>
      </c>
      <c r="L22" s="837">
        <f>SUM(L12:L21)</f>
        <v>0</v>
      </c>
      <c r="M22" s="837">
        <f>SUM(M12:M21)</f>
        <v>0</v>
      </c>
    </row>
    <row r="23" spans="1:13" ht="12">
      <c r="A23" s="677"/>
      <c r="B23" s="42"/>
      <c r="C23" s="42"/>
      <c r="D23" s="42"/>
      <c r="E23" s="42"/>
      <c r="F23" s="42"/>
      <c r="G23" s="608"/>
      <c r="H23" s="677"/>
      <c r="I23" s="42"/>
      <c r="J23" s="42"/>
      <c r="K23" s="42"/>
      <c r="L23" s="42"/>
      <c r="M23" s="42"/>
    </row>
    <row r="24" spans="1:13" ht="12.75" customHeight="1">
      <c r="A24" s="677"/>
      <c r="B24" s="1613" t="s">
        <v>408</v>
      </c>
      <c r="C24" s="1614"/>
      <c r="D24" s="1614"/>
      <c r="E24" s="1614"/>
      <c r="F24" s="1615"/>
      <c r="G24" s="608"/>
      <c r="H24" s="677"/>
      <c r="I24" s="1613" t="s">
        <v>409</v>
      </c>
      <c r="J24" s="1614"/>
      <c r="K24" s="1614"/>
      <c r="L24" s="1614"/>
      <c r="M24" s="1615"/>
    </row>
    <row r="25" spans="1:13" ht="12.75" customHeight="1">
      <c r="A25" s="780">
        <f>A22+1</f>
        <v>1415</v>
      </c>
      <c r="B25" s="1616"/>
      <c r="C25" s="1611"/>
      <c r="D25" s="1611"/>
      <c r="E25" s="1611"/>
      <c r="F25" s="1612"/>
      <c r="H25" s="780">
        <f>H22+1</f>
        <v>1443</v>
      </c>
      <c r="I25" s="1616"/>
      <c r="J25" s="1611"/>
      <c r="K25" s="1611"/>
      <c r="L25" s="1611"/>
      <c r="M25" s="1612"/>
    </row>
    <row r="26" spans="1:13" ht="12.75" customHeight="1">
      <c r="A26" s="632"/>
      <c r="B26" s="1617" t="s">
        <v>404</v>
      </c>
      <c r="C26" s="1618"/>
      <c r="D26" s="684" t="s">
        <v>91</v>
      </c>
      <c r="E26" s="1609" t="s">
        <v>406</v>
      </c>
      <c r="F26" s="1610"/>
      <c r="G26" s="608"/>
      <c r="H26" s="632"/>
      <c r="I26" s="1617" t="s">
        <v>404</v>
      </c>
      <c r="J26" s="1618"/>
      <c r="K26" s="684" t="s">
        <v>91</v>
      </c>
      <c r="L26" s="1609" t="s">
        <v>406</v>
      </c>
      <c r="M26" s="1610"/>
    </row>
    <row r="27" spans="1:13" ht="12.75" customHeight="1">
      <c r="A27" s="780">
        <f>A25+1</f>
        <v>1416</v>
      </c>
      <c r="B27" s="1621"/>
      <c r="C27" s="1622"/>
      <c r="D27" s="570"/>
      <c r="E27" s="1623"/>
      <c r="F27" s="1624"/>
      <c r="H27" s="780">
        <f>H25+1</f>
        <v>1444</v>
      </c>
      <c r="I27" s="1621"/>
      <c r="J27" s="1622"/>
      <c r="K27" s="570"/>
      <c r="L27" s="1623"/>
      <c r="M27" s="1624"/>
    </row>
    <row r="28" spans="1:13" ht="12.75" customHeight="1">
      <c r="A28" s="780">
        <f>A27+1</f>
        <v>1417</v>
      </c>
      <c r="B28" s="1625"/>
      <c r="C28" s="1626"/>
      <c r="D28" s="571"/>
      <c r="E28" s="1619"/>
      <c r="F28" s="1620"/>
      <c r="H28" s="780">
        <f>H27+1</f>
        <v>1445</v>
      </c>
      <c r="I28" s="1625"/>
      <c r="J28" s="1626"/>
      <c r="K28" s="571"/>
      <c r="L28" s="1619"/>
      <c r="M28" s="1620"/>
    </row>
    <row r="29" spans="1:13" ht="12.75" customHeight="1">
      <c r="A29" s="649"/>
      <c r="B29" s="855"/>
      <c r="C29" s="1291" t="s">
        <v>103</v>
      </c>
      <c r="D29" s="1286" t="s">
        <v>219</v>
      </c>
      <c r="E29" s="653" t="s">
        <v>118</v>
      </c>
      <c r="F29" s="689" t="s">
        <v>191</v>
      </c>
      <c r="G29" s="608"/>
      <c r="H29" s="649"/>
      <c r="I29" s="855"/>
      <c r="J29" s="1291" t="s">
        <v>103</v>
      </c>
      <c r="K29" s="1286" t="s">
        <v>219</v>
      </c>
      <c r="L29" s="653" t="s">
        <v>118</v>
      </c>
      <c r="M29" s="689" t="s">
        <v>191</v>
      </c>
    </row>
    <row r="30" spans="1:13" ht="12.75" customHeight="1">
      <c r="A30" s="649"/>
      <c r="B30" s="856"/>
      <c r="C30" s="1292" t="s">
        <v>407</v>
      </c>
      <c r="D30" s="1293" t="s">
        <v>220</v>
      </c>
      <c r="E30" s="673">
        <f>Voorblad!E3</f>
        <v>2004</v>
      </c>
      <c r="F30" s="673">
        <f>Voorblad!E3+1</f>
        <v>2005</v>
      </c>
      <c r="G30" s="608"/>
      <c r="H30" s="649"/>
      <c r="I30" s="856"/>
      <c r="J30" s="1292" t="s">
        <v>407</v>
      </c>
      <c r="K30" s="1293" t="s">
        <v>220</v>
      </c>
      <c r="L30" s="673">
        <f>Voorblad!E3</f>
        <v>2004</v>
      </c>
      <c r="M30" s="673">
        <f>Voorblad!E3+1</f>
        <v>2005</v>
      </c>
    </row>
    <row r="31" spans="1:13" ht="12.75" customHeight="1">
      <c r="A31" s="780">
        <f>A28+1</f>
        <v>1418</v>
      </c>
      <c r="B31" s="797" t="s">
        <v>273</v>
      </c>
      <c r="C31" s="599"/>
      <c r="D31" s="600"/>
      <c r="E31" s="600"/>
      <c r="F31" s="858">
        <f>D31-E31</f>
        <v>0</v>
      </c>
      <c r="H31" s="780">
        <f>H28+1</f>
        <v>1446</v>
      </c>
      <c r="I31" s="797" t="s">
        <v>273</v>
      </c>
      <c r="J31" s="599"/>
      <c r="K31" s="600"/>
      <c r="L31" s="600"/>
      <c r="M31" s="858">
        <f>K31-L31</f>
        <v>0</v>
      </c>
    </row>
    <row r="32" spans="1:13" ht="12">
      <c r="A32" s="780">
        <f aca="true" t="shared" si="4" ref="A32:A40">A31+1</f>
        <v>1419</v>
      </c>
      <c r="B32" s="832" t="s">
        <v>68</v>
      </c>
      <c r="C32" s="601"/>
      <c r="D32" s="602"/>
      <c r="E32" s="602"/>
      <c r="F32" s="857">
        <f aca="true" t="shared" si="5" ref="F32:F40">D32-E32</f>
        <v>0</v>
      </c>
      <c r="H32" s="780">
        <f aca="true" t="shared" si="6" ref="H32:H40">H31+1</f>
        <v>1447</v>
      </c>
      <c r="I32" s="832" t="s">
        <v>68</v>
      </c>
      <c r="J32" s="601"/>
      <c r="K32" s="602"/>
      <c r="L32" s="602"/>
      <c r="M32" s="857">
        <f aca="true" t="shared" si="7" ref="M32:M40">K32-L32</f>
        <v>0</v>
      </c>
    </row>
    <row r="33" spans="1:13" ht="12">
      <c r="A33" s="780">
        <f t="shared" si="4"/>
        <v>1420</v>
      </c>
      <c r="B33" s="832" t="s">
        <v>274</v>
      </c>
      <c r="C33" s="601"/>
      <c r="D33" s="602"/>
      <c r="E33" s="602"/>
      <c r="F33" s="857">
        <f t="shared" si="5"/>
        <v>0</v>
      </c>
      <c r="H33" s="780">
        <f t="shared" si="6"/>
        <v>1448</v>
      </c>
      <c r="I33" s="832" t="s">
        <v>274</v>
      </c>
      <c r="J33" s="601"/>
      <c r="K33" s="602"/>
      <c r="L33" s="602"/>
      <c r="M33" s="857">
        <f t="shared" si="7"/>
        <v>0</v>
      </c>
    </row>
    <row r="34" spans="1:13" ht="12" customHeight="1">
      <c r="A34" s="780">
        <f t="shared" si="4"/>
        <v>1421</v>
      </c>
      <c r="B34" s="832" t="s">
        <v>69</v>
      </c>
      <c r="C34" s="601"/>
      <c r="D34" s="602"/>
      <c r="E34" s="602"/>
      <c r="F34" s="857">
        <f t="shared" si="5"/>
        <v>0</v>
      </c>
      <c r="H34" s="780">
        <f t="shared" si="6"/>
        <v>1449</v>
      </c>
      <c r="I34" s="832" t="s">
        <v>69</v>
      </c>
      <c r="J34" s="601"/>
      <c r="K34" s="602"/>
      <c r="L34" s="602"/>
      <c r="M34" s="857">
        <f t="shared" si="7"/>
        <v>0</v>
      </c>
    </row>
    <row r="35" spans="1:13" ht="12">
      <c r="A35" s="780">
        <f t="shared" si="4"/>
        <v>1422</v>
      </c>
      <c r="B35" s="832" t="s">
        <v>70</v>
      </c>
      <c r="C35" s="601"/>
      <c r="D35" s="602"/>
      <c r="E35" s="602"/>
      <c r="F35" s="857">
        <f t="shared" si="5"/>
        <v>0</v>
      </c>
      <c r="H35" s="780">
        <f t="shared" si="6"/>
        <v>1450</v>
      </c>
      <c r="I35" s="832" t="s">
        <v>70</v>
      </c>
      <c r="J35" s="601"/>
      <c r="K35" s="602"/>
      <c r="L35" s="602"/>
      <c r="M35" s="857">
        <f t="shared" si="7"/>
        <v>0</v>
      </c>
    </row>
    <row r="36" spans="1:13" ht="12">
      <c r="A36" s="780">
        <f t="shared" si="4"/>
        <v>1423</v>
      </c>
      <c r="B36" s="832" t="s">
        <v>275</v>
      </c>
      <c r="C36" s="601"/>
      <c r="D36" s="602"/>
      <c r="E36" s="602"/>
      <c r="F36" s="857">
        <f t="shared" si="5"/>
        <v>0</v>
      </c>
      <c r="H36" s="780">
        <f t="shared" si="6"/>
        <v>1451</v>
      </c>
      <c r="I36" s="832" t="s">
        <v>275</v>
      </c>
      <c r="J36" s="601"/>
      <c r="K36" s="602"/>
      <c r="L36" s="602"/>
      <c r="M36" s="857">
        <f t="shared" si="7"/>
        <v>0</v>
      </c>
    </row>
    <row r="37" spans="1:13" ht="12">
      <c r="A37" s="780">
        <f t="shared" si="4"/>
        <v>1424</v>
      </c>
      <c r="B37" s="832" t="s">
        <v>71</v>
      </c>
      <c r="C37" s="601"/>
      <c r="D37" s="602"/>
      <c r="E37" s="602"/>
      <c r="F37" s="857">
        <f t="shared" si="5"/>
        <v>0</v>
      </c>
      <c r="H37" s="780">
        <f t="shared" si="6"/>
        <v>1452</v>
      </c>
      <c r="I37" s="832" t="s">
        <v>71</v>
      </c>
      <c r="J37" s="601"/>
      <c r="K37" s="602"/>
      <c r="L37" s="602"/>
      <c r="M37" s="857">
        <f t="shared" si="7"/>
        <v>0</v>
      </c>
    </row>
    <row r="38" spans="1:13" ht="12">
      <c r="A38" s="780">
        <f t="shared" si="4"/>
        <v>1425</v>
      </c>
      <c r="B38" s="832" t="s">
        <v>72</v>
      </c>
      <c r="C38" s="601"/>
      <c r="D38" s="602"/>
      <c r="E38" s="602"/>
      <c r="F38" s="857">
        <f t="shared" si="5"/>
        <v>0</v>
      </c>
      <c r="H38" s="780">
        <f t="shared" si="6"/>
        <v>1453</v>
      </c>
      <c r="I38" s="832" t="s">
        <v>72</v>
      </c>
      <c r="J38" s="601"/>
      <c r="K38" s="602"/>
      <c r="L38" s="602"/>
      <c r="M38" s="857">
        <f t="shared" si="7"/>
        <v>0</v>
      </c>
    </row>
    <row r="39" spans="1:13" ht="12">
      <c r="A39" s="780">
        <f t="shared" si="4"/>
        <v>1426</v>
      </c>
      <c r="B39" s="832" t="s">
        <v>276</v>
      </c>
      <c r="C39" s="601"/>
      <c r="D39" s="602"/>
      <c r="E39" s="602"/>
      <c r="F39" s="857">
        <f t="shared" si="5"/>
        <v>0</v>
      </c>
      <c r="G39" s="456"/>
      <c r="H39" s="780">
        <f t="shared" si="6"/>
        <v>1454</v>
      </c>
      <c r="I39" s="832" t="s">
        <v>276</v>
      </c>
      <c r="J39" s="601"/>
      <c r="K39" s="602"/>
      <c r="L39" s="602"/>
      <c r="M39" s="857">
        <f t="shared" si="7"/>
        <v>0</v>
      </c>
    </row>
    <row r="40" spans="1:13" ht="12">
      <c r="A40" s="780">
        <f t="shared" si="4"/>
        <v>1427</v>
      </c>
      <c r="B40" s="833" t="s">
        <v>74</v>
      </c>
      <c r="C40" s="601"/>
      <c r="D40" s="602"/>
      <c r="E40" s="834"/>
      <c r="F40" s="857">
        <f t="shared" si="5"/>
        <v>0</v>
      </c>
      <c r="G40" s="456"/>
      <c r="H40" s="780">
        <f t="shared" si="6"/>
        <v>1455</v>
      </c>
      <c r="I40" s="833" t="s">
        <v>74</v>
      </c>
      <c r="J40" s="601"/>
      <c r="K40" s="602"/>
      <c r="L40" s="834"/>
      <c r="M40" s="857">
        <f t="shared" si="7"/>
        <v>0</v>
      </c>
    </row>
    <row r="41" spans="1:13" ht="12">
      <c r="A41" s="780">
        <f>A40+1</f>
        <v>1428</v>
      </c>
      <c r="B41" s="835" t="str">
        <f>CONCATENATE(A31," t/m ",A40)</f>
        <v>1418 t/m 1427</v>
      </c>
      <c r="C41" s="836">
        <f>SUM(C31:C40)</f>
        <v>0</v>
      </c>
      <c r="D41" s="836">
        <f>SUM(D31:D40)</f>
        <v>0</v>
      </c>
      <c r="E41" s="837">
        <f>SUM(E31:E40)</f>
        <v>0</v>
      </c>
      <c r="F41" s="837">
        <f>SUM(F31:F40)</f>
        <v>0</v>
      </c>
      <c r="H41" s="780">
        <f>H40+1</f>
        <v>1456</v>
      </c>
      <c r="I41" s="835" t="str">
        <f>CONCATENATE(H31," t/m ",H40)</f>
        <v>1446 t/m 1455</v>
      </c>
      <c r="J41" s="836">
        <f>SUM(J31:J40)</f>
        <v>0</v>
      </c>
      <c r="K41" s="836">
        <f>SUM(K31:K40)</f>
        <v>0</v>
      </c>
      <c r="L41" s="837">
        <f>SUM(L31:L40)</f>
        <v>0</v>
      </c>
      <c r="M41" s="837">
        <f>SUM(M31:M40)</f>
        <v>0</v>
      </c>
    </row>
    <row r="42" spans="1:15" ht="12.75">
      <c r="A42"/>
      <c r="B42"/>
      <c r="C42"/>
      <c r="D42"/>
      <c r="E42"/>
      <c r="F42"/>
      <c r="G42"/>
      <c r="H42"/>
      <c r="I42"/>
      <c r="J42"/>
      <c r="K42"/>
      <c r="L42"/>
      <c r="M42"/>
      <c r="N42"/>
      <c r="O42"/>
    </row>
    <row r="43" spans="1:13" ht="12">
      <c r="A43" s="677"/>
      <c r="B43" s="42"/>
      <c r="C43" s="42"/>
      <c r="D43" s="42"/>
      <c r="E43" s="42"/>
      <c r="F43" s="42"/>
      <c r="G43" s="608"/>
      <c r="H43" s="677"/>
      <c r="I43" s="42"/>
      <c r="J43" s="42"/>
      <c r="K43" s="42"/>
      <c r="L43" s="42"/>
      <c r="M43" s="42"/>
    </row>
    <row r="44" spans="1:13" ht="15.75" customHeight="1">
      <c r="A44" s="622" t="str">
        <f>Inhoud!$A$2</f>
        <v>Nacalculatieformulier 2004 GGZ-instellingen</v>
      </c>
      <c r="B44" s="637"/>
      <c r="C44" s="639"/>
      <c r="D44" s="640"/>
      <c r="E44" s="640"/>
      <c r="F44" s="640"/>
      <c r="G44" s="640" t="b">
        <f>Voorblad!E28</f>
        <v>1</v>
      </c>
      <c r="H44" s="640"/>
      <c r="I44" s="640"/>
      <c r="J44" s="640"/>
      <c r="K44" s="640"/>
      <c r="L44" s="640"/>
      <c r="M44" s="1302">
        <f>M2+1</f>
        <v>15</v>
      </c>
    </row>
    <row r="45" spans="1:13" ht="12">
      <c r="A45" s="677"/>
      <c r="B45" s="42"/>
      <c r="C45" s="42"/>
      <c r="D45" s="42"/>
      <c r="E45" s="42"/>
      <c r="F45" s="42"/>
      <c r="G45" s="608"/>
      <c r="H45" s="677"/>
      <c r="I45" s="42"/>
      <c r="J45" s="42"/>
      <c r="K45" s="42"/>
      <c r="L45" s="42"/>
      <c r="M45" s="42"/>
    </row>
    <row r="46" spans="1:13" ht="12">
      <c r="A46" s="14" t="s">
        <v>291</v>
      </c>
      <c r="B46" s="682" t="s">
        <v>524</v>
      </c>
      <c r="C46" s="683"/>
      <c r="D46" s="42"/>
      <c r="E46" s="42"/>
      <c r="F46" s="42"/>
      <c r="G46" s="42"/>
      <c r="H46" s="608"/>
      <c r="I46" s="608"/>
      <c r="J46" s="608"/>
      <c r="K46" s="662"/>
      <c r="L46" s="608"/>
      <c r="M46" s="608"/>
    </row>
    <row r="47" spans="1:13" ht="12">
      <c r="A47" s="677"/>
      <c r="B47" s="1613" t="s">
        <v>411</v>
      </c>
      <c r="C47" s="1614"/>
      <c r="D47" s="1614"/>
      <c r="E47" s="1614"/>
      <c r="F47" s="1615"/>
      <c r="G47" s="608"/>
      <c r="H47" s="677"/>
      <c r="I47" s="1613" t="s">
        <v>412</v>
      </c>
      <c r="J47" s="1614"/>
      <c r="K47" s="1614"/>
      <c r="L47" s="1614"/>
      <c r="M47" s="1615"/>
    </row>
    <row r="48" spans="1:13" ht="12.75" customHeight="1">
      <c r="A48" s="780">
        <f>(100*M44)+1</f>
        <v>1501</v>
      </c>
      <c r="B48" s="1616"/>
      <c r="C48" s="1611"/>
      <c r="D48" s="1611"/>
      <c r="E48" s="1611"/>
      <c r="F48" s="1612"/>
      <c r="H48" s="780">
        <f>A80+1</f>
        <v>1525</v>
      </c>
      <c r="I48" s="1611"/>
      <c r="J48" s="1611"/>
      <c r="K48" s="1611"/>
      <c r="L48" s="1611"/>
      <c r="M48" s="1612"/>
    </row>
    <row r="49" spans="1:13" ht="12">
      <c r="A49" s="632"/>
      <c r="B49" s="1627" t="s">
        <v>404</v>
      </c>
      <c r="C49" s="1628"/>
      <c r="D49" s="598" t="s">
        <v>91</v>
      </c>
      <c r="E49" s="1629" t="s">
        <v>406</v>
      </c>
      <c r="F49" s="1630"/>
      <c r="G49" s="515"/>
      <c r="H49" s="632"/>
      <c r="I49" s="1627" t="s">
        <v>404</v>
      </c>
      <c r="J49" s="1628"/>
      <c r="K49" s="598" t="s">
        <v>91</v>
      </c>
      <c r="L49" s="1629" t="s">
        <v>406</v>
      </c>
      <c r="M49" s="1630"/>
    </row>
    <row r="50" spans="1:13" ht="12">
      <c r="A50" s="780">
        <f>A48+1</f>
        <v>1502</v>
      </c>
      <c r="B50" s="1621"/>
      <c r="C50" s="1622"/>
      <c r="D50" s="570"/>
      <c r="E50" s="1623"/>
      <c r="F50" s="1624"/>
      <c r="G50" s="585"/>
      <c r="H50" s="780">
        <f>H48+1</f>
        <v>1526</v>
      </c>
      <c r="I50" s="1621"/>
      <c r="J50" s="1622"/>
      <c r="K50" s="570"/>
      <c r="L50" s="1623"/>
      <c r="M50" s="1624"/>
    </row>
    <row r="51" spans="1:13" ht="12">
      <c r="A51" s="780">
        <f>A50+1</f>
        <v>1503</v>
      </c>
      <c r="B51" s="1625"/>
      <c r="C51" s="1626"/>
      <c r="D51" s="571"/>
      <c r="E51" s="1619"/>
      <c r="F51" s="1620"/>
      <c r="G51" s="585"/>
      <c r="H51" s="780">
        <f>H50+1</f>
        <v>1527</v>
      </c>
      <c r="I51" s="1625"/>
      <c r="J51" s="1626"/>
      <c r="K51" s="571"/>
      <c r="L51" s="1619"/>
      <c r="M51" s="1620"/>
    </row>
    <row r="52" spans="1:13" ht="12">
      <c r="A52" s="649"/>
      <c r="B52" s="855"/>
      <c r="C52" s="1291" t="s">
        <v>103</v>
      </c>
      <c r="D52" s="1286" t="s">
        <v>219</v>
      </c>
      <c r="E52" s="686" t="s">
        <v>118</v>
      </c>
      <c r="F52" s="686" t="s">
        <v>191</v>
      </c>
      <c r="G52" s="178"/>
      <c r="H52" s="649"/>
      <c r="I52" s="855"/>
      <c r="J52" s="1291" t="s">
        <v>103</v>
      </c>
      <c r="K52" s="1286" t="s">
        <v>219</v>
      </c>
      <c r="L52" s="685" t="s">
        <v>118</v>
      </c>
      <c r="M52" s="686" t="s">
        <v>191</v>
      </c>
    </row>
    <row r="53" spans="1:13" ht="12">
      <c r="A53" s="649"/>
      <c r="B53" s="856"/>
      <c r="C53" s="1292" t="s">
        <v>407</v>
      </c>
      <c r="D53" s="1293" t="s">
        <v>220</v>
      </c>
      <c r="E53" s="687">
        <f>Voorblad!E3</f>
        <v>2004</v>
      </c>
      <c r="F53" s="687">
        <f>Voorblad!E3+1</f>
        <v>2005</v>
      </c>
      <c r="G53" s="178"/>
      <c r="H53" s="649"/>
      <c r="I53" s="856"/>
      <c r="J53" s="1292" t="s">
        <v>407</v>
      </c>
      <c r="K53" s="1293" t="s">
        <v>220</v>
      </c>
      <c r="L53" s="687">
        <f>Voorblad!E3</f>
        <v>2004</v>
      </c>
      <c r="M53" s="687">
        <f>Voorblad!E3+1</f>
        <v>2005</v>
      </c>
    </row>
    <row r="54" spans="1:13" ht="12">
      <c r="A54" s="780">
        <f>A51+1</f>
        <v>1504</v>
      </c>
      <c r="B54" s="797" t="s">
        <v>273</v>
      </c>
      <c r="C54" s="599"/>
      <c r="D54" s="600"/>
      <c r="E54" s="600"/>
      <c r="F54" s="858">
        <f>D54-E54</f>
        <v>0</v>
      </c>
      <c r="H54" s="780">
        <f>H51+1</f>
        <v>1528</v>
      </c>
      <c r="I54" s="797" t="s">
        <v>273</v>
      </c>
      <c r="J54" s="599"/>
      <c r="K54" s="600"/>
      <c r="L54" s="600"/>
      <c r="M54" s="858">
        <f>K54-L54</f>
        <v>0</v>
      </c>
    </row>
    <row r="55" spans="1:13" ht="12">
      <c r="A55" s="780">
        <f aca="true" t="shared" si="8" ref="A55:A63">A54+1</f>
        <v>1505</v>
      </c>
      <c r="B55" s="832" t="s">
        <v>68</v>
      </c>
      <c r="C55" s="601"/>
      <c r="D55" s="602"/>
      <c r="E55" s="602"/>
      <c r="F55" s="857">
        <f aca="true" t="shared" si="9" ref="F55:F63">D55-E55</f>
        <v>0</v>
      </c>
      <c r="H55" s="780">
        <f aca="true" t="shared" si="10" ref="H55:H63">H54+1</f>
        <v>1529</v>
      </c>
      <c r="I55" s="832" t="s">
        <v>68</v>
      </c>
      <c r="J55" s="601"/>
      <c r="K55" s="602"/>
      <c r="L55" s="602"/>
      <c r="M55" s="857">
        <f aca="true" t="shared" si="11" ref="M55:M63">K55-L55</f>
        <v>0</v>
      </c>
    </row>
    <row r="56" spans="1:13" ht="12">
      <c r="A56" s="780">
        <f t="shared" si="8"/>
        <v>1506</v>
      </c>
      <c r="B56" s="832" t="s">
        <v>274</v>
      </c>
      <c r="C56" s="601"/>
      <c r="D56" s="602"/>
      <c r="E56" s="602"/>
      <c r="F56" s="857">
        <f t="shared" si="9"/>
        <v>0</v>
      </c>
      <c r="H56" s="780">
        <f t="shared" si="10"/>
        <v>1530</v>
      </c>
      <c r="I56" s="832" t="s">
        <v>274</v>
      </c>
      <c r="J56" s="601"/>
      <c r="K56" s="602"/>
      <c r="L56" s="602"/>
      <c r="M56" s="857">
        <f t="shared" si="11"/>
        <v>0</v>
      </c>
    </row>
    <row r="57" spans="1:13" ht="12">
      <c r="A57" s="780">
        <f t="shared" si="8"/>
        <v>1507</v>
      </c>
      <c r="B57" s="832" t="s">
        <v>69</v>
      </c>
      <c r="C57" s="601"/>
      <c r="D57" s="602"/>
      <c r="E57" s="602"/>
      <c r="F57" s="857">
        <f t="shared" si="9"/>
        <v>0</v>
      </c>
      <c r="H57" s="780">
        <f t="shared" si="10"/>
        <v>1531</v>
      </c>
      <c r="I57" s="832" t="s">
        <v>69</v>
      </c>
      <c r="J57" s="601"/>
      <c r="K57" s="602"/>
      <c r="L57" s="602"/>
      <c r="M57" s="857">
        <f t="shared" si="11"/>
        <v>0</v>
      </c>
    </row>
    <row r="58" spans="1:13" ht="12">
      <c r="A58" s="780">
        <f t="shared" si="8"/>
        <v>1508</v>
      </c>
      <c r="B58" s="832" t="s">
        <v>70</v>
      </c>
      <c r="C58" s="601"/>
      <c r="D58" s="602"/>
      <c r="E58" s="602"/>
      <c r="F58" s="857">
        <f t="shared" si="9"/>
        <v>0</v>
      </c>
      <c r="H58" s="780">
        <f t="shared" si="10"/>
        <v>1532</v>
      </c>
      <c r="I58" s="832" t="s">
        <v>70</v>
      </c>
      <c r="J58" s="601"/>
      <c r="K58" s="602"/>
      <c r="L58" s="602"/>
      <c r="M58" s="857">
        <f t="shared" si="11"/>
        <v>0</v>
      </c>
    </row>
    <row r="59" spans="1:13" ht="12">
      <c r="A59" s="780">
        <f t="shared" si="8"/>
        <v>1509</v>
      </c>
      <c r="B59" s="832" t="s">
        <v>275</v>
      </c>
      <c r="C59" s="601"/>
      <c r="D59" s="602"/>
      <c r="E59" s="602"/>
      <c r="F59" s="857">
        <f t="shared" si="9"/>
        <v>0</v>
      </c>
      <c r="H59" s="780">
        <f t="shared" si="10"/>
        <v>1533</v>
      </c>
      <c r="I59" s="832" t="s">
        <v>275</v>
      </c>
      <c r="J59" s="601"/>
      <c r="K59" s="602"/>
      <c r="L59" s="602"/>
      <c r="M59" s="857">
        <f t="shared" si="11"/>
        <v>0</v>
      </c>
    </row>
    <row r="60" spans="1:13" ht="12">
      <c r="A60" s="780">
        <f t="shared" si="8"/>
        <v>1510</v>
      </c>
      <c r="B60" s="832" t="s">
        <v>71</v>
      </c>
      <c r="C60" s="601"/>
      <c r="D60" s="602"/>
      <c r="E60" s="602"/>
      <c r="F60" s="857">
        <f t="shared" si="9"/>
        <v>0</v>
      </c>
      <c r="H60" s="780">
        <f t="shared" si="10"/>
        <v>1534</v>
      </c>
      <c r="I60" s="832" t="s">
        <v>71</v>
      </c>
      <c r="J60" s="601"/>
      <c r="K60" s="602"/>
      <c r="L60" s="602"/>
      <c r="M60" s="857">
        <f t="shared" si="11"/>
        <v>0</v>
      </c>
    </row>
    <row r="61" spans="1:13" ht="12">
      <c r="A61" s="780">
        <f t="shared" si="8"/>
        <v>1511</v>
      </c>
      <c r="B61" s="832" t="s">
        <v>72</v>
      </c>
      <c r="C61" s="601"/>
      <c r="D61" s="602"/>
      <c r="E61" s="602"/>
      <c r="F61" s="857">
        <f t="shared" si="9"/>
        <v>0</v>
      </c>
      <c r="H61" s="780">
        <f t="shared" si="10"/>
        <v>1535</v>
      </c>
      <c r="I61" s="832" t="s">
        <v>72</v>
      </c>
      <c r="J61" s="601"/>
      <c r="K61" s="602"/>
      <c r="L61" s="602"/>
      <c r="M61" s="857">
        <f t="shared" si="11"/>
        <v>0</v>
      </c>
    </row>
    <row r="62" spans="1:13" ht="12">
      <c r="A62" s="780">
        <f t="shared" si="8"/>
        <v>1512</v>
      </c>
      <c r="B62" s="832" t="s">
        <v>276</v>
      </c>
      <c r="C62" s="601"/>
      <c r="D62" s="602"/>
      <c r="E62" s="602"/>
      <c r="F62" s="857">
        <f t="shared" si="9"/>
        <v>0</v>
      </c>
      <c r="H62" s="780">
        <f t="shared" si="10"/>
        <v>1536</v>
      </c>
      <c r="I62" s="832" t="s">
        <v>276</v>
      </c>
      <c r="J62" s="601"/>
      <c r="K62" s="602"/>
      <c r="L62" s="602"/>
      <c r="M62" s="857">
        <f t="shared" si="11"/>
        <v>0</v>
      </c>
    </row>
    <row r="63" spans="1:13" ht="12">
      <c r="A63" s="780">
        <f t="shared" si="8"/>
        <v>1513</v>
      </c>
      <c r="B63" s="833" t="s">
        <v>74</v>
      </c>
      <c r="C63" s="601"/>
      <c r="D63" s="602"/>
      <c r="E63" s="834"/>
      <c r="F63" s="857">
        <f t="shared" si="9"/>
        <v>0</v>
      </c>
      <c r="H63" s="780">
        <f t="shared" si="10"/>
        <v>1537</v>
      </c>
      <c r="I63" s="833" t="s">
        <v>74</v>
      </c>
      <c r="J63" s="601"/>
      <c r="K63" s="602"/>
      <c r="L63" s="834"/>
      <c r="M63" s="857">
        <f t="shared" si="11"/>
        <v>0</v>
      </c>
    </row>
    <row r="64" spans="1:13" ht="12">
      <c r="A64" s="780">
        <f>A63+1</f>
        <v>1514</v>
      </c>
      <c r="B64" s="835" t="str">
        <f>CONCATENATE(A54," t/m ",A63)</f>
        <v>1504 t/m 1513</v>
      </c>
      <c r="C64" s="836">
        <f>SUM(C54:C63)</f>
        <v>0</v>
      </c>
      <c r="D64" s="836">
        <f>SUM(D54:D63)</f>
        <v>0</v>
      </c>
      <c r="E64" s="837">
        <f>SUM(E54:E63)</f>
        <v>0</v>
      </c>
      <c r="F64" s="837">
        <f>SUM(F54:F63)</f>
        <v>0</v>
      </c>
      <c r="H64" s="780">
        <f>H63+1</f>
        <v>1538</v>
      </c>
      <c r="I64" s="835" t="str">
        <f>CONCATENATE(H54," t/m ",H63)</f>
        <v>1528 t/m 1537</v>
      </c>
      <c r="J64" s="836">
        <f>SUM(J54:J63)</f>
        <v>0</v>
      </c>
      <c r="K64" s="836">
        <f>SUM(K54:K63)</f>
        <v>0</v>
      </c>
      <c r="L64" s="837">
        <f>SUM(L54:L63)</f>
        <v>0</v>
      </c>
      <c r="M64" s="837">
        <f>SUM(M54:M63)</f>
        <v>0</v>
      </c>
    </row>
    <row r="65" spans="1:13" ht="12">
      <c r="A65" s="677"/>
      <c r="B65" s="42"/>
      <c r="C65" s="42"/>
      <c r="D65" s="42"/>
      <c r="E65" s="42"/>
      <c r="F65" s="42"/>
      <c r="G65" s="608"/>
      <c r="H65" s="677"/>
      <c r="I65" s="42"/>
      <c r="J65" s="42"/>
      <c r="K65" s="42"/>
      <c r="L65" s="42"/>
      <c r="M65" s="42"/>
    </row>
    <row r="66" spans="1:13" ht="12">
      <c r="A66" s="677"/>
      <c r="B66" s="42"/>
      <c r="C66" s="42"/>
      <c r="D66" s="42"/>
      <c r="E66" s="42"/>
      <c r="F66" s="42"/>
      <c r="G66" s="608"/>
      <c r="H66" s="780">
        <f>H64+1</f>
        <v>1539</v>
      </c>
      <c r="I66" s="835" t="str">
        <f>CONCATENATE("Totaal ",Voorblad!E3,)</f>
        <v>Totaal 2004</v>
      </c>
      <c r="J66" s="838">
        <f>C22+C41+J22+J41+C64+J64</f>
        <v>0</v>
      </c>
      <c r="K66" s="838">
        <f>D22+D41+K22+K41+D64+K64</f>
        <v>0</v>
      </c>
      <c r="L66" s="838">
        <f>E22+E41+L22+L41+E64+L64</f>
        <v>0</v>
      </c>
      <c r="M66" s="838">
        <f>F22+F41+M22+M41+F64+M64</f>
        <v>0</v>
      </c>
    </row>
    <row r="67" spans="1:13" ht="12">
      <c r="A67" s="677"/>
      <c r="B67" s="42"/>
      <c r="C67" s="42"/>
      <c r="D67" s="42"/>
      <c r="E67" s="42"/>
      <c r="F67" s="42"/>
      <c r="G67" s="608"/>
      <c r="H67" s="677"/>
      <c r="I67" s="42"/>
      <c r="J67" s="42"/>
      <c r="K67" s="42"/>
      <c r="L67" s="42"/>
      <c r="M67" s="42"/>
    </row>
    <row r="68" spans="1:13" ht="13.5">
      <c r="A68" s="14" t="s">
        <v>449</v>
      </c>
      <c r="B68" s="682" t="s">
        <v>805</v>
      </c>
      <c r="C68" s="42"/>
      <c r="D68" s="1386">
        <v>1</v>
      </c>
      <c r="E68" s="42"/>
      <c r="F68" s="42"/>
      <c r="G68" s="608"/>
      <c r="H68" s="677"/>
      <c r="I68" s="42"/>
      <c r="J68" s="42"/>
      <c r="K68" s="42"/>
      <c r="L68" s="42"/>
      <c r="M68" s="42"/>
    </row>
    <row r="69" spans="1:13" ht="12" customHeight="1">
      <c r="A69" s="41"/>
      <c r="B69" s="1598" t="s">
        <v>809</v>
      </c>
      <c r="C69" s="1634"/>
      <c r="D69" s="1124" t="s">
        <v>806</v>
      </c>
      <c r="E69" s="1124" t="s">
        <v>808</v>
      </c>
      <c r="F69" s="1590" t="s">
        <v>816</v>
      </c>
      <c r="G69" s="1591"/>
      <c r="H69" s="1598" t="s">
        <v>810</v>
      </c>
      <c r="I69" s="1599"/>
      <c r="J69" s="1124" t="s">
        <v>813</v>
      </c>
      <c r="K69" s="1124" t="s">
        <v>811</v>
      </c>
      <c r="L69" s="1598" t="s">
        <v>814</v>
      </c>
      <c r="M69" s="1606"/>
    </row>
    <row r="70" spans="1:13" ht="12" customHeight="1">
      <c r="A70" s="41"/>
      <c r="B70" s="1380"/>
      <c r="C70" s="1159"/>
      <c r="D70" s="1379" t="s">
        <v>807</v>
      </c>
      <c r="E70" s="1379"/>
      <c r="F70" s="1592" t="s">
        <v>22</v>
      </c>
      <c r="G70" s="1593"/>
      <c r="H70" s="1600"/>
      <c r="I70" s="1601"/>
      <c r="J70" s="1379" t="s">
        <v>817</v>
      </c>
      <c r="K70" s="1379" t="s">
        <v>812</v>
      </c>
      <c r="L70" s="1381"/>
      <c r="M70" s="1382"/>
    </row>
    <row r="71" spans="1:13" ht="12.75">
      <c r="A71" s="780">
        <f>A64+1</f>
        <v>1515</v>
      </c>
      <c r="B71" s="1635"/>
      <c r="C71" s="1636"/>
      <c r="D71" s="599"/>
      <c r="E71" s="599"/>
      <c r="F71" s="1594"/>
      <c r="G71" s="1595"/>
      <c r="H71" s="1602"/>
      <c r="I71" s="1603"/>
      <c r="J71" s="599"/>
      <c r="K71" s="857">
        <f>H71-E71-J71</f>
        <v>0</v>
      </c>
      <c r="L71" s="1607"/>
      <c r="M71" s="1608"/>
    </row>
    <row r="72" spans="1:13" ht="12.75">
      <c r="A72" s="780">
        <f aca="true" t="shared" si="12" ref="A72:A80">A71+1</f>
        <v>1516</v>
      </c>
      <c r="B72" s="1631"/>
      <c r="C72" s="1531"/>
      <c r="D72" s="601"/>
      <c r="E72" s="601"/>
      <c r="F72" s="1596"/>
      <c r="G72" s="1597"/>
      <c r="H72" s="1604"/>
      <c r="I72" s="1605"/>
      <c r="J72" s="601"/>
      <c r="K72" s="857">
        <f>H72-E72-J72</f>
        <v>0</v>
      </c>
      <c r="L72" s="1589"/>
      <c r="M72" s="1531"/>
    </row>
    <row r="73" spans="1:13" ht="12.75">
      <c r="A73" s="780">
        <f t="shared" si="12"/>
        <v>1517</v>
      </c>
      <c r="B73" s="1631"/>
      <c r="C73" s="1531"/>
      <c r="D73" s="601"/>
      <c r="E73" s="601"/>
      <c r="F73" s="1596"/>
      <c r="G73" s="1597"/>
      <c r="H73" s="1604"/>
      <c r="I73" s="1605"/>
      <c r="J73" s="601"/>
      <c r="K73" s="857">
        <f aca="true" t="shared" si="13" ref="K73:K79">H73-E73-J73</f>
        <v>0</v>
      </c>
      <c r="L73" s="1589"/>
      <c r="M73" s="1531"/>
    </row>
    <row r="74" spans="1:13" ht="12.75">
      <c r="A74" s="780">
        <f t="shared" si="12"/>
        <v>1518</v>
      </c>
      <c r="B74" s="1631"/>
      <c r="C74" s="1531"/>
      <c r="D74" s="601"/>
      <c r="E74" s="601"/>
      <c r="F74" s="1596"/>
      <c r="G74" s="1597"/>
      <c r="H74" s="1604"/>
      <c r="I74" s="1605"/>
      <c r="J74" s="601"/>
      <c r="K74" s="857">
        <f t="shared" si="13"/>
        <v>0</v>
      </c>
      <c r="L74" s="1589"/>
      <c r="M74" s="1531"/>
    </row>
    <row r="75" spans="1:13" ht="12.75">
      <c r="A75" s="780">
        <f t="shared" si="12"/>
        <v>1519</v>
      </c>
      <c r="B75" s="1631"/>
      <c r="C75" s="1531"/>
      <c r="D75" s="601"/>
      <c r="E75" s="601"/>
      <c r="F75" s="1596"/>
      <c r="G75" s="1597"/>
      <c r="H75" s="1604"/>
      <c r="I75" s="1605"/>
      <c r="J75" s="601"/>
      <c r="K75" s="857">
        <f t="shared" si="13"/>
        <v>0</v>
      </c>
      <c r="L75" s="1589"/>
      <c r="M75" s="1531"/>
    </row>
    <row r="76" spans="1:13" ht="12.75">
      <c r="A76" s="780">
        <f t="shared" si="12"/>
        <v>1520</v>
      </c>
      <c r="B76" s="1631"/>
      <c r="C76" s="1531"/>
      <c r="D76" s="601"/>
      <c r="E76" s="601"/>
      <c r="F76" s="1596"/>
      <c r="G76" s="1597"/>
      <c r="H76" s="1604"/>
      <c r="I76" s="1605"/>
      <c r="J76" s="601"/>
      <c r="K76" s="857">
        <f t="shared" si="13"/>
        <v>0</v>
      </c>
      <c r="L76" s="1589"/>
      <c r="M76" s="1531"/>
    </row>
    <row r="77" spans="1:13" ht="12.75">
      <c r="A77" s="780">
        <f t="shared" si="12"/>
        <v>1521</v>
      </c>
      <c r="B77" s="1631"/>
      <c r="C77" s="1531"/>
      <c r="D77" s="601"/>
      <c r="E77" s="601"/>
      <c r="F77" s="1596"/>
      <c r="G77" s="1597"/>
      <c r="H77" s="1604"/>
      <c r="I77" s="1605"/>
      <c r="J77" s="601"/>
      <c r="K77" s="857">
        <f t="shared" si="13"/>
        <v>0</v>
      </c>
      <c r="L77" s="1589"/>
      <c r="M77" s="1531"/>
    </row>
    <row r="78" spans="1:13" ht="12.75">
      <c r="A78" s="780">
        <f t="shared" si="12"/>
        <v>1522</v>
      </c>
      <c r="B78" s="1631"/>
      <c r="C78" s="1531"/>
      <c r="D78" s="601"/>
      <c r="E78" s="601"/>
      <c r="F78" s="1596"/>
      <c r="G78" s="1597"/>
      <c r="H78" s="1604"/>
      <c r="I78" s="1605"/>
      <c r="J78" s="601"/>
      <c r="K78" s="857">
        <f t="shared" si="13"/>
        <v>0</v>
      </c>
      <c r="L78" s="1589"/>
      <c r="M78" s="1531"/>
    </row>
    <row r="79" spans="1:13" ht="12.75">
      <c r="A79" s="808">
        <f t="shared" si="12"/>
        <v>1523</v>
      </c>
      <c r="B79" s="1631"/>
      <c r="C79" s="1531"/>
      <c r="D79" s="601"/>
      <c r="E79" s="601"/>
      <c r="F79" s="1596"/>
      <c r="G79" s="1597"/>
      <c r="H79" s="1604"/>
      <c r="I79" s="1605"/>
      <c r="J79" s="601"/>
      <c r="K79" s="857">
        <f t="shared" si="13"/>
        <v>0</v>
      </c>
      <c r="L79" s="1589"/>
      <c r="M79" s="1531"/>
    </row>
    <row r="80" spans="1:11" ht="12.75">
      <c r="A80" s="780">
        <f t="shared" si="12"/>
        <v>1524</v>
      </c>
      <c r="B80" s="781" t="str">
        <f>CONCATENATE(A71," t/m ",A79)</f>
        <v>1515 t/m 1523</v>
      </c>
      <c r="C80" s="1383"/>
      <c r="D80" s="1387">
        <f>SUM(D71:D79)</f>
        <v>0</v>
      </c>
      <c r="E80" s="837">
        <f>SUM(E71:E79)</f>
        <v>0</v>
      </c>
      <c r="F80" s="1384"/>
      <c r="G80" s="1385"/>
      <c r="H80" s="1632">
        <f>SUM(H71:I79)</f>
        <v>0</v>
      </c>
      <c r="I80" s="1633"/>
      <c r="J80" s="837">
        <f>SUM(J71:J79)</f>
        <v>0</v>
      </c>
      <c r="K80" s="837">
        <f>SUM(K71:K79)</f>
        <v>0</v>
      </c>
    </row>
    <row r="81" ht="13.5">
      <c r="B81" s="1327" t="s">
        <v>815</v>
      </c>
    </row>
    <row r="82" ht="13.5">
      <c r="B82" s="1327" t="s">
        <v>648</v>
      </c>
    </row>
    <row r="83" ht="13.5">
      <c r="B83" s="1327" t="s">
        <v>619</v>
      </c>
    </row>
  </sheetData>
  <sheetProtection password="C281" sheet="1" objects="1" scenarios="1"/>
  <mergeCells count="91">
    <mergeCell ref="B79:C79"/>
    <mergeCell ref="H80:I80"/>
    <mergeCell ref="B69:C69"/>
    <mergeCell ref="B71:C71"/>
    <mergeCell ref="B72:C72"/>
    <mergeCell ref="B73:C73"/>
    <mergeCell ref="B74:C74"/>
    <mergeCell ref="B75:C75"/>
    <mergeCell ref="B76:C76"/>
    <mergeCell ref="B77:C77"/>
    <mergeCell ref="B78:C78"/>
    <mergeCell ref="B51:C51"/>
    <mergeCell ref="E51:F51"/>
    <mergeCell ref="I51:J51"/>
    <mergeCell ref="F78:G78"/>
    <mergeCell ref="F77:G77"/>
    <mergeCell ref="L51:M51"/>
    <mergeCell ref="B50:C50"/>
    <mergeCell ref="E50:F50"/>
    <mergeCell ref="I50:J50"/>
    <mergeCell ref="L50:M50"/>
    <mergeCell ref="I6:M6"/>
    <mergeCell ref="I7:J7"/>
    <mergeCell ref="B49:C49"/>
    <mergeCell ref="E49:F49"/>
    <mergeCell ref="I49:J49"/>
    <mergeCell ref="L49:M49"/>
    <mergeCell ref="B27:C27"/>
    <mergeCell ref="B48:F48"/>
    <mergeCell ref="L26:M26"/>
    <mergeCell ref="E8:F8"/>
    <mergeCell ref="B5:F5"/>
    <mergeCell ref="I9:J9"/>
    <mergeCell ref="B47:F47"/>
    <mergeCell ref="I47:M47"/>
    <mergeCell ref="B28:C28"/>
    <mergeCell ref="E28:F28"/>
    <mergeCell ref="I5:M5"/>
    <mergeCell ref="L7:M7"/>
    <mergeCell ref="L8:M8"/>
    <mergeCell ref="B8:C8"/>
    <mergeCell ref="I8:J8"/>
    <mergeCell ref="E26:F26"/>
    <mergeCell ref="B6:F6"/>
    <mergeCell ref="E27:F27"/>
    <mergeCell ref="E9:F9"/>
    <mergeCell ref="B9:C9"/>
    <mergeCell ref="B24:F24"/>
    <mergeCell ref="B25:F25"/>
    <mergeCell ref="B26:C26"/>
    <mergeCell ref="B7:C7"/>
    <mergeCell ref="E7:F7"/>
    <mergeCell ref="I48:M48"/>
    <mergeCell ref="I24:M24"/>
    <mergeCell ref="I25:M25"/>
    <mergeCell ref="I26:J26"/>
    <mergeCell ref="L9:M9"/>
    <mergeCell ref="I27:J27"/>
    <mergeCell ref="L27:M27"/>
    <mergeCell ref="I28:J28"/>
    <mergeCell ref="L28:M28"/>
    <mergeCell ref="L69:M69"/>
    <mergeCell ref="H76:I76"/>
    <mergeCell ref="H77:I77"/>
    <mergeCell ref="H78:I78"/>
    <mergeCell ref="L75:M75"/>
    <mergeCell ref="L76:M76"/>
    <mergeCell ref="L77:M77"/>
    <mergeCell ref="L78:M78"/>
    <mergeCell ref="L71:M71"/>
    <mergeCell ref="L72:M72"/>
    <mergeCell ref="F79:G79"/>
    <mergeCell ref="H69:I69"/>
    <mergeCell ref="H70:I70"/>
    <mergeCell ref="H71:I71"/>
    <mergeCell ref="H72:I72"/>
    <mergeCell ref="H73:I73"/>
    <mergeCell ref="H74:I74"/>
    <mergeCell ref="H75:I75"/>
    <mergeCell ref="H79:I79"/>
    <mergeCell ref="F76:G76"/>
    <mergeCell ref="L73:M73"/>
    <mergeCell ref="L74:M74"/>
    <mergeCell ref="L79:M79"/>
    <mergeCell ref="F69:G69"/>
    <mergeCell ref="F70:G70"/>
    <mergeCell ref="F71:G71"/>
    <mergeCell ref="F72:G72"/>
    <mergeCell ref="F73:G73"/>
    <mergeCell ref="F74:G74"/>
    <mergeCell ref="F75:G75"/>
  </mergeCells>
  <conditionalFormatting sqref="L71:L79 I6:M6 B6:F6 B8:F9 B71:B79 I8:M9 C12:E21 B25:F25 I25:M25 B27:F28 I27:M28 J12:L21 C31:E40 B48:F48 J54:L63 B50:F51 J31:L40 I48:M48 I50:M51 H71:J79 D71:F79 C54:E63">
    <cfRule type="expression" priority="1" dxfId="2" stopIfTrue="1">
      <formula>$H$2=TRUE</formula>
    </cfRule>
  </conditionalFormatting>
  <printOptions/>
  <pageMargins left="0.3937007874015748" right="0.3937007874015748" top="0.3937007874015748" bottom="0.3937007874015748" header="0.6299212598425197" footer="0.11811023622047245"/>
  <pageSetup horizontalDpi="300" verticalDpi="300" orientation="landscape" paperSize="9" scale="95" r:id="rId2"/>
  <headerFooter alignWithMargins="0">
    <oddHeader xml:space="preserve">&amp;R&amp;9 </oddHeader>
  </headerFooter>
  <rowBreaks count="1" manualBreakCount="1">
    <brk id="42" max="255" man="1"/>
  </rowBreaks>
  <drawing r:id="rId1"/>
</worksheet>
</file>

<file path=xl/worksheets/sheet9.xml><?xml version="1.0" encoding="utf-8"?>
<worksheet xmlns="http://schemas.openxmlformats.org/spreadsheetml/2006/main" xmlns:r="http://schemas.openxmlformats.org/officeDocument/2006/relationships">
  <sheetPr codeName="Blad9"/>
  <dimension ref="A1:M95"/>
  <sheetViews>
    <sheetView showGridLines="0" zoomScale="86" zoomScaleNormal="86" workbookViewId="0" topLeftCell="A47">
      <selection activeCell="G64" sqref="G64"/>
    </sheetView>
  </sheetViews>
  <sheetFormatPr defaultColWidth="9.140625" defaultRowHeight="12.75"/>
  <cols>
    <col min="1" max="1" width="5.7109375" style="467" customWidth="1"/>
    <col min="2" max="9" width="13.421875" style="456" customWidth="1"/>
    <col min="10" max="10" width="7.140625" style="456" customWidth="1"/>
    <col min="11" max="11" width="5.7109375" style="453" customWidth="1"/>
    <col min="12" max="12" width="7.421875" style="453" customWidth="1"/>
    <col min="13" max="13" width="7.57421875" style="453" customWidth="1"/>
    <col min="14" max="16" width="10.7109375" style="453" customWidth="1"/>
    <col min="17" max="24" width="9.140625" style="453" customWidth="1"/>
    <col min="25" max="25" width="1.7109375" style="453" customWidth="1"/>
    <col min="26" max="16384" width="9.140625" style="453" customWidth="1"/>
  </cols>
  <sheetData>
    <row r="1" spans="1:11" ht="15.75" customHeight="1">
      <c r="A1" s="677"/>
      <c r="B1" s="42"/>
      <c r="C1" s="42"/>
      <c r="D1" s="42"/>
      <c r="E1" s="42"/>
      <c r="F1" s="42"/>
      <c r="G1" s="42"/>
      <c r="H1" s="42"/>
      <c r="I1" s="42"/>
      <c r="J1" s="42"/>
      <c r="K1" s="608"/>
    </row>
    <row r="2" spans="1:13" s="515" customFormat="1" ht="15.75" customHeight="1">
      <c r="A2" s="622" t="str">
        <f>Inhoud!$A$2</f>
        <v>Nacalculatieformulier 2004 GGZ-instellingen</v>
      </c>
      <c r="B2" s="637"/>
      <c r="C2" s="639"/>
      <c r="D2" s="637"/>
      <c r="E2" s="637"/>
      <c r="F2" s="546"/>
      <c r="G2" s="640" t="b">
        <f>Voorblad!E28</f>
        <v>1</v>
      </c>
      <c r="H2" s="639"/>
      <c r="I2" s="639"/>
      <c r="J2" s="622"/>
      <c r="K2" s="546"/>
      <c r="L2" s="546"/>
      <c r="M2" s="1302">
        <f>WZV!M44+1</f>
        <v>16</v>
      </c>
    </row>
    <row r="3" spans="1:11" ht="7.5" customHeight="1">
      <c r="A3" s="677"/>
      <c r="B3" s="42"/>
      <c r="C3" s="42"/>
      <c r="D3" s="42"/>
      <c r="E3" s="42"/>
      <c r="F3" s="42"/>
      <c r="G3" s="42"/>
      <c r="H3" s="42"/>
      <c r="I3" s="42"/>
      <c r="J3" s="42"/>
      <c r="K3" s="608"/>
    </row>
    <row r="4" spans="1:11" s="515" customFormat="1" ht="12.75" customHeight="1">
      <c r="A4" s="14" t="s">
        <v>450</v>
      </c>
      <c r="B4" s="690" t="s">
        <v>425</v>
      </c>
      <c r="C4" s="92"/>
      <c r="D4" s="92"/>
      <c r="E4" s="92"/>
      <c r="F4" s="92"/>
      <c r="G4" s="92"/>
      <c r="H4" s="92"/>
      <c r="I4" s="92"/>
      <c r="J4" s="92"/>
      <c r="K4" s="92"/>
    </row>
    <row r="5" spans="1:13" s="515" customFormat="1" ht="12.75" customHeight="1">
      <c r="A5" s="691"/>
      <c r="B5" s="1583" t="s">
        <v>424</v>
      </c>
      <c r="C5" s="1511"/>
      <c r="D5" s="1512"/>
      <c r="E5" s="730" t="s">
        <v>560</v>
      </c>
      <c r="F5" s="730" t="s">
        <v>560</v>
      </c>
      <c r="G5" s="730" t="s">
        <v>560</v>
      </c>
      <c r="H5" s="1303" t="s">
        <v>526</v>
      </c>
      <c r="I5" s="1121"/>
      <c r="J5" s="1121"/>
      <c r="K5" s="1121"/>
      <c r="L5" s="1121"/>
      <c r="M5" s="1138"/>
    </row>
    <row r="6" spans="1:13" s="451" customFormat="1" ht="12.75" customHeight="1">
      <c r="A6" s="662"/>
      <c r="B6" s="693" t="s">
        <v>190</v>
      </c>
      <c r="C6" s="693" t="s">
        <v>556</v>
      </c>
      <c r="D6" s="676" t="s">
        <v>423</v>
      </c>
      <c r="E6" s="1118" t="str">
        <f>CONCATENATE("tot en met ",Voorblad!E3-1)</f>
        <v>tot en met 2003</v>
      </c>
      <c r="F6" s="1118">
        <f>Voorblad!E3</f>
        <v>2004</v>
      </c>
      <c r="G6" s="1118" t="str">
        <f>CONCATENATE("tot en met ",Voorblad!E3)</f>
        <v>tot en met 2004</v>
      </c>
      <c r="H6" s="1122"/>
      <c r="I6" s="1202"/>
      <c r="J6" s="1202"/>
      <c r="K6" s="1304"/>
      <c r="L6" s="1304"/>
      <c r="M6" s="1139"/>
    </row>
    <row r="7" spans="1:13" ht="12.75" customHeight="1">
      <c r="A7" s="780">
        <f>(100*M2)+1</f>
        <v>1601</v>
      </c>
      <c r="B7" s="1011"/>
      <c r="C7" s="1012"/>
      <c r="D7" s="751"/>
      <c r="E7" s="751"/>
      <c r="F7" s="751"/>
      <c r="G7" s="486">
        <f aca="true" t="shared" si="0" ref="G7:G26">SUM(E7:F7)</f>
        <v>0</v>
      </c>
      <c r="H7" s="1265"/>
      <c r="I7" s="1266"/>
      <c r="J7" s="1266"/>
      <c r="K7" s="1266"/>
      <c r="L7" s="1266"/>
      <c r="M7" s="1267"/>
    </row>
    <row r="8" spans="1:13" ht="12.75" customHeight="1">
      <c r="A8" s="780">
        <f>A7+1</f>
        <v>1602</v>
      </c>
      <c r="B8" s="839"/>
      <c r="C8" s="1012"/>
      <c r="D8" s="751"/>
      <c r="E8" s="751"/>
      <c r="F8" s="751"/>
      <c r="G8" s="486">
        <f t="shared" si="0"/>
        <v>0</v>
      </c>
      <c r="H8" s="1268"/>
      <c r="I8" s="588"/>
      <c r="J8" s="588"/>
      <c r="K8" s="588"/>
      <c r="L8" s="588"/>
      <c r="M8" s="502"/>
    </row>
    <row r="9" spans="1:13" ht="12.75" customHeight="1">
      <c r="A9" s="780">
        <f aca="true" t="shared" si="1" ref="A9:A20">A8+1</f>
        <v>1603</v>
      </c>
      <c r="B9" s="839"/>
      <c r="C9" s="1012"/>
      <c r="D9" s="751"/>
      <c r="E9" s="751"/>
      <c r="F9" s="751"/>
      <c r="G9" s="486">
        <f t="shared" si="0"/>
        <v>0</v>
      </c>
      <c r="H9" s="1268"/>
      <c r="I9" s="588"/>
      <c r="J9" s="588"/>
      <c r="K9" s="588"/>
      <c r="L9" s="588"/>
      <c r="M9" s="502"/>
    </row>
    <row r="10" spans="1:13" ht="12.75" customHeight="1">
      <c r="A10" s="780">
        <f t="shared" si="1"/>
        <v>1604</v>
      </c>
      <c r="B10" s="839"/>
      <c r="C10" s="1012"/>
      <c r="D10" s="751"/>
      <c r="E10" s="751"/>
      <c r="F10" s="751"/>
      <c r="G10" s="486">
        <f t="shared" si="0"/>
        <v>0</v>
      </c>
      <c r="H10" s="1268"/>
      <c r="I10" s="588"/>
      <c r="J10" s="588"/>
      <c r="K10" s="588"/>
      <c r="L10" s="588"/>
      <c r="M10" s="502"/>
    </row>
    <row r="11" spans="1:13" ht="12.75" customHeight="1">
      <c r="A11" s="780">
        <f t="shared" si="1"/>
        <v>1605</v>
      </c>
      <c r="B11" s="839"/>
      <c r="C11" s="1012"/>
      <c r="D11" s="751"/>
      <c r="E11" s="751"/>
      <c r="F11" s="751"/>
      <c r="G11" s="486">
        <f t="shared" si="0"/>
        <v>0</v>
      </c>
      <c r="H11" s="1268"/>
      <c r="I11" s="588"/>
      <c r="J11" s="588"/>
      <c r="K11" s="588"/>
      <c r="L11" s="588"/>
      <c r="M11" s="502"/>
    </row>
    <row r="12" spans="1:13" ht="12.75" customHeight="1">
      <c r="A12" s="780">
        <f t="shared" si="1"/>
        <v>1606</v>
      </c>
      <c r="B12" s="839"/>
      <c r="C12" s="1012"/>
      <c r="D12" s="751"/>
      <c r="E12" s="751"/>
      <c r="F12" s="751"/>
      <c r="G12" s="486">
        <f t="shared" si="0"/>
        <v>0</v>
      </c>
      <c r="H12" s="1268"/>
      <c r="I12" s="588"/>
      <c r="J12" s="588"/>
      <c r="K12" s="588"/>
      <c r="L12" s="588"/>
      <c r="M12" s="502"/>
    </row>
    <row r="13" spans="1:13" ht="12.75" customHeight="1">
      <c r="A13" s="780">
        <f t="shared" si="1"/>
        <v>1607</v>
      </c>
      <c r="B13" s="839"/>
      <c r="C13" s="1012"/>
      <c r="D13" s="751"/>
      <c r="E13" s="751"/>
      <c r="F13" s="751"/>
      <c r="G13" s="486">
        <f t="shared" si="0"/>
        <v>0</v>
      </c>
      <c r="H13" s="1268"/>
      <c r="I13" s="588"/>
      <c r="J13" s="588"/>
      <c r="K13" s="588"/>
      <c r="L13" s="588"/>
      <c r="M13" s="502"/>
    </row>
    <row r="14" spans="1:13" ht="12.75" customHeight="1">
      <c r="A14" s="780">
        <f t="shared" si="1"/>
        <v>1608</v>
      </c>
      <c r="B14" s="839"/>
      <c r="C14" s="1012"/>
      <c r="D14" s="751"/>
      <c r="E14" s="751"/>
      <c r="F14" s="751"/>
      <c r="G14" s="486">
        <f t="shared" si="0"/>
        <v>0</v>
      </c>
      <c r="H14" s="1268"/>
      <c r="I14" s="588"/>
      <c r="J14" s="588"/>
      <c r="K14" s="588"/>
      <c r="L14" s="588"/>
      <c r="M14" s="502"/>
    </row>
    <row r="15" spans="1:13" ht="12.75" customHeight="1">
      <c r="A15" s="780">
        <f t="shared" si="1"/>
        <v>1609</v>
      </c>
      <c r="B15" s="839"/>
      <c r="C15" s="1012"/>
      <c r="D15" s="751"/>
      <c r="E15" s="751"/>
      <c r="F15" s="751"/>
      <c r="G15" s="486">
        <f t="shared" si="0"/>
        <v>0</v>
      </c>
      <c r="H15" s="1268"/>
      <c r="I15" s="588"/>
      <c r="J15" s="588"/>
      <c r="K15" s="588"/>
      <c r="L15" s="588"/>
      <c r="M15" s="502"/>
    </row>
    <row r="16" spans="1:13" ht="12.75" customHeight="1">
      <c r="A16" s="780">
        <f t="shared" si="1"/>
        <v>1610</v>
      </c>
      <c r="B16" s="839"/>
      <c r="C16" s="1012"/>
      <c r="D16" s="751"/>
      <c r="E16" s="751"/>
      <c r="F16" s="751"/>
      <c r="G16" s="486">
        <f t="shared" si="0"/>
        <v>0</v>
      </c>
      <c r="H16" s="1268"/>
      <c r="I16" s="588"/>
      <c r="J16" s="588"/>
      <c r="K16" s="588"/>
      <c r="L16" s="588"/>
      <c r="M16" s="502"/>
    </row>
    <row r="17" spans="1:13" ht="12.75" customHeight="1">
      <c r="A17" s="780">
        <f t="shared" si="1"/>
        <v>1611</v>
      </c>
      <c r="B17" s="839"/>
      <c r="C17" s="1012"/>
      <c r="D17" s="751"/>
      <c r="E17" s="751"/>
      <c r="F17" s="751"/>
      <c r="G17" s="486">
        <f t="shared" si="0"/>
        <v>0</v>
      </c>
      <c r="H17" s="1268"/>
      <c r="I17" s="588"/>
      <c r="J17" s="588"/>
      <c r="K17" s="588"/>
      <c r="L17" s="588"/>
      <c r="M17" s="502"/>
    </row>
    <row r="18" spans="1:13" ht="12.75" customHeight="1">
      <c r="A18" s="780">
        <f t="shared" si="1"/>
        <v>1612</v>
      </c>
      <c r="B18" s="839"/>
      <c r="C18" s="1012"/>
      <c r="D18" s="751"/>
      <c r="E18" s="751"/>
      <c r="F18" s="751"/>
      <c r="G18" s="486">
        <f t="shared" si="0"/>
        <v>0</v>
      </c>
      <c r="H18" s="1268"/>
      <c r="I18" s="588"/>
      <c r="J18" s="588"/>
      <c r="K18" s="588"/>
      <c r="L18" s="588"/>
      <c r="M18" s="502"/>
    </row>
    <row r="19" spans="1:13" ht="12.75" customHeight="1">
      <c r="A19" s="780">
        <f t="shared" si="1"/>
        <v>1613</v>
      </c>
      <c r="B19" s="839"/>
      <c r="C19" s="1012"/>
      <c r="D19" s="751"/>
      <c r="E19" s="751"/>
      <c r="F19" s="751"/>
      <c r="G19" s="486">
        <f t="shared" si="0"/>
        <v>0</v>
      </c>
      <c r="H19" s="1268"/>
      <c r="I19" s="588"/>
      <c r="J19" s="588"/>
      <c r="K19" s="588"/>
      <c r="L19" s="588"/>
      <c r="M19" s="502"/>
    </row>
    <row r="20" spans="1:13" ht="12.75" customHeight="1">
      <c r="A20" s="780">
        <f t="shared" si="1"/>
        <v>1614</v>
      </c>
      <c r="B20" s="839"/>
      <c r="C20" s="1012"/>
      <c r="D20" s="751"/>
      <c r="E20" s="751"/>
      <c r="F20" s="751"/>
      <c r="G20" s="486">
        <f t="shared" si="0"/>
        <v>0</v>
      </c>
      <c r="H20" s="1268"/>
      <c r="I20" s="588"/>
      <c r="J20" s="588"/>
      <c r="K20" s="588"/>
      <c r="L20" s="588"/>
      <c r="M20" s="502"/>
    </row>
    <row r="21" spans="1:13" ht="12.75" customHeight="1">
      <c r="A21" s="780">
        <f aca="true" t="shared" si="2" ref="A21:A27">A20+1</f>
        <v>1615</v>
      </c>
      <c r="B21" s="839"/>
      <c r="C21" s="1012"/>
      <c r="D21" s="751"/>
      <c r="E21" s="751"/>
      <c r="F21" s="751"/>
      <c r="G21" s="486">
        <f t="shared" si="0"/>
        <v>0</v>
      </c>
      <c r="H21" s="1268"/>
      <c r="I21" s="588"/>
      <c r="J21" s="588"/>
      <c r="K21" s="588"/>
      <c r="L21" s="588"/>
      <c r="M21" s="502"/>
    </row>
    <row r="22" spans="1:13" ht="12.75" customHeight="1">
      <c r="A22" s="780">
        <f t="shared" si="2"/>
        <v>1616</v>
      </c>
      <c r="B22" s="839"/>
      <c r="C22" s="1012"/>
      <c r="D22" s="751"/>
      <c r="E22" s="751"/>
      <c r="F22" s="751"/>
      <c r="G22" s="486">
        <f t="shared" si="0"/>
        <v>0</v>
      </c>
      <c r="H22" s="1268"/>
      <c r="I22" s="588"/>
      <c r="J22" s="588"/>
      <c r="K22" s="588"/>
      <c r="L22" s="588"/>
      <c r="M22" s="502"/>
    </row>
    <row r="23" spans="1:13" ht="12.75" customHeight="1">
      <c r="A23" s="780">
        <f t="shared" si="2"/>
        <v>1617</v>
      </c>
      <c r="B23" s="839"/>
      <c r="C23" s="1012"/>
      <c r="D23" s="751"/>
      <c r="E23" s="751"/>
      <c r="F23" s="751"/>
      <c r="G23" s="486">
        <f t="shared" si="0"/>
        <v>0</v>
      </c>
      <c r="H23" s="1268"/>
      <c r="I23" s="588"/>
      <c r="J23" s="588"/>
      <c r="K23" s="588"/>
      <c r="L23" s="588"/>
      <c r="M23" s="502"/>
    </row>
    <row r="24" spans="1:13" ht="12.75" customHeight="1">
      <c r="A24" s="780">
        <f t="shared" si="2"/>
        <v>1618</v>
      </c>
      <c r="B24" s="839"/>
      <c r="C24" s="1012"/>
      <c r="D24" s="751"/>
      <c r="E24" s="751"/>
      <c r="F24" s="751"/>
      <c r="G24" s="486">
        <f t="shared" si="0"/>
        <v>0</v>
      </c>
      <c r="H24" s="1268"/>
      <c r="I24" s="588"/>
      <c r="J24" s="588"/>
      <c r="K24" s="588"/>
      <c r="L24" s="588"/>
      <c r="M24" s="502"/>
    </row>
    <row r="25" spans="1:13" ht="12.75" customHeight="1">
      <c r="A25" s="780">
        <f t="shared" si="2"/>
        <v>1619</v>
      </c>
      <c r="B25" s="839"/>
      <c r="C25" s="1012"/>
      <c r="D25" s="751"/>
      <c r="E25" s="751"/>
      <c r="F25" s="751"/>
      <c r="G25" s="486">
        <f t="shared" si="0"/>
        <v>0</v>
      </c>
      <c r="H25" s="1268"/>
      <c r="I25" s="588"/>
      <c r="J25" s="588"/>
      <c r="K25" s="588"/>
      <c r="L25" s="588"/>
      <c r="M25" s="502"/>
    </row>
    <row r="26" spans="1:13" ht="12.75" customHeight="1">
      <c r="A26" s="780">
        <f t="shared" si="2"/>
        <v>1620</v>
      </c>
      <c r="B26" s="840"/>
      <c r="C26" s="1012"/>
      <c r="D26" s="842"/>
      <c r="E26" s="751"/>
      <c r="F26" s="842"/>
      <c r="G26" s="843">
        <f t="shared" si="0"/>
        <v>0</v>
      </c>
      <c r="H26" s="1268"/>
      <c r="I26" s="588"/>
      <c r="J26" s="588"/>
      <c r="K26" s="588"/>
      <c r="L26" s="588"/>
      <c r="M26" s="502"/>
    </row>
    <row r="27" spans="1:11" ht="12.75" customHeight="1">
      <c r="A27" s="780">
        <f t="shared" si="2"/>
        <v>1621</v>
      </c>
      <c r="B27" s="835" t="str">
        <f>CONCATENATE("Totaal regel ",A7," t/m ",A26)</f>
        <v>Totaal regel 1601 t/m 1620</v>
      </c>
      <c r="C27" s="844"/>
      <c r="D27" s="845">
        <f>SUM(D7:D26)</f>
        <v>0</v>
      </c>
      <c r="E27" s="846">
        <f>SUM(E7:E26)</f>
        <v>0</v>
      </c>
      <c r="F27" s="846">
        <f>SUM(F7:F26)</f>
        <v>0</v>
      </c>
      <c r="G27" s="846">
        <f>SUM(G7:G26)</f>
        <v>0</v>
      </c>
      <c r="H27" s="1264"/>
      <c r="I27" s="1264"/>
      <c r="J27" s="1264"/>
      <c r="K27" s="1264"/>
    </row>
    <row r="28" ht="11.25" customHeight="1"/>
    <row r="29" spans="1:4" ht="12">
      <c r="A29" s="124" t="s">
        <v>451</v>
      </c>
      <c r="B29" s="701" t="s">
        <v>171</v>
      </c>
      <c r="C29" s="42"/>
      <c r="D29" s="42"/>
    </row>
    <row r="30" spans="1:6" ht="12">
      <c r="A30" s="677"/>
      <c r="B30" s="1158"/>
      <c r="C30" s="1155"/>
      <c r="D30" s="1144"/>
      <c r="E30" s="1152" t="s">
        <v>534</v>
      </c>
      <c r="F30" s="105" t="s">
        <v>697</v>
      </c>
    </row>
    <row r="31" spans="2:6" ht="12.75" customHeight="1">
      <c r="B31" s="1142"/>
      <c r="C31" s="1159"/>
      <c r="D31" s="1147"/>
      <c r="E31" s="1153" t="s">
        <v>535</v>
      </c>
      <c r="F31" s="205" t="s">
        <v>898</v>
      </c>
    </row>
    <row r="32" spans="1:6" ht="12">
      <c r="A32" s="849">
        <f>A27+1</f>
        <v>1622</v>
      </c>
      <c r="B32" s="1156" t="s">
        <v>897</v>
      </c>
      <c r="C32" s="1157"/>
      <c r="D32" s="1154"/>
      <c r="E32" s="1137"/>
      <c r="F32" s="1137"/>
    </row>
    <row r="33" spans="1:6" ht="12">
      <c r="A33" s="849">
        <f aca="true" t="shared" si="3" ref="A33:A38">A32+1</f>
        <v>1623</v>
      </c>
      <c r="B33" s="1125" t="str">
        <f>CONCATENATE("Zonodig nog te verwerken investeringen ",Voorblad!E3-1," en ",Voorblad!E3-2)</f>
        <v>Zonodig nog te verwerken investeringen 2003 en 2002</v>
      </c>
      <c r="C33" s="351"/>
      <c r="D33" s="665"/>
      <c r="E33" s="1137"/>
      <c r="F33" s="1137"/>
    </row>
    <row r="34" spans="1:6" ht="12">
      <c r="A34" s="849">
        <f t="shared" si="3"/>
        <v>1624</v>
      </c>
      <c r="B34" s="1125" t="str">
        <f>CONCATENATE("In onderbouwing rekenstaat vermelde investering ",Voorblad!E3)</f>
        <v>In onderbouwing rekenstaat vermelde investering 2004</v>
      </c>
      <c r="C34" s="351"/>
      <c r="D34" s="665"/>
      <c r="E34" s="524">
        <v>0</v>
      </c>
      <c r="F34" s="524">
        <v>0</v>
      </c>
    </row>
    <row r="35" spans="1:6" ht="12">
      <c r="A35" s="849">
        <f t="shared" si="3"/>
        <v>1625</v>
      </c>
      <c r="B35" s="1126" t="str">
        <f>CONCATENATE("Inbrengverplichting direct te verwerken (regel ",Instandhouding!A58,")")</f>
        <v>Inbrengverplichting direct te verwerken (regel 1709)</v>
      </c>
      <c r="C35" s="351"/>
      <c r="D35" s="665"/>
      <c r="E35" s="853"/>
      <c r="F35" s="859">
        <f>Instandhouding!H58</f>
        <v>0</v>
      </c>
    </row>
    <row r="36" spans="1:6" ht="12">
      <c r="A36" s="849">
        <f t="shared" si="3"/>
        <v>1626</v>
      </c>
      <c r="B36" s="844" t="str">
        <f>CONCATENATE("Totale investeringsruimte ","(regel ",A32," t/m ",A35,")")</f>
        <v>Totale investeringsruimte (regel 1622 t/m 1625)</v>
      </c>
      <c r="C36" s="804"/>
      <c r="D36" s="810"/>
      <c r="E36" s="854">
        <f>E32-E33+E34</f>
        <v>0</v>
      </c>
      <c r="F36" s="854">
        <f>F32-F33+F34-F35</f>
        <v>0</v>
      </c>
    </row>
    <row r="37" spans="1:6" ht="12">
      <c r="A37" s="849">
        <f t="shared" si="3"/>
        <v>1627</v>
      </c>
      <c r="B37" s="1125" t="str">
        <f>CONCATENATE("Totaal geïnvesteerd in ",Voorblad!E3," (regel ",Instandhouding!A27,")")</f>
        <v>Totaal geïnvesteerd in 2004 (regel 1621)</v>
      </c>
      <c r="C37" s="351"/>
      <c r="D37" s="665"/>
      <c r="E37" s="860">
        <f>Instandhouding!F27</f>
        <v>0</v>
      </c>
      <c r="F37" s="432"/>
    </row>
    <row r="38" spans="1:6" ht="12">
      <c r="A38" s="849">
        <f t="shared" si="3"/>
        <v>1628</v>
      </c>
      <c r="B38" s="861" t="str">
        <f>CONCATENATE("Investeringsbedrag (regel ",A37,", maximum ",A36,")")</f>
        <v>Investeringsbedrag (regel 1627, maximum 1626)</v>
      </c>
      <c r="C38" s="804"/>
      <c r="D38" s="810"/>
      <c r="E38" s="862">
        <f>IF(E37&gt;E36,E36,E37)</f>
        <v>0</v>
      </c>
      <c r="F38" s="854">
        <f>IF(F36&lt;0,0,IF((E37-E38)&gt;F36,F36,(E37-E38)))</f>
        <v>0</v>
      </c>
    </row>
    <row r="39" ht="12"/>
    <row r="40" ht="12"/>
    <row r="41" ht="12"/>
    <row r="42" ht="12"/>
    <row r="43" spans="11:12" ht="15.75" customHeight="1">
      <c r="K43" s="456"/>
      <c r="L43" s="456"/>
    </row>
    <row r="44" spans="1:13" ht="15.75" customHeight="1">
      <c r="A44" s="622" t="str">
        <f>Inhoud!$A$2</f>
        <v>Nacalculatieformulier 2004 GGZ-instellingen</v>
      </c>
      <c r="B44" s="637"/>
      <c r="C44" s="639"/>
      <c r="D44" s="637"/>
      <c r="E44" s="637"/>
      <c r="F44" s="640"/>
      <c r="G44" s="640"/>
      <c r="H44" s="639"/>
      <c r="I44" s="1305"/>
      <c r="J44" s="1305"/>
      <c r="K44" s="639"/>
      <c r="L44" s="622"/>
      <c r="M44" s="1302">
        <f>M2+1</f>
        <v>17</v>
      </c>
    </row>
    <row r="45" spans="1:11" ht="12">
      <c r="A45" s="677"/>
      <c r="B45" s="42"/>
      <c r="C45" s="42"/>
      <c r="D45" s="42"/>
      <c r="E45" s="42"/>
      <c r="F45" s="42"/>
      <c r="G45" s="42"/>
      <c r="H45" s="42"/>
      <c r="I45" s="42"/>
      <c r="J45" s="42"/>
      <c r="K45" s="608"/>
    </row>
    <row r="46" spans="1:13" ht="12.75">
      <c r="A46" s="14" t="s">
        <v>931</v>
      </c>
      <c r="B46" s="690" t="s">
        <v>426</v>
      </c>
      <c r="C46" s="92"/>
      <c r="D46" s="92"/>
      <c r="E46" s="42"/>
      <c r="F46" s="42"/>
      <c r="G46" s="42"/>
      <c r="H46" s="42"/>
      <c r="I46" s="42"/>
      <c r="J46" s="42"/>
      <c r="K46" s="471" t="s">
        <v>860</v>
      </c>
      <c r="L46" s="1298" t="str">
        <f>CONCATENATE("CBZ index ",Voorblad!E3)</f>
        <v>CBZ index 2004</v>
      </c>
      <c r="M46" s="1297"/>
    </row>
    <row r="47" spans="1:13" ht="13.5">
      <c r="A47" s="694"/>
      <c r="B47" s="1638" t="str">
        <f>CONCATENATE("In ",Voorblad!E3," ontvangen brieven  CBZ inzake definitieve vaststelling inbrengverplichting")</f>
        <v>In 2004 ontvangen brieven  CBZ inzake definitieve vaststelling inbrengverplichting</v>
      </c>
      <c r="C47" s="1639"/>
      <c r="D47" s="1639"/>
      <c r="E47" s="1639"/>
      <c r="F47" s="1640"/>
      <c r="G47" s="1641" t="s">
        <v>883</v>
      </c>
      <c r="H47" s="1642"/>
      <c r="I47" s="1643"/>
      <c r="J47" s="42"/>
      <c r="L47" s="1323" t="s">
        <v>859</v>
      </c>
      <c r="M47" s="1323" t="s">
        <v>848</v>
      </c>
    </row>
    <row r="48" spans="1:13" ht="13.5">
      <c r="A48" s="608"/>
      <c r="B48" s="695" t="s">
        <v>190</v>
      </c>
      <c r="C48" s="695" t="s">
        <v>189</v>
      </c>
      <c r="D48" s="695" t="s">
        <v>428</v>
      </c>
      <c r="E48" s="696" t="s">
        <v>427</v>
      </c>
      <c r="F48" s="697" t="s">
        <v>431</v>
      </c>
      <c r="G48" s="1295" t="s">
        <v>547</v>
      </c>
      <c r="H48" s="1295" t="s">
        <v>527</v>
      </c>
      <c r="I48" s="1295" t="s">
        <v>528</v>
      </c>
      <c r="J48" s="1328">
        <f>IF(M48&gt;0,1,0)</f>
        <v>1</v>
      </c>
      <c r="K48" s="780">
        <f>A59+1</f>
        <v>1711</v>
      </c>
      <c r="L48" s="952" t="str">
        <f>CONCATENATE("jan-0",Voorblad!E$3-2000)</f>
        <v>jan-04</v>
      </c>
      <c r="M48" s="1300">
        <v>111.3</v>
      </c>
    </row>
    <row r="49" spans="1:13" ht="12">
      <c r="A49" s="608"/>
      <c r="B49" s="693"/>
      <c r="C49" s="693"/>
      <c r="D49" s="693" t="s">
        <v>429</v>
      </c>
      <c r="E49" s="698" t="s">
        <v>430</v>
      </c>
      <c r="F49" s="673" t="s">
        <v>430</v>
      </c>
      <c r="G49" s="1296"/>
      <c r="H49" s="1296"/>
      <c r="I49" s="1296"/>
      <c r="J49" s="1328">
        <f aca="true" t="shared" si="4" ref="J49:J59">IF(M49&gt;0,1,0)</f>
        <v>1</v>
      </c>
      <c r="K49" s="780">
        <f>K48+1</f>
        <v>1712</v>
      </c>
      <c r="L49" s="952" t="str">
        <f>CONCATENATE("feb-0",Voorblad!E$3-2000)</f>
        <v>feb-04</v>
      </c>
      <c r="M49" s="1300">
        <v>111.7</v>
      </c>
    </row>
    <row r="50" spans="1:13" ht="12">
      <c r="A50" s="1307">
        <f>M44*100+1</f>
        <v>1701</v>
      </c>
      <c r="B50" s="839"/>
      <c r="C50" s="485"/>
      <c r="D50" s="502"/>
      <c r="E50" s="502"/>
      <c r="F50" s="486">
        <f>D50-E50</f>
        <v>0</v>
      </c>
      <c r="G50" s="1294"/>
      <c r="H50" s="868" t="str">
        <f aca="true" t="shared" si="5" ref="H50:H57">IF(E50&gt;0,ROUND($E50*$M$60/G50,0)," ")</f>
        <v> </v>
      </c>
      <c r="I50" s="1299" t="str">
        <f aca="true" t="shared" si="6" ref="I50:I57">IF(F50&gt;0,ROUND($F50*$M$60/G50,0)," ")</f>
        <v> </v>
      </c>
      <c r="J50" s="1328">
        <f t="shared" si="4"/>
        <v>1</v>
      </c>
      <c r="K50" s="780">
        <f aca="true" t="shared" si="7" ref="K50:K61">K49+1</f>
        <v>1713</v>
      </c>
      <c r="L50" s="952" t="str">
        <f>CONCATENATE("mrt-0",Voorblad!E$3-2000)</f>
        <v>mrt-04</v>
      </c>
      <c r="M50" s="1300">
        <v>111.8</v>
      </c>
    </row>
    <row r="51" spans="1:13" ht="12">
      <c r="A51" s="780">
        <f aca="true" t="shared" si="8" ref="A51:A57">A50+1</f>
        <v>1702</v>
      </c>
      <c r="B51" s="839"/>
      <c r="C51" s="485"/>
      <c r="D51" s="502"/>
      <c r="E51" s="502"/>
      <c r="F51" s="486">
        <f aca="true" t="shared" si="9" ref="F51:F57">D51-E51</f>
        <v>0</v>
      </c>
      <c r="G51" s="621"/>
      <c r="H51" s="486" t="str">
        <f t="shared" si="5"/>
        <v> </v>
      </c>
      <c r="I51" s="486" t="str">
        <f t="shared" si="6"/>
        <v> </v>
      </c>
      <c r="J51" s="1328">
        <f t="shared" si="4"/>
        <v>1</v>
      </c>
      <c r="K51" s="780">
        <f t="shared" si="7"/>
        <v>1714</v>
      </c>
      <c r="L51" s="952" t="str">
        <f>CONCATENATE("apr-0",Voorblad!E$3-2000)</f>
        <v>apr-04</v>
      </c>
      <c r="M51" s="1300">
        <v>112.2</v>
      </c>
    </row>
    <row r="52" spans="1:13" ht="12">
      <c r="A52" s="780">
        <f t="shared" si="8"/>
        <v>1703</v>
      </c>
      <c r="B52" s="839"/>
      <c r="C52" s="485"/>
      <c r="D52" s="502"/>
      <c r="E52" s="502"/>
      <c r="F52" s="486">
        <f t="shared" si="9"/>
        <v>0</v>
      </c>
      <c r="G52" s="621"/>
      <c r="H52" s="486" t="str">
        <f t="shared" si="5"/>
        <v> </v>
      </c>
      <c r="I52" s="486" t="str">
        <f t="shared" si="6"/>
        <v> </v>
      </c>
      <c r="J52" s="1328">
        <f t="shared" si="4"/>
        <v>1</v>
      </c>
      <c r="K52" s="780">
        <f t="shared" si="7"/>
        <v>1715</v>
      </c>
      <c r="L52" s="952" t="str">
        <f>CONCATENATE("mei-0",Voorblad!E$3-2000)</f>
        <v>mei-04</v>
      </c>
      <c r="M52" s="1300">
        <v>113.3</v>
      </c>
    </row>
    <row r="53" spans="1:13" ht="12">
      <c r="A53" s="780">
        <f t="shared" si="8"/>
        <v>1704</v>
      </c>
      <c r="B53" s="839"/>
      <c r="C53" s="485"/>
      <c r="D53" s="502"/>
      <c r="E53" s="502"/>
      <c r="F53" s="486">
        <f t="shared" si="9"/>
        <v>0</v>
      </c>
      <c r="G53" s="621"/>
      <c r="H53" s="486" t="str">
        <f t="shared" si="5"/>
        <v> </v>
      </c>
      <c r="I53" s="486" t="str">
        <f t="shared" si="6"/>
        <v> </v>
      </c>
      <c r="J53" s="1328">
        <f t="shared" si="4"/>
        <v>1</v>
      </c>
      <c r="K53" s="780">
        <f t="shared" si="7"/>
        <v>1716</v>
      </c>
      <c r="L53" s="952" t="str">
        <f>CONCATENATE("jun-0",Voorblad!E$3-2000)</f>
        <v>jun-04</v>
      </c>
      <c r="M53" s="1300">
        <v>113.6</v>
      </c>
    </row>
    <row r="54" spans="1:13" ht="12">
      <c r="A54" s="780">
        <f t="shared" si="8"/>
        <v>1705</v>
      </c>
      <c r="B54" s="839"/>
      <c r="C54" s="485"/>
      <c r="D54" s="502"/>
      <c r="E54" s="502"/>
      <c r="F54" s="486">
        <f t="shared" si="9"/>
        <v>0</v>
      </c>
      <c r="G54" s="621"/>
      <c r="H54" s="486" t="str">
        <f t="shared" si="5"/>
        <v> </v>
      </c>
      <c r="I54" s="486" t="str">
        <f t="shared" si="6"/>
        <v> </v>
      </c>
      <c r="J54" s="1328">
        <f t="shared" si="4"/>
        <v>1</v>
      </c>
      <c r="K54" s="780">
        <f t="shared" si="7"/>
        <v>1717</v>
      </c>
      <c r="L54" s="952" t="str">
        <f>CONCATENATE("jul-0",Voorblad!E$3-2000)</f>
        <v>jul-04</v>
      </c>
      <c r="M54" s="1300">
        <v>113.6</v>
      </c>
    </row>
    <row r="55" spans="1:13" ht="12">
      <c r="A55" s="780">
        <f t="shared" si="8"/>
        <v>1706</v>
      </c>
      <c r="B55" s="839"/>
      <c r="C55" s="485"/>
      <c r="D55" s="502"/>
      <c r="E55" s="502"/>
      <c r="F55" s="486">
        <f t="shared" si="9"/>
        <v>0</v>
      </c>
      <c r="G55" s="621"/>
      <c r="H55" s="486" t="str">
        <f t="shared" si="5"/>
        <v> </v>
      </c>
      <c r="I55" s="486" t="str">
        <f t="shared" si="6"/>
        <v> </v>
      </c>
      <c r="J55" s="1328">
        <f t="shared" si="4"/>
        <v>1</v>
      </c>
      <c r="K55" s="780">
        <f t="shared" si="7"/>
        <v>1718</v>
      </c>
      <c r="L55" s="952" t="str">
        <f>CONCATENATE("aug-0",Voorblad!E$3-2000)</f>
        <v>aug-04</v>
      </c>
      <c r="M55" s="1300">
        <v>113.7</v>
      </c>
    </row>
    <row r="56" spans="1:13" ht="12">
      <c r="A56" s="780">
        <f t="shared" si="8"/>
        <v>1707</v>
      </c>
      <c r="B56" s="839"/>
      <c r="C56" s="485"/>
      <c r="D56" s="502"/>
      <c r="E56" s="502"/>
      <c r="F56" s="486">
        <f t="shared" si="9"/>
        <v>0</v>
      </c>
      <c r="G56" s="621"/>
      <c r="H56" s="486" t="str">
        <f t="shared" si="5"/>
        <v> </v>
      </c>
      <c r="I56" s="486" t="str">
        <f t="shared" si="6"/>
        <v> </v>
      </c>
      <c r="J56" s="1328">
        <f t="shared" si="4"/>
        <v>1</v>
      </c>
      <c r="K56" s="780">
        <f t="shared" si="7"/>
        <v>1719</v>
      </c>
      <c r="L56" s="952" t="str">
        <f>CONCATENATE("sep-0",Voorblad!E$3-2000)</f>
        <v>sep-04</v>
      </c>
      <c r="M56" s="1300">
        <v>113.7</v>
      </c>
    </row>
    <row r="57" spans="1:13" ht="12">
      <c r="A57" s="780">
        <f t="shared" si="8"/>
        <v>1708</v>
      </c>
      <c r="B57" s="840"/>
      <c r="C57" s="841"/>
      <c r="D57" s="800"/>
      <c r="E57" s="800"/>
      <c r="F57" s="843">
        <f t="shared" si="9"/>
        <v>0</v>
      </c>
      <c r="G57" s="621"/>
      <c r="H57" s="843" t="str">
        <f t="shared" si="5"/>
        <v> </v>
      </c>
      <c r="I57" s="843" t="str">
        <f t="shared" si="6"/>
        <v> </v>
      </c>
      <c r="J57" s="1328">
        <f t="shared" si="4"/>
        <v>1</v>
      </c>
      <c r="K57" s="780">
        <f t="shared" si="7"/>
        <v>1720</v>
      </c>
      <c r="L57" s="952" t="str">
        <f>CONCATENATE("okt-0",Voorblad!E$3-2000)</f>
        <v>okt-04</v>
      </c>
      <c r="M57" s="1300">
        <v>113.9</v>
      </c>
    </row>
    <row r="58" spans="1:13" ht="12">
      <c r="A58" s="780">
        <f>A57+1</f>
        <v>1709</v>
      </c>
      <c r="B58" s="835" t="str">
        <f>CONCATENATE("Totaal regel ",A50," t/m ",A57)</f>
        <v>Totaal regel 1701 t/m 1708</v>
      </c>
      <c r="C58" s="844"/>
      <c r="D58" s="847">
        <f>SUM(D50:D57)</f>
        <v>0</v>
      </c>
      <c r="E58" s="847">
        <f>SUM(E50:E57)</f>
        <v>0</v>
      </c>
      <c r="F58" s="847">
        <f>SUM(F50:F57)</f>
        <v>0</v>
      </c>
      <c r="G58" s="699"/>
      <c r="H58" s="847">
        <f>SUM(H50:H57)</f>
        <v>0</v>
      </c>
      <c r="I58" s="847">
        <f>SUM(I50:I57)</f>
        <v>0</v>
      </c>
      <c r="J58" s="1328">
        <f t="shared" si="4"/>
        <v>1</v>
      </c>
      <c r="K58" s="780">
        <f t="shared" si="7"/>
        <v>1721</v>
      </c>
      <c r="L58" s="952" t="str">
        <f>CONCATENATE("nov-0",Voorblad!E$3-2000)</f>
        <v>nov-04</v>
      </c>
      <c r="M58" s="1300">
        <v>114.1</v>
      </c>
    </row>
    <row r="59" spans="1:13" ht="12.75">
      <c r="A59" s="780">
        <f>A58+1</f>
        <v>1710</v>
      </c>
      <c r="B59" s="875" t="str">
        <f>CONCATENATE("De toekomstige inbrengverplichting wordt ingeboekt op prijspeil ",Voorblad!E$3-1)</f>
        <v>De toekomstige inbrengverplichting wordt ingeboekt op prijspeil 2003</v>
      </c>
      <c r="C59" s="872"/>
      <c r="D59" s="824"/>
      <c r="E59" s="824"/>
      <c r="F59" s="825"/>
      <c r="G59" s="699"/>
      <c r="H59"/>
      <c r="I59" s="847">
        <f>IF(M60=" ",0,I58*M61/M60)</f>
        <v>0</v>
      </c>
      <c r="J59" s="1328">
        <f t="shared" si="4"/>
        <v>1</v>
      </c>
      <c r="K59" s="780">
        <f t="shared" si="7"/>
        <v>1722</v>
      </c>
      <c r="L59" s="952" t="str">
        <f>CONCATENATE("dec-0",Voorblad!E$3-2000)</f>
        <v>dec-04</v>
      </c>
      <c r="M59" s="1300">
        <v>114.1</v>
      </c>
    </row>
    <row r="60" spans="2:13" ht="13.5">
      <c r="B60" s="1327" t="s">
        <v>850</v>
      </c>
      <c r="J60" s="1328">
        <f>SUM(J48:J59)</f>
        <v>12</v>
      </c>
      <c r="K60" s="780">
        <f t="shared" si="7"/>
        <v>1723</v>
      </c>
      <c r="L60" s="848" t="str">
        <f>CONCATENATE("CTG-0",Voorblad!E3-2000)</f>
        <v>CTG-04</v>
      </c>
      <c r="M60" s="1301">
        <f>IF(J60&lt;12," ",SUM(M48:M59)/12)</f>
        <v>113.08333333333333</v>
      </c>
    </row>
    <row r="61" spans="1:13" ht="13.5">
      <c r="A61" s="677"/>
      <c r="B61" s="1324" t="s">
        <v>849</v>
      </c>
      <c r="C61" s="42"/>
      <c r="D61" s="42"/>
      <c r="E61" s="42"/>
      <c r="F61" s="42"/>
      <c r="G61" s="42"/>
      <c r="H61" s="42"/>
      <c r="I61" s="42"/>
      <c r="J61" s="42"/>
      <c r="K61" s="780">
        <f t="shared" si="7"/>
        <v>1724</v>
      </c>
      <c r="L61" s="848" t="str">
        <f>CONCATENATE("CTG-0",Voorblad!E3-2001)</f>
        <v>CTG-03</v>
      </c>
      <c r="M61" s="1301">
        <v>109.95</v>
      </c>
    </row>
    <row r="62" spans="1:13" ht="13.5">
      <c r="A62" s="677"/>
      <c r="B62" s="1324"/>
      <c r="C62" s="42"/>
      <c r="D62" s="42"/>
      <c r="E62" s="42"/>
      <c r="F62" s="42"/>
      <c r="G62" s="42"/>
      <c r="H62" s="42"/>
      <c r="I62" s="1324" t="s">
        <v>851</v>
      </c>
      <c r="J62" s="42"/>
      <c r="M62" s="1308"/>
    </row>
    <row r="63" spans="1:11" ht="12.75">
      <c r="A63" s="14" t="s">
        <v>861</v>
      </c>
      <c r="B63" s="460" t="str">
        <f>CONCATENATE("Toekomstige opbouw trekkingsrechten van ",Voorblad!E3+1," e.v.")</f>
        <v>Toekomstige opbouw trekkingsrechten van 2005 e.v.</v>
      </c>
      <c r="C63" s="42"/>
      <c r="D63" s="42"/>
      <c r="E63" s="42"/>
      <c r="F63" s="42"/>
      <c r="G63" s="42"/>
      <c r="H63" s="42"/>
      <c r="I63" s="1325" t="s">
        <v>852</v>
      </c>
      <c r="J63"/>
      <c r="K63" s="92"/>
    </row>
    <row r="64" spans="3:9" ht="12.75">
      <c r="C64" s="92"/>
      <c r="D64" s="92"/>
      <c r="E64" s="92"/>
      <c r="F64" s="92"/>
      <c r="G64"/>
      <c r="I64" s="456" t="s">
        <v>868</v>
      </c>
    </row>
    <row r="65" spans="1:9" ht="12.75">
      <c r="A65" s="14"/>
      <c r="B65" s="1032" t="s">
        <v>12</v>
      </c>
      <c r="C65" s="1032" t="s">
        <v>36</v>
      </c>
      <c r="D65" s="1026" t="s">
        <v>13</v>
      </c>
      <c r="E65" s="1026"/>
      <c r="F65" s="1644" t="s">
        <v>40</v>
      </c>
      <c r="H65"/>
      <c r="I65" s="1326" t="s">
        <v>869</v>
      </c>
    </row>
    <row r="66" spans="2:9" ht="12.75">
      <c r="B66" s="1038"/>
      <c r="C66" s="1038" t="str">
        <f>CONCATENATE("per 1-1-",Voorblad!E3)</f>
        <v>per 1-1-2004</v>
      </c>
      <c r="D66" s="1039" t="s">
        <v>14</v>
      </c>
      <c r="E66" s="1189" t="s">
        <v>15</v>
      </c>
      <c r="F66" s="1645"/>
      <c r="I66" s="1331"/>
    </row>
    <row r="67" spans="1:6" ht="12">
      <c r="A67" s="780">
        <f>K61+1</f>
        <v>1725</v>
      </c>
      <c r="B67" s="1028">
        <v>1</v>
      </c>
      <c r="C67" s="502"/>
      <c r="D67" s="1029">
        <v>2007</v>
      </c>
      <c r="E67" s="1029">
        <v>2016</v>
      </c>
      <c r="F67" s="1030">
        <v>88.08</v>
      </c>
    </row>
    <row r="68" spans="1:6" ht="12">
      <c r="A68" s="780">
        <f>A67+1</f>
        <v>1726</v>
      </c>
      <c r="B68" s="1028">
        <v>2</v>
      </c>
      <c r="C68" s="502"/>
      <c r="D68" s="1029">
        <v>2004</v>
      </c>
      <c r="E68" s="1029">
        <v>2013</v>
      </c>
      <c r="F68" s="1030">
        <v>88.08</v>
      </c>
    </row>
    <row r="69" spans="1:6" ht="12">
      <c r="A69" s="780">
        <f>A68+1</f>
        <v>1727</v>
      </c>
      <c r="B69" s="1028">
        <v>3</v>
      </c>
      <c r="C69" s="502"/>
      <c r="D69" s="1029">
        <v>1999</v>
      </c>
      <c r="E69" s="1029">
        <v>2008</v>
      </c>
      <c r="F69" s="1030">
        <v>88.08</v>
      </c>
    </row>
    <row r="70" ht="4.5" customHeight="1">
      <c r="E70" s="453"/>
    </row>
    <row r="71" spans="2:10" ht="12">
      <c r="B71" s="1032" t="s">
        <v>16</v>
      </c>
      <c r="C71" s="1033"/>
      <c r="D71" s="1034" t="s">
        <v>17</v>
      </c>
      <c r="E71" s="1035"/>
      <c r="F71" s="1035"/>
      <c r="G71" s="1032" t="s">
        <v>38</v>
      </c>
      <c r="H71" s="1032" t="s">
        <v>18</v>
      </c>
      <c r="I71" s="1037" t="s">
        <v>20</v>
      </c>
      <c r="J71" s="1036" t="s">
        <v>19</v>
      </c>
    </row>
    <row r="72" spans="2:10" ht="12.75" customHeight="1">
      <c r="B72" s="1038"/>
      <c r="C72" s="1039">
        <v>1</v>
      </c>
      <c r="D72" s="1039">
        <v>2</v>
      </c>
      <c r="E72" s="1039">
        <v>3</v>
      </c>
      <c r="F72" s="1038" t="s">
        <v>37</v>
      </c>
      <c r="G72" s="1038" t="s">
        <v>39</v>
      </c>
      <c r="H72" s="1038" t="s">
        <v>21</v>
      </c>
      <c r="I72" s="1041" t="s">
        <v>22</v>
      </c>
      <c r="J72" s="1040"/>
    </row>
    <row r="73" spans="1:10" ht="12">
      <c r="A73" s="780">
        <f>A69+1</f>
        <v>1728</v>
      </c>
      <c r="B73" s="1042">
        <f>Voorblad!E3+1</f>
        <v>2005</v>
      </c>
      <c r="C73" s="1114"/>
      <c r="D73" s="1047">
        <f aca="true" t="shared" si="10" ref="D73:D81">$C$68*$F$68</f>
        <v>0</v>
      </c>
      <c r="E73" s="1047">
        <f>$C$69*$F$69</f>
        <v>0</v>
      </c>
      <c r="F73" s="1047">
        <f aca="true" t="shared" si="11" ref="F73:F84">SUM(C73:E73)</f>
        <v>0</v>
      </c>
      <c r="G73" s="502"/>
      <c r="H73" s="1049">
        <f>IF(SUM(H74:H$84)+F73-G73&lt;$H$86,(F73-G73)/0.9571,$H$86-SUM(H74:H$84))</f>
        <v>0</v>
      </c>
      <c r="I73" s="1287">
        <v>38353</v>
      </c>
      <c r="J73" s="1042" t="s">
        <v>23</v>
      </c>
    </row>
    <row r="74" spans="1:10" ht="12">
      <c r="A74" s="780">
        <f aca="true" t="shared" si="12" ref="A74:B87">A73+1</f>
        <v>1729</v>
      </c>
      <c r="B74" s="1042">
        <f t="shared" si="12"/>
        <v>2006</v>
      </c>
      <c r="C74" s="1115"/>
      <c r="D74" s="1047">
        <f t="shared" si="10"/>
        <v>0</v>
      </c>
      <c r="E74" s="1047">
        <f>$C$69*$F$69</f>
        <v>0</v>
      </c>
      <c r="F74" s="1047">
        <f t="shared" si="11"/>
        <v>0</v>
      </c>
      <c r="G74" s="502"/>
      <c r="H74" s="1049">
        <f>IF(SUM(H75:H$84)+F74-G74&lt;$H$86,(F74-G74)/0.9571,$H$86-SUM(H75:H$84))</f>
        <v>0</v>
      </c>
      <c r="I74" s="1288">
        <v>38718</v>
      </c>
      <c r="J74" s="1042" t="s">
        <v>24</v>
      </c>
    </row>
    <row r="75" spans="1:10" ht="12">
      <c r="A75" s="780">
        <f t="shared" si="12"/>
        <v>1730</v>
      </c>
      <c r="B75" s="1042">
        <f t="shared" si="12"/>
        <v>2007</v>
      </c>
      <c r="C75" s="1047">
        <f>$C$67*$F$67</f>
        <v>0</v>
      </c>
      <c r="D75" s="1047">
        <f t="shared" si="10"/>
        <v>0</v>
      </c>
      <c r="E75" s="1047">
        <f>$C$69*$F$69</f>
        <v>0</v>
      </c>
      <c r="F75" s="1047">
        <f t="shared" si="11"/>
        <v>0</v>
      </c>
      <c r="G75" s="502"/>
      <c r="H75" s="1049">
        <f>IF(SUM(H76:H$84)+F75-G75&lt;$H$86,(F75-G75)/0.9571,$H$86-SUM(H76:H$84))</f>
        <v>0</v>
      </c>
      <c r="I75" s="1288">
        <v>39083</v>
      </c>
      <c r="J75" s="1042" t="s">
        <v>25</v>
      </c>
    </row>
    <row r="76" spans="1:10" ht="12">
      <c r="A76" s="780">
        <f t="shared" si="12"/>
        <v>1731</v>
      </c>
      <c r="B76" s="1042">
        <f t="shared" si="12"/>
        <v>2008</v>
      </c>
      <c r="C76" s="1047">
        <f aca="true" t="shared" si="13" ref="C76:C84">$C$67*$F$67</f>
        <v>0</v>
      </c>
      <c r="D76" s="1047">
        <f t="shared" si="10"/>
        <v>0</v>
      </c>
      <c r="E76" s="1047">
        <f>$C$69*$F$69</f>
        <v>0</v>
      </c>
      <c r="F76" s="1047">
        <f t="shared" si="11"/>
        <v>0</v>
      </c>
      <c r="G76" s="502"/>
      <c r="H76" s="1049">
        <f>IF(SUM(H77:H$84)+F76-G76&lt;$H$86,(F76-G76)/0.9571,$H$86-SUM(H77:H$84))</f>
        <v>0</v>
      </c>
      <c r="I76" s="1288">
        <v>39448</v>
      </c>
      <c r="J76" s="1042" t="s">
        <v>26</v>
      </c>
    </row>
    <row r="77" spans="1:10" ht="12" customHeight="1">
      <c r="A77" s="780">
        <f t="shared" si="12"/>
        <v>1732</v>
      </c>
      <c r="B77" s="1042">
        <f t="shared" si="12"/>
        <v>2009</v>
      </c>
      <c r="C77" s="1047">
        <f t="shared" si="13"/>
        <v>0</v>
      </c>
      <c r="D77" s="1047">
        <f t="shared" si="10"/>
        <v>0</v>
      </c>
      <c r="E77" s="1114"/>
      <c r="F77" s="1047">
        <f t="shared" si="11"/>
        <v>0</v>
      </c>
      <c r="G77" s="502"/>
      <c r="H77" s="1049">
        <f>IF(SUM(H78:H$84)+F77-G77&lt;$H$86,(F77-G77)/0.9571,$H$86-SUM(H78:H$84))</f>
        <v>0</v>
      </c>
      <c r="I77" s="1288">
        <v>39814</v>
      </c>
      <c r="J77" s="1042" t="s">
        <v>27</v>
      </c>
    </row>
    <row r="78" spans="1:10" ht="12" customHeight="1">
      <c r="A78" s="780">
        <f t="shared" si="12"/>
        <v>1733</v>
      </c>
      <c r="B78" s="1042">
        <f t="shared" si="12"/>
        <v>2010</v>
      </c>
      <c r="C78" s="1047">
        <f t="shared" si="13"/>
        <v>0</v>
      </c>
      <c r="D78" s="1047">
        <f t="shared" si="10"/>
        <v>0</v>
      </c>
      <c r="E78" s="1116"/>
      <c r="F78" s="1047">
        <f t="shared" si="11"/>
        <v>0</v>
      </c>
      <c r="G78" s="502"/>
      <c r="H78" s="1049">
        <f>IF(SUM(H79:H$84)+F78-G78&lt;$H$86,(F78-G78)/0.9571,$H$86-SUM(H79:H$84))</f>
        <v>0</v>
      </c>
      <c r="I78" s="1288">
        <v>40179</v>
      </c>
      <c r="J78" s="1042" t="s">
        <v>28</v>
      </c>
    </row>
    <row r="79" spans="1:10" ht="12">
      <c r="A79" s="780">
        <f t="shared" si="12"/>
        <v>1734</v>
      </c>
      <c r="B79" s="1042">
        <f t="shared" si="12"/>
        <v>2011</v>
      </c>
      <c r="C79" s="1047">
        <f t="shared" si="13"/>
        <v>0</v>
      </c>
      <c r="D79" s="1047">
        <f t="shared" si="10"/>
        <v>0</v>
      </c>
      <c r="E79" s="1116"/>
      <c r="F79" s="1047">
        <f t="shared" si="11"/>
        <v>0</v>
      </c>
      <c r="G79" s="502"/>
      <c r="H79" s="1049">
        <f>IF(SUM(H80:H$84)+F79-G79&lt;$H$86,(F79-G79)/0.9571,$H$86-SUM(H80:H$84))</f>
        <v>0</v>
      </c>
      <c r="I79" s="1288">
        <v>40544</v>
      </c>
      <c r="J79" s="1042" t="s">
        <v>29</v>
      </c>
    </row>
    <row r="80" spans="1:10" ht="12">
      <c r="A80" s="780">
        <f t="shared" si="12"/>
        <v>1735</v>
      </c>
      <c r="B80" s="1042">
        <f t="shared" si="12"/>
        <v>2012</v>
      </c>
      <c r="C80" s="1047">
        <f t="shared" si="13"/>
        <v>0</v>
      </c>
      <c r="D80" s="1047">
        <f t="shared" si="10"/>
        <v>0</v>
      </c>
      <c r="E80" s="1116"/>
      <c r="F80" s="1047">
        <f t="shared" si="11"/>
        <v>0</v>
      </c>
      <c r="G80" s="502"/>
      <c r="H80" s="1049">
        <f>IF(SUM(H81:H$84)+F80-G80&lt;$H$86,(F80-G80)/0.9571,$H$86-SUM(H81:H$84))</f>
        <v>0</v>
      </c>
      <c r="I80" s="1288">
        <v>40909</v>
      </c>
      <c r="J80" s="1042" t="s">
        <v>30</v>
      </c>
    </row>
    <row r="81" spans="1:10" ht="12">
      <c r="A81" s="780">
        <f t="shared" si="12"/>
        <v>1736</v>
      </c>
      <c r="B81" s="1042">
        <f t="shared" si="12"/>
        <v>2013</v>
      </c>
      <c r="C81" s="1047">
        <f t="shared" si="13"/>
        <v>0</v>
      </c>
      <c r="D81" s="1047">
        <f t="shared" si="10"/>
        <v>0</v>
      </c>
      <c r="E81" s="1116"/>
      <c r="F81" s="1047">
        <f t="shared" si="11"/>
        <v>0</v>
      </c>
      <c r="G81" s="502"/>
      <c r="H81" s="1049">
        <f>IF(H84+H83+H82+F81-G81&lt;$H$86,(F81-G81)/0.9571,$H$86-H84-H83-H82)</f>
        <v>0</v>
      </c>
      <c r="I81" s="1288">
        <v>41275</v>
      </c>
      <c r="J81" s="1042" t="s">
        <v>31</v>
      </c>
    </row>
    <row r="82" spans="1:10" ht="12">
      <c r="A82" s="780">
        <f t="shared" si="12"/>
        <v>1737</v>
      </c>
      <c r="B82" s="1042">
        <f t="shared" si="12"/>
        <v>2014</v>
      </c>
      <c r="C82" s="1047">
        <f t="shared" si="13"/>
        <v>0</v>
      </c>
      <c r="D82" s="1114"/>
      <c r="E82" s="1116"/>
      <c r="F82" s="1047">
        <f t="shared" si="11"/>
        <v>0</v>
      </c>
      <c r="G82" s="502"/>
      <c r="H82" s="1049">
        <f>IF(H84+H83+F82-G82&lt;$H$86,(F82-G82)/0.9571,$H$86-H84-H83)</f>
        <v>0</v>
      </c>
      <c r="I82" s="1288">
        <v>41640</v>
      </c>
      <c r="J82" s="1042" t="s">
        <v>32</v>
      </c>
    </row>
    <row r="83" spans="1:10" ht="12">
      <c r="A83" s="780">
        <f t="shared" si="12"/>
        <v>1738</v>
      </c>
      <c r="B83" s="1042">
        <f t="shared" si="12"/>
        <v>2015</v>
      </c>
      <c r="C83" s="1047">
        <f t="shared" si="13"/>
        <v>0</v>
      </c>
      <c r="D83" s="1116"/>
      <c r="E83" s="1116"/>
      <c r="F83" s="1047">
        <f t="shared" si="11"/>
        <v>0</v>
      </c>
      <c r="G83" s="502"/>
      <c r="H83" s="1049">
        <f>IF(H84+F83-G83&lt;$H$86,(F83-G83)/0.9571,$H$86-H$84)</f>
        <v>0</v>
      </c>
      <c r="I83" s="1288">
        <v>42005</v>
      </c>
      <c r="J83" s="1042" t="s">
        <v>33</v>
      </c>
    </row>
    <row r="84" spans="1:10" ht="12">
      <c r="A84" s="780">
        <f t="shared" si="12"/>
        <v>1739</v>
      </c>
      <c r="B84" s="1042">
        <f t="shared" si="12"/>
        <v>2016</v>
      </c>
      <c r="C84" s="1047">
        <f t="shared" si="13"/>
        <v>0</v>
      </c>
      <c r="D84" s="1115"/>
      <c r="E84" s="1115"/>
      <c r="F84" s="1047">
        <f t="shared" si="11"/>
        <v>0</v>
      </c>
      <c r="G84" s="502"/>
      <c r="H84" s="1049">
        <f>IF(F84-G84&lt;$H$86,(F84-G84)/0.9571,H86)</f>
        <v>0</v>
      </c>
      <c r="I84" s="1288">
        <v>42370</v>
      </c>
      <c r="J84" s="1042" t="s">
        <v>34</v>
      </c>
    </row>
    <row r="85" spans="1:10" ht="12">
      <c r="A85" s="780">
        <f t="shared" si="12"/>
        <v>1740</v>
      </c>
      <c r="B85" s="1043" t="s">
        <v>161</v>
      </c>
      <c r="C85" s="1048">
        <f aca="true" t="shared" si="14" ref="C85:H85">SUM(C73:C84)</f>
        <v>0</v>
      </c>
      <c r="D85" s="1048">
        <f t="shared" si="14"/>
        <v>0</v>
      </c>
      <c r="E85" s="1048">
        <f t="shared" si="14"/>
        <v>0</v>
      </c>
      <c r="F85" s="1048">
        <f t="shared" si="14"/>
        <v>0</v>
      </c>
      <c r="G85" s="1048">
        <f t="shared" si="14"/>
        <v>0</v>
      </c>
      <c r="H85" s="1048">
        <f t="shared" si="14"/>
        <v>0</v>
      </c>
      <c r="J85" s="453"/>
    </row>
    <row r="86" spans="1:10" ht="12">
      <c r="A86" s="780">
        <f t="shared" si="12"/>
        <v>1741</v>
      </c>
      <c r="B86" s="875" t="str">
        <f>CONCATENATE("De toekomstige inbrengverplichting op prijspeil ",Voorblad!E$3-1," van regel ",A59)</f>
        <v>De toekomstige inbrengverplichting op prijspeil 2003 van regel 1710</v>
      </c>
      <c r="C86" s="919"/>
      <c r="D86" s="919"/>
      <c r="E86" s="919"/>
      <c r="F86" s="919"/>
      <c r="G86" s="919"/>
      <c r="H86" s="1050">
        <f>I59</f>
        <v>0</v>
      </c>
      <c r="J86" s="453"/>
    </row>
    <row r="87" spans="1:10" ht="12">
      <c r="A87" s="780">
        <f t="shared" si="12"/>
        <v>1742</v>
      </c>
      <c r="B87" s="1031" t="s">
        <v>35</v>
      </c>
      <c r="C87" s="919"/>
      <c r="D87" s="919"/>
      <c r="E87" s="919"/>
      <c r="F87" s="919"/>
      <c r="G87" s="919"/>
      <c r="H87" s="1051">
        <f>H86-H85</f>
        <v>0</v>
      </c>
      <c r="J87" s="453"/>
    </row>
    <row r="88" spans="2:10" ht="12">
      <c r="B88" s="1637" t="s">
        <v>877</v>
      </c>
      <c r="C88" s="1637"/>
      <c r="D88" s="1637"/>
      <c r="E88" s="1637"/>
      <c r="F88" s="1637"/>
      <c r="G88" s="1637"/>
      <c r="H88" s="1637"/>
      <c r="I88" s="1637"/>
      <c r="J88" s="1637"/>
    </row>
    <row r="89" spans="2:10" ht="12">
      <c r="B89" s="1637"/>
      <c r="C89" s="1637"/>
      <c r="D89" s="1637"/>
      <c r="E89" s="1637"/>
      <c r="F89" s="1637"/>
      <c r="G89" s="1637"/>
      <c r="H89" s="1637"/>
      <c r="I89" s="1637"/>
      <c r="J89" s="1637"/>
    </row>
    <row r="91" spans="9:12" ht="12.75">
      <c r="I91"/>
      <c r="J91"/>
      <c r="K91"/>
      <c r="L91"/>
    </row>
    <row r="92" spans="9:12" ht="12.75">
      <c r="I92"/>
      <c r="J92"/>
      <c r="K92"/>
      <c r="L92"/>
    </row>
    <row r="93" spans="9:12" ht="12.75">
      <c r="I93"/>
      <c r="J93"/>
      <c r="K93"/>
      <c r="L93"/>
    </row>
    <row r="94" spans="9:12" ht="12.75">
      <c r="I94"/>
      <c r="J94"/>
      <c r="K94"/>
      <c r="L94"/>
    </row>
    <row r="95" spans="9:12" ht="12.75">
      <c r="I95"/>
      <c r="J95"/>
      <c r="K95"/>
      <c r="L95"/>
    </row>
  </sheetData>
  <sheetProtection password="C281" sheet="1" objects="1" scenarios="1"/>
  <mergeCells count="5">
    <mergeCell ref="B88:J89"/>
    <mergeCell ref="B5:D5"/>
    <mergeCell ref="B47:F47"/>
    <mergeCell ref="G47:I47"/>
    <mergeCell ref="F65:F66"/>
  </mergeCells>
  <conditionalFormatting sqref="G73:G84 C67:C69 B7:F26 E32:F34 B50:E57 H7:M26 G50:G57">
    <cfRule type="expression" priority="1" dxfId="2" stopIfTrue="1">
      <formula>$G$2=TRUE</formula>
    </cfRule>
  </conditionalFormatting>
  <dataValidations count="5">
    <dataValidation allowBlank="1" showInputMessage="1" showErrorMessage="1" promptTitle="Meldingsbrieven CBZ" prompt="In dit overzicht alleen de meldingsbrieven vermelden waarop in het nacalculatiejaar investeringen zijn uitgevoerd." sqref="B5:D5"/>
    <dataValidation allowBlank="1" showInputMessage="1" showErrorMessage="1" promptTitle="Kenmerk" prompt="In deze kolom het jaartal vermelden waarop de melding betrekking heeft en het volgnummer. Bijvoorbeeld: 01 M1 of 02 J1. Een regel per meldingsbrief gebruiken.&#10;" sqref="C6:C26"/>
    <dataValidation allowBlank="1" showInputMessage="1" showErrorMessage="1" promptTitle="Index CBZ" prompt="Zie voor de gehanteerde index de berekening van de inbrengverplichting van het CBZ." sqref="G48"/>
    <dataValidation allowBlank="1" showInputMessage="1" showErrorMessage="1" promptTitle="Normatieve vierkante meters" prompt="Meters voor de klassen 1 tot en met 3  overnemen van de algemene gegevens van de rekenstaat." sqref="C67:C69"/>
    <dataValidation allowBlank="1" showInputMessage="1" showErrorMessage="1" promptTitle="Geactiveerd tot en met 2003" prompt="Als dit jaar instandhouding is uitgevoerd m.b.t. een zelfde meldingsbrief als vorig jaar, hier dan het tot en met bedrag vermelden uit het nacalculatieformulier van vorig jaar." sqref="E7:E26"/>
  </dataValidations>
  <printOptions/>
  <pageMargins left="0.3937007874015748" right="0.3937007874015748" top="0.3937007874015748" bottom="0.3937007874015748" header="0.2362204724409449" footer="0.11811023622047245"/>
  <pageSetup horizontalDpi="300" verticalDpi="300" orientation="landscape" paperSize="9" scale="95" r:id="rId2"/>
  <headerFooter alignWithMargins="0">
    <oddHeader xml:space="preserve">&amp;R&amp;9 </oddHeader>
  </headerFooter>
  <rowBreaks count="2" manualBreakCount="2">
    <brk id="42" max="12" man="1"/>
    <brk id="8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ptyn</cp:lastModifiedBy>
  <cp:lastPrinted>2005-01-13T08:17:50Z</cp:lastPrinted>
  <dcterms:created xsi:type="dcterms:W3CDTF">2000-02-23T15:17:24Z</dcterms:created>
  <dcterms:modified xsi:type="dcterms:W3CDTF">2005-03-04T09:21:06Z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THRFR6N5WDQ4-19-11379</vt:lpwstr>
  </property>
  <property fmtid="{D5CDD505-2E9C-101B-9397-08002B2CF9AE}" pid="3" name="_dlc_DocIdItemGuid">
    <vt:lpwstr>7378079e-998d-4080-969e-d9a0e03d40f9</vt:lpwstr>
  </property>
  <property fmtid="{D5CDD505-2E9C-101B-9397-08002B2CF9AE}" pid="4" name="_dlc_DocIdUrl">
    <vt:lpwstr>http://kennisnet.nza.nl/publicaties/Aanleveren/_layouts/DocIdRedir.aspx?ID=THRFR6N5WDQ4-19-11379, THRFR6N5WDQ4-19-11379</vt:lpwstr>
  </property>
  <property fmtid="{D5CDD505-2E9C-101B-9397-08002B2CF9AE}" pid="5"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6" name="NZa-zoekwoordenMetadata">
    <vt:lpwstr/>
  </property>
  <property fmtid="{D5CDD505-2E9C-101B-9397-08002B2CF9AE}" pid="7" name="Sector(en)Metadata">
    <vt:lpwstr/>
  </property>
  <property fmtid="{D5CDD505-2E9C-101B-9397-08002B2CF9AE}" pid="8" name="VerzondenAanMetadata">
    <vt:lpwstr/>
  </property>
  <property fmtid="{D5CDD505-2E9C-101B-9397-08002B2CF9AE}" pid="9" name="DocumentTypeMetadata">
    <vt:lpwstr>Bijlage|5bf77c6e-b0b2-45e1-a13a-aadc6364942c</vt:lpwstr>
  </property>
  <property fmtid="{D5CDD505-2E9C-101B-9397-08002B2CF9AE}" pid="10" name="ExtraZoekwoordenMetadata">
    <vt:lpwstr/>
  </property>
</Properties>
</file>