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290" windowWidth="11370" windowHeight="7620" tabRatio="67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-9" sheetId="8" r:id="rId8"/>
    <sheet name="Blad10" sheetId="9" r:id="rId9"/>
    <sheet name="Blad11" sheetId="10" r:id="rId10"/>
    <sheet name="Blad12" sheetId="11" r:id="rId11"/>
    <sheet name="Blad13" sheetId="12" r:id="rId12"/>
    <sheet name="Blad14" sheetId="13" r:id="rId13"/>
    <sheet name="BladA" sheetId="14" r:id="rId14"/>
    <sheet name="BladB" sheetId="15" r:id="rId15"/>
  </sheets>
  <definedNames>
    <definedName name="_xlnm.Print_Area" localSheetId="0">'Blad1'!$A$1:$C$62</definedName>
    <definedName name="_xlnm.Print_Area" localSheetId="8">'Blad10'!$A$1:$D$60</definedName>
    <definedName name="_xlnm.Print_Area" localSheetId="9">'Blad11'!$A$1:$E$60</definedName>
    <definedName name="_xlnm.Print_Area" localSheetId="10">'Blad12'!$A$1:$N$55</definedName>
    <definedName name="_xlnm.Print_Area" localSheetId="11">'Blad13'!$A$1:$Q$55</definedName>
    <definedName name="_xlnm.Print_Area" localSheetId="12">'Blad14'!$A$1:$N$70</definedName>
    <definedName name="_xlnm.Print_Area" localSheetId="1">'Blad2'!$A$1:$J$60</definedName>
    <definedName name="_xlnm.Print_Area" localSheetId="2">'Blad3'!$A$1:$R$65</definedName>
    <definedName name="_xlnm.Print_Area" localSheetId="3">'Blad4'!$A$1:$R$65</definedName>
    <definedName name="_xlnm.Print_Area" localSheetId="4">'Blad5'!$A$1:$Q$65</definedName>
    <definedName name="_xlnm.Print_Area" localSheetId="5">'Blad6'!$A$1:$N$60</definedName>
    <definedName name="_xlnm.Print_Area" localSheetId="6">'Blad7'!$A$1:$M$60</definedName>
    <definedName name="_xlnm.Print_Area" localSheetId="7">'Blad8-9'!$A$1:$I$91</definedName>
    <definedName name="_xlnm.Print_Area" localSheetId="13">'BladA'!$A$1:$F$70</definedName>
    <definedName name="_xlnm.Print_Area" localSheetId="14">'BladB'!$A$1:$H$74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<sst xmlns="http://schemas.openxmlformats.org/spreadsheetml/2006/main" count="853" uniqueCount="589">
  <si>
    <t>Bestemd voor :</t>
  </si>
  <si>
    <t>Naam instelling</t>
  </si>
  <si>
    <t>Vestigingsplaats</t>
  </si>
  <si>
    <t>Informatie inwinnen bij :</t>
  </si>
  <si>
    <t>Ondertekening namens het orgaan voor gezondheidszorg :</t>
  </si>
  <si>
    <t>Ondertekening namens ziektekostenverzekeraars:</t>
  </si>
  <si>
    <t>naam</t>
  </si>
  <si>
    <t>datum</t>
  </si>
  <si>
    <t>Inhoudsopgave</t>
  </si>
  <si>
    <t>realisatie</t>
  </si>
  <si>
    <t>CAPD</t>
  </si>
  <si>
    <t>CAPD met EPO</t>
  </si>
  <si>
    <t>CCPD met dialysemiddelen</t>
  </si>
  <si>
    <t>CCPD met dialysemiddelen met EPO</t>
  </si>
  <si>
    <t>hartoperaties</t>
  </si>
  <si>
    <t>PTCA</t>
  </si>
  <si>
    <t>stents</t>
  </si>
  <si>
    <t>hartcatheterablaties</t>
  </si>
  <si>
    <t>AICD-implantaties</t>
  </si>
  <si>
    <t>IVF</t>
  </si>
  <si>
    <t>RBU</t>
  </si>
  <si>
    <t>poliklinische toediening cytostatica</t>
  </si>
  <si>
    <t>Scholingsmiddelen</t>
  </si>
  <si>
    <t>Afschrijvingskosten dubieuze debiteuren</t>
  </si>
  <si>
    <t xml:space="preserve">Voorzover u Prismant niet hebt gemachtigd om de opgegeven adherenties rechtstreeks aan het </t>
  </si>
  <si>
    <t>CTG ter beschikking te stellen, dient u een copie van de opgave van Prismant mee te zenden.</t>
  </si>
  <si>
    <t>instelling was verbonden en dat voldeed aan de gestelde eisen. Indien er twijfel bestaat over het</t>
  </si>
  <si>
    <t>aantal opgegeven leerlingen kan het CTG aanvullende informatie verlangen. Denk hierbij aan</t>
  </si>
  <si>
    <t>een opgave van het aantal leerlingen door een ROC of door een HBO-instituut.</t>
  </si>
  <si>
    <t xml:space="preserve">Voor een verdere toelichting mogen wij u verwijzen naar onze circulaire MR/kh/I/99/14c d.d. </t>
  </si>
  <si>
    <t>23 maart 1999.</t>
  </si>
  <si>
    <t>- aantal huisbezoeken</t>
  </si>
  <si>
    <t>- totaal aantal afnames (a+b+c)</t>
  </si>
  <si>
    <t>- deconcentratiegraad [b:(a+b)]x100%</t>
  </si>
  <si>
    <t>Röntgenonderzoek t.b.v. huisartsen,</t>
  </si>
  <si>
    <t>Functieonderzoeken t.b.v. huisartsen,</t>
  </si>
  <si>
    <t>Poliklinische fysiotherapie/logopedie,</t>
  </si>
  <si>
    <t>bevolkingsonderzoek, aantallen</t>
  </si>
  <si>
    <t>Cervix-cytologische onderzoeken t.b.v. huisartsen/</t>
  </si>
  <si>
    <t>Poliklinische trombotests t.b.v. huisartsen, aantallen</t>
  </si>
  <si>
    <t>Poliklinische bevallingen t.b.v. huisartsen en</t>
  </si>
  <si>
    <t>verloskundigen, aantallen</t>
  </si>
  <si>
    <t xml:space="preserve">afspraak </t>
  </si>
  <si>
    <t>Berekening (gewogen) opnamen en verpleegdagen</t>
  </si>
  <si>
    <t>internisten</t>
  </si>
  <si>
    <t>geriaters</t>
  </si>
  <si>
    <t>longartsen</t>
  </si>
  <si>
    <t>cardiologen</t>
  </si>
  <si>
    <t>reumatologen</t>
  </si>
  <si>
    <t>maag/darmartsen</t>
  </si>
  <si>
    <t>allergologen</t>
  </si>
  <si>
    <t>kinderartsen</t>
  </si>
  <si>
    <t>chirurgen</t>
  </si>
  <si>
    <t>orthopeden</t>
  </si>
  <si>
    <t>urologen</t>
  </si>
  <si>
    <t>plastisch chirurgen</t>
  </si>
  <si>
    <t>neurochirurgen</t>
  </si>
  <si>
    <t>cardio-pulm. Chirurgen</t>
  </si>
  <si>
    <t>gynaecologen</t>
  </si>
  <si>
    <t>oogartsen</t>
  </si>
  <si>
    <t>KNO-artsen</t>
  </si>
  <si>
    <t>dermatologen</t>
  </si>
  <si>
    <t>neurologen</t>
  </si>
  <si>
    <t>neurologen/zenuwartsen</t>
  </si>
  <si>
    <t>revalidatieartsen</t>
  </si>
  <si>
    <t>radiotherapeuten</t>
  </si>
  <si>
    <t>tandartsspecialisten voor :</t>
  </si>
  <si>
    <t>- mondziekten &amp; kaakchirurgie</t>
  </si>
  <si>
    <t>-dentomax. Orthopedie</t>
  </si>
  <si>
    <t>anesthesisten (pijnbestrijding)</t>
  </si>
  <si>
    <t>werkelijk</t>
  </si>
  <si>
    <t>afspraak</t>
  </si>
  <si>
    <t>wegings-</t>
  </si>
  <si>
    <t>factor</t>
  </si>
  <si>
    <t>opnamen</t>
  </si>
  <si>
    <t>TOTAAL</t>
  </si>
  <si>
    <t>naar</t>
  </si>
  <si>
    <t>loon</t>
  </si>
  <si>
    <t>mat.</t>
  </si>
  <si>
    <t>heupen</t>
  </si>
  <si>
    <t>blad 3</t>
  </si>
  <si>
    <t xml:space="preserve">        ongewogen</t>
  </si>
  <si>
    <t xml:space="preserve">       gewogen</t>
  </si>
  <si>
    <t>Omschrijving</t>
  </si>
  <si>
    <t>-</t>
  </si>
  <si>
    <t>loonkosten</t>
  </si>
  <si>
    <t>mat.kosten</t>
  </si>
  <si>
    <t>in vitro fertilisatie</t>
  </si>
  <si>
    <t>haemodialyses (H1)</t>
  </si>
  <si>
    <t>CAPD-dgn (H2)</t>
  </si>
  <si>
    <t>haemodialyses (H4)</t>
  </si>
  <si>
    <t>CAPD-dgn (H5)</t>
  </si>
  <si>
    <t>Thuisdialyse (W7)</t>
  </si>
  <si>
    <t>Thuisdialyse (W8)</t>
  </si>
  <si>
    <t>Thuisdialyse (W9)</t>
  </si>
  <si>
    <t>Thuisdialyse (W10)</t>
  </si>
  <si>
    <t>CCPD (W11)</t>
  </si>
  <si>
    <t>CCPD (W12)</t>
  </si>
  <si>
    <t>opname-1</t>
  </si>
  <si>
    <t>opname-2</t>
  </si>
  <si>
    <t>verpleegdag-1</t>
  </si>
  <si>
    <t>verpleegdag-2</t>
  </si>
  <si>
    <t>dagverpleging-1</t>
  </si>
  <si>
    <t>dagverpleging-2</t>
  </si>
  <si>
    <t xml:space="preserve">cervix-onderzoeken </t>
  </si>
  <si>
    <t>lab.1e lijn huisbezoek</t>
  </si>
  <si>
    <t>lab.1e lijn  afnames-1</t>
  </si>
  <si>
    <t>lab.1e lijn  afnames-2</t>
  </si>
  <si>
    <t>lab.1e lijn analyses</t>
  </si>
  <si>
    <t>trombotest</t>
  </si>
  <si>
    <t>rontgenonderzoeken</t>
  </si>
  <si>
    <t>functieonderzoeken</t>
  </si>
  <si>
    <t>fysiotherapie/logopedie</t>
  </si>
  <si>
    <t>ptca's</t>
  </si>
  <si>
    <t>AICD-implantatie</t>
  </si>
  <si>
    <t>catheterablatie</t>
  </si>
  <si>
    <t>knieen</t>
  </si>
  <si>
    <t>1e polikl.bezoeker-1</t>
  </si>
  <si>
    <t xml:space="preserve">1e polikl.bezoeker-2 </t>
  </si>
  <si>
    <t>poliklinische bevalling -1</t>
  </si>
  <si>
    <t>poliklinische bevalling -2</t>
  </si>
  <si>
    <t>Tel.nr. :</t>
  </si>
  <si>
    <t>N.B. Aanbevolen volgorde van invulling van de werkbladen :</t>
  </si>
  <si>
    <t xml:space="preserve">Extramurale enkelvoudige ergotherapie,               </t>
  </si>
  <si>
    <t>verschil</t>
  </si>
  <si>
    <t>Totaal</t>
  </si>
  <si>
    <t>prod.afspr.</t>
  </si>
  <si>
    <t>trombotests, aantallen</t>
  </si>
  <si>
    <t xml:space="preserve">Met bovenstaande regels ten behoeve van de eerstelijnsvoorzieningen kan in de meeste gevallen worden volstaan. In beperkte mate wordt in </t>
  </si>
  <si>
    <t>aangevraagd die in de categorie "overige" kunnen worden opgenomen (bijv. histologische- en in-vivo onderzoeken.</t>
  </si>
  <si>
    <t xml:space="preserve">bekostigd, indien voor de betreffende patiënten een polikliniekbezoek wordt geregistreerd. Indien hiervan geen sprake is kunnen deze </t>
  </si>
  <si>
    <t>onderzoeken bij de functieonderzoeken worden opgenomen.</t>
  </si>
  <si>
    <t>Beleidsregelbedragen algemene ziekenhuizen (productiedeel)</t>
  </si>
  <si>
    <t>ergotherapie</t>
  </si>
  <si>
    <t>nacalculatie productieafspraken</t>
  </si>
  <si>
    <t>CTG-nummer</t>
  </si>
  <si>
    <t>in rekenstaat</t>
  </si>
  <si>
    <t>hiv-opname</t>
  </si>
  <si>
    <t>hiv-verpleegdag</t>
  </si>
  <si>
    <t>hiv-polikl.bezoek</t>
  </si>
  <si>
    <t>hiv-dagverpleging</t>
  </si>
  <si>
    <t>hartrevalidatie</t>
  </si>
  <si>
    <t>zelfmeting bloedst.waarden training</t>
  </si>
  <si>
    <t>zelfmeting bloedst.waarden begeleiding</t>
  </si>
  <si>
    <t>"zware" dagverpleging-1</t>
  </si>
  <si>
    <t>"zware" dagverpleging-2</t>
  </si>
  <si>
    <t>opname neonatale IC</t>
  </si>
  <si>
    <t>beademingsdagen IC</t>
  </si>
  <si>
    <t>neurostimulatoren bij pijnbestrijding</t>
  </si>
  <si>
    <t>plaatsing eenz.stimulator bij bew.st.</t>
  </si>
  <si>
    <t>plaatsing tweez.stimulator bij bew.st.</t>
  </si>
  <si>
    <t>vervanging eenz.stimulator bij bew.st.</t>
  </si>
  <si>
    <t>vervanging tweez.stimulator bij bew.st.</t>
  </si>
  <si>
    <t>in RS</t>
  </si>
  <si>
    <t xml:space="preserve">                   gewogen</t>
  </si>
  <si>
    <t xml:space="preserve">                  ongewogen</t>
  </si>
  <si>
    <t>parameterwaarden</t>
  </si>
  <si>
    <t xml:space="preserve">   t.b.v. nacalculatie</t>
  </si>
  <si>
    <t>L</t>
  </si>
  <si>
    <t>M</t>
  </si>
  <si>
    <t>t.b.v. herall./prod.afspr</t>
  </si>
  <si>
    <t xml:space="preserve">                  par.waarden</t>
  </si>
  <si>
    <t>budget</t>
  </si>
  <si>
    <t>Lokale prod.gebonden toeslag</t>
  </si>
  <si>
    <t>erkende bedden</t>
  </si>
  <si>
    <t>klinische adherentie</t>
  </si>
  <si>
    <t>poliklinische adherentie</t>
  </si>
  <si>
    <t>in budget</t>
  </si>
  <si>
    <t xml:space="preserve">nacalculatie </t>
  </si>
  <si>
    <t>berekende verschillen afspraak en realisatie:</t>
  </si>
  <si>
    <t>totaal pagina 5</t>
  </si>
  <si>
    <t>voorlopige nacalculatie lokale productiegebonden component</t>
  </si>
  <si>
    <t>voorlopige nacalculatie dure geneesmiddelen</t>
  </si>
  <si>
    <t>post-IC high care bed</t>
  </si>
  <si>
    <t>bed neurochirurgie</t>
  </si>
  <si>
    <t>toeslag regio A</t>
  </si>
  <si>
    <t>toeslag regio B</t>
  </si>
  <si>
    <t>toeslag regio C</t>
  </si>
  <si>
    <t>toeslag regio D</t>
  </si>
  <si>
    <t>bed brandwonden</t>
  </si>
  <si>
    <t>bed chr.beademing</t>
  </si>
  <si>
    <t>naar pagina 5</t>
  </si>
  <si>
    <t>van pagina 3</t>
  </si>
  <si>
    <t>naar pagina 4</t>
  </si>
  <si>
    <t>van pagina 4</t>
  </si>
  <si>
    <t xml:space="preserve">FB-budget </t>
  </si>
  <si>
    <t>gewogen specialisten eenheden</t>
  </si>
  <si>
    <t xml:space="preserve">sommige instellingen ook nog, zonder tussenkomst van een poortspecialist, een aantal diagnostische verrichtingen door huisartsen </t>
  </si>
  <si>
    <t>Alle in-vitro onderzoeken zijn overgeheveld naar de lab.onderzoeken. Scopieën worden geacht via de tweedelijnsbeleidsregels te worden</t>
  </si>
  <si>
    <t>Laboratoriumtarieven t.b.v. huisartsen :</t>
  </si>
  <si>
    <t>- aantal centrale afnames (a)*</t>
  </si>
  <si>
    <t>-aantal decentrale afnames (b)*</t>
  </si>
  <si>
    <t>- analysekosten**</t>
  </si>
  <si>
    <t>additioneel in het budget worden opgenomen. Vooruitlopend op de definitieve</t>
  </si>
  <si>
    <t>hiv-opnamen ***</t>
  </si>
  <si>
    <t>hiv-verpleegdagen ***</t>
  </si>
  <si>
    <t>hiv-1e polikliniekbezoeken ***</t>
  </si>
  <si>
    <t>hiv-dagverplegingen ***</t>
  </si>
  <si>
    <t>voorlopige</t>
  </si>
  <si>
    <t xml:space="preserve"> </t>
  </si>
  <si>
    <t>plaatsing nervus vagus stimulator</t>
  </si>
  <si>
    <t>vervanging nervus vagus stimulator</t>
  </si>
  <si>
    <t xml:space="preserve">     verpleegdagen etc., worden deze met betrekking tot "hiv" opnieuw gevraagd teneinde een </t>
  </si>
  <si>
    <t xml:space="preserve">     Voor een verdere toelichting mogen wij u verwijzen naar onze circulaire MA/mt/I/03/42c d.d. 17 juli 2003.</t>
  </si>
  <si>
    <t>Betreft de DBC-types (typeringscodes)</t>
  </si>
  <si>
    <t>Totaal aantal afgesloten DBC´s *</t>
  </si>
  <si>
    <t>Parameterwaarden</t>
  </si>
  <si>
    <t>aantallen</t>
  </si>
  <si>
    <t>Verschil</t>
  </si>
  <si>
    <t>Nacalculatie</t>
  </si>
  <si>
    <t xml:space="preserve">o.b.v. </t>
  </si>
  <si>
    <t>gerealiseerde</t>
  </si>
  <si>
    <t>(1-2)</t>
  </si>
  <si>
    <t>Loon</t>
  </si>
  <si>
    <t>Materieel</t>
  </si>
  <si>
    <t>experiment</t>
  </si>
  <si>
    <t>zorgprofiel</t>
  </si>
  <si>
    <t>DBC´s</t>
  </si>
  <si>
    <t>(1)</t>
  </si>
  <si>
    <t>(2)</t>
  </si>
  <si>
    <t>(3)</t>
  </si>
  <si>
    <t>(4)</t>
  </si>
  <si>
    <t>(5)</t>
  </si>
  <si>
    <t>(6) = (4) x (5)</t>
  </si>
  <si>
    <t>Verrichtingen behorende bij DBC</t>
  </si>
  <si>
    <t>Opnamen ongewogen</t>
  </si>
  <si>
    <t>Opnamen gewogen</t>
  </si>
  <si>
    <t xml:space="preserve">Verpleegdagen </t>
  </si>
  <si>
    <t>Eerste polikl.bezoeken ongewogen</t>
  </si>
  <si>
    <t>Eerste polikl.bezoeken gewogen</t>
  </si>
  <si>
    <t>Knie</t>
  </si>
  <si>
    <t>Heup</t>
  </si>
  <si>
    <t>Hemodialyse</t>
  </si>
  <si>
    <t>Hemodialyse met EPO</t>
  </si>
  <si>
    <t>Thuisdialyse</t>
  </si>
  <si>
    <t>Idem met EPO</t>
  </si>
  <si>
    <t>Idem met VDA</t>
  </si>
  <si>
    <t>Idem met EPO + VDA</t>
  </si>
  <si>
    <t>* openingsdatum van de DBC moet liggen nà de ingangsdatum en vóór de einddatum van het DBC-tarief</t>
  </si>
  <si>
    <t>Definitief</t>
  </si>
  <si>
    <t>Overeengekomen</t>
  </si>
  <si>
    <t>percentage</t>
  </si>
  <si>
    <t>Reeds</t>
  </si>
  <si>
    <t>Mutatie</t>
  </si>
  <si>
    <t>t.o.v. budget</t>
  </si>
  <si>
    <t xml:space="preserve">Het CTG wil een bijdrage leveren aan het verminderen van de administratieve lasten bij instellingen. Het CTG streeft tevens </t>
  </si>
  <si>
    <t xml:space="preserve">naar een zo efficiënt mogelijke aanwending van middelen om ontwikkelingen in de gezondheidszorg in kaart te brengen. </t>
  </si>
  <si>
    <t xml:space="preserve">en dat de uitgewisselde gegevens niet verder aan andere personen of organisaties zullen worden doorgeleverd.  </t>
  </si>
  <si>
    <t xml:space="preserve">Het CTG wil de door u op dit formulier ingevulde gegevens betrekken bij de hierboven genoemde gegevensuitwisseling.  </t>
  </si>
  <si>
    <t xml:space="preserve">Bij toestemming levert u een bijdrage aan het verminderen van uw eigen administratieve lasten. </t>
  </si>
  <si>
    <t>ja</t>
  </si>
  <si>
    <t>nee</t>
  </si>
  <si>
    <t xml:space="preserve">Bij bezwaar tegen genoemde gegevensuitwisseling,  </t>
  </si>
  <si>
    <t>verzoeken wij u dit vak aan te kruisen.</t>
  </si>
  <si>
    <t>Opgenomen in rekenstaat als DBC-toeslag</t>
  </si>
  <si>
    <t>Dagverpleging I: normaal</t>
  </si>
  <si>
    <t>Dagverpleging II: zwaar</t>
  </si>
  <si>
    <t>Overeen-</t>
  </si>
  <si>
    <t>gekomen</t>
  </si>
  <si>
    <t>nacalculatie</t>
  </si>
  <si>
    <t>** inclusief deel van de toeslag dat betrekking heeft op specialisten in loondienst</t>
  </si>
  <si>
    <t>Totaal ziekenhuisdeel DBC-toeslag voor de genoemde DBC-types**</t>
  </si>
  <si>
    <t>stents, zonder aftrek aantal 1998</t>
  </si>
  <si>
    <t>normaal</t>
  </si>
  <si>
    <t xml:space="preserve">dagverpleging I: </t>
  </si>
  <si>
    <t>dagverpleging II:</t>
  </si>
  <si>
    <t>zwaar</t>
  </si>
  <si>
    <t xml:space="preserve">     separate budgettoeslag te kunnen berekenen. Voor de toeslagen krijgen al deze aantallen het gewicht 1.</t>
  </si>
  <si>
    <t>overeengekomen nacalculatie experiment-dbc´s</t>
  </si>
  <si>
    <t>overeengekomen voorlopige nacalculatie productieafspraken</t>
  </si>
  <si>
    <t xml:space="preserve">Nacalculatie op toeslag en zorgprofiel DBC-productie: totaal van DBC-types waarover lokaal prijsafspraken zijn gemaakt. </t>
  </si>
  <si>
    <t>Productieaantallen 2005 / 2004</t>
  </si>
  <si>
    <t>mutatie</t>
  </si>
  <si>
    <t>Ondertekening namens Zorgverzekeraars Nederland:</t>
  </si>
  <si>
    <t>of opbrengstresultaten in de tarieven te verwerken.</t>
  </si>
  <si>
    <t>Te verwerken voorlopige budgetmutaties</t>
  </si>
  <si>
    <t>Te verwerken voorlopige opbrengstverschillen</t>
  </si>
  <si>
    <t>Totaal te verrekenen</t>
  </si>
  <si>
    <t>Toelichting:</t>
  </si>
  <si>
    <t>Op deze pagina kunt u de kosten en opbrengstmutaties invullen, waarover in het plaatselijk overleg is afgesproken dat die,</t>
  </si>
  <si>
    <t>nog te verrekenen aanpassingen mee te nemen.</t>
  </si>
  <si>
    <t>Overzicht verwachte budgetmutaties</t>
  </si>
  <si>
    <t>d.d.</t>
  </si>
  <si>
    <t>Aanvaardbare kosten</t>
  </si>
  <si>
    <t>Waarvan voorlopige aanpassingen</t>
  </si>
  <si>
    <t>Rekenstaatnummer</t>
  </si>
  <si>
    <t>Aanvaardbare kosten exclusief Voorlopige aanpassingen</t>
  </si>
  <si>
    <t>Nog te verwerken mutaties</t>
  </si>
  <si>
    <t>A. Nacalculatie op productiegebonden budget</t>
  </si>
  <si>
    <t>B. Aanpassing capaciteitsgebonden kosten specialistenplaatsen</t>
  </si>
  <si>
    <t>C. Aanpassing capaciteitsgebonden kosten (agio's)</t>
  </si>
  <si>
    <t>G. Afschrijvingen</t>
  </si>
  <si>
    <t>H. Rente</t>
  </si>
  <si>
    <t>Verwacht definitief budget</t>
  </si>
  <si>
    <t>Specificatie overige budgetmutaties</t>
  </si>
  <si>
    <t>Overzicht Opbrengstverschillen ziekenhuis</t>
  </si>
  <si>
    <t>A. Verrekend in opbrengsten</t>
  </si>
  <si>
    <t>Verpleegdagen</t>
  </si>
  <si>
    <t>Klasse / Omschrijving</t>
  </si>
  <si>
    <t>Klassenverpleging A-segment 190203</t>
  </si>
  <si>
    <t>opbrengst van gerealiseerde/afgesprokenproductie</t>
  </si>
  <si>
    <t>opbrengst van gerealiseerde/afgesproken productie</t>
  </si>
  <si>
    <t>Overig ; het afgesproken budget vermelden , LOON**</t>
  </si>
  <si>
    <t>Overig ; het afgesproken budget vermelden , MAT.**</t>
  </si>
  <si>
    <t>**  Specificeren s.v.p. Zie ook onderstaande toelichting.</t>
  </si>
  <si>
    <t>naar blad B</t>
  </si>
  <si>
    <t>Dieetadvisering</t>
  </si>
  <si>
    <t>G. Overig (specificeren s.v.p.)</t>
  </si>
  <si>
    <t>Totaal A t/m G</t>
  </si>
  <si>
    <t>met de kostenmutaties die resulteren op basis van de in het formulier aangegeven verrichtingen (blad 1 t/m 12)</t>
  </si>
  <si>
    <t>gedeclareerd</t>
  </si>
  <si>
    <t>tarieven mee te nemen. U vult dan hieronder (regel 1) € 400.000 in en bij de verwachte budgetmutaties € 500.000.</t>
  </si>
  <si>
    <t>blad A en B</t>
  </si>
  <si>
    <r>
      <t xml:space="preserve">blad 1 </t>
    </r>
    <r>
      <rPr>
        <sz val="10"/>
        <rFont val="Arial"/>
        <family val="2"/>
      </rPr>
      <t>(ondertekening)</t>
    </r>
  </si>
  <si>
    <t>Dit blad maakt geen onderdeel uit van de overeenkomst.</t>
  </si>
  <si>
    <t>verwijzen naar de beleidsregel Lokale productiegebonden toeslag (I-613)</t>
  </si>
  <si>
    <t>E. Subtotaal opbrengsten (B+C+D)</t>
  </si>
  <si>
    <t>Verschil (A-E)</t>
  </si>
  <si>
    <t xml:space="preserve">         eerste polikliniekbezoeken </t>
  </si>
  <si>
    <t>Netto</t>
  </si>
  <si>
    <t>inkoopkosten</t>
  </si>
  <si>
    <t>Productieafsprakenformulier</t>
  </si>
  <si>
    <t>Daarom heeft het CTG  afspraken gemaakt over het niet vaker dan één keer stellen van dezelfde vragen aan instellingen.</t>
  </si>
  <si>
    <t xml:space="preserve">Daarbij is bepaald dat deze gegevens bij publicatie niet herleidbaar zijn op het niveau van de individuele instelling </t>
  </si>
  <si>
    <r>
      <t xml:space="preserve">Hieronder kunt u de </t>
    </r>
    <r>
      <rPr>
        <b/>
        <sz val="10"/>
        <rFont val="Arial"/>
        <family val="2"/>
      </rPr>
      <t>verwachte</t>
    </r>
    <r>
      <rPr>
        <sz val="10"/>
        <rFont val="Arial"/>
        <family val="2"/>
      </rPr>
      <t xml:space="preserve"> mutaties invullen. </t>
    </r>
  </si>
  <si>
    <t>totale knie</t>
  </si>
  <si>
    <t>totale heup</t>
  </si>
  <si>
    <t>hemodialyse</t>
  </si>
  <si>
    <t>hemodialyse met EPO</t>
  </si>
  <si>
    <t>thuisdialyse</t>
  </si>
  <si>
    <t>idem met EPO</t>
  </si>
  <si>
    <t>idem met VDA</t>
  </si>
  <si>
    <t>idem met EPO + VDA</t>
  </si>
  <si>
    <t>beademingsdagen IC*</t>
  </si>
  <si>
    <t xml:space="preserve">** Hoewel deze producties reeds begrepen zijn in eerdergevraagde aantallen opnamen, </t>
  </si>
  <si>
    <t xml:space="preserve">     Ook indien het totaal aantal beademingsdagen lager is dan 1000, dient u deze hier op te geven.</t>
  </si>
  <si>
    <t>opbrengst van gerealiseerde/afgesproken productie**</t>
  </si>
  <si>
    <t xml:space="preserve">** de tijdelijke regeling Remicade is per 1-5-2004 vervallen. Het middel is toegevoegd aan de stofnamen lijst beleidsregel dure geneesmiddelen.  </t>
  </si>
  <si>
    <t xml:space="preserve">     Voor de reumapatiënten die voor 1-5-2004 al werden behandeld met remicade blijft de 100% budgettaire vergoedingsregeling bestaan.</t>
  </si>
  <si>
    <t>*bij een positieve nacalculatie kunnen partijen eventueel een lager bedrag overeenkomen.</t>
  </si>
  <si>
    <t xml:space="preserve"> Een negatieve nacalculatie kan niet worden beperkt.</t>
  </si>
  <si>
    <t xml:space="preserve"> + de DBC's uit het B-segment die in de maand januari 2005 zijn geopend</t>
  </si>
  <si>
    <t>Verkeerde bed 190031</t>
  </si>
  <si>
    <t>Gezonde zuigelingen 190033</t>
  </si>
  <si>
    <t>B. Dekking overige opbrengsten</t>
  </si>
  <si>
    <t>C. Dekking trajecten / vaste tarieven</t>
  </si>
  <si>
    <t>Gezonde moeder 190032</t>
  </si>
  <si>
    <t>D. Nacalculatie lokale productiegebonden toeslag</t>
  </si>
  <si>
    <t>E. Nacalculatie dure geneesmiddelen</t>
  </si>
  <si>
    <t>Bij de mutaties op dit blad verzoeken wij u aan te geven ten opzichte van welke rekenstaat de mutaties zijn berekend.</t>
  </si>
  <si>
    <t>Indien er na die datum nog rekenstaten zijn afgegeven verzoeken wij u de hierin opgenomen mutaties in de</t>
  </si>
  <si>
    <t xml:space="preserve"> onderhanden waren + de DBC's uit het B-segment die in de maand januari 2005 zijn geopend</t>
  </si>
  <si>
    <t>hartrevalidatie (opbrengst) oud</t>
  </si>
  <si>
    <t>hartrevalidatie intakecontact</t>
  </si>
  <si>
    <t>hartrevalidatie informatiemodule</t>
  </si>
  <si>
    <t>hartrevalidatie FIT-module &lt;10 sessies</t>
  </si>
  <si>
    <t>hartrevalidatie FIT-module &gt;10 sessies</t>
  </si>
  <si>
    <t>hartrevalidatie PEP-module</t>
  </si>
  <si>
    <t>poliklinische verstrekking cytostatica - 1</t>
  </si>
  <si>
    <t>poloklinische verstrekking cytostatica- 2</t>
  </si>
  <si>
    <t>multitraumapatienten (ISS&gt;=16)</t>
  </si>
  <si>
    <t>hoofd-halsoncologie primaire behandeling</t>
  </si>
  <si>
    <t>hoofd-halsoncologie recidief behandeling</t>
  </si>
  <si>
    <t>eerste implementatie BAHA</t>
  </si>
  <si>
    <t>PGD per aangemelde patient</t>
  </si>
  <si>
    <t>PGD per behandeling (cyclus)</t>
  </si>
  <si>
    <t>implementatie kunsthart (LVAD)</t>
  </si>
  <si>
    <t>spraak- en taaldiagnostiek: vast</t>
  </si>
  <si>
    <t>spraak- en taaldiagnostiek: per kind</t>
  </si>
  <si>
    <t>BMT autoloog AML</t>
  </si>
  <si>
    <t>BMT allogeen</t>
  </si>
  <si>
    <t>BMT allogeen perifeer bloed PBSCT</t>
  </si>
  <si>
    <t>BMT allogeen donor verwant</t>
  </si>
  <si>
    <t>BMT allogeen donor onverwant</t>
  </si>
  <si>
    <t>BMT allogeen nazorg</t>
  </si>
  <si>
    <t>pre-harttransplantatie</t>
  </si>
  <si>
    <t>harttransplantaties</t>
  </si>
  <si>
    <t>nazorg harttransplantaties</t>
  </si>
  <si>
    <t>thuisbeademing basis</t>
  </si>
  <si>
    <t>thuisbeademing 1</t>
  </si>
  <si>
    <t>thuisbeademing 2</t>
  </si>
  <si>
    <t>pre-levertransplantatie</t>
  </si>
  <si>
    <t>levertransplantatie</t>
  </si>
  <si>
    <t>nazorg levertransplantatie</t>
  </si>
  <si>
    <t>pre-(hart)longtransplantatie</t>
  </si>
  <si>
    <t>(hart)longtransplantatie</t>
  </si>
  <si>
    <t>nazorg (hart)longtransplantatie</t>
  </si>
  <si>
    <t>cochleaire implantaties kinderen</t>
  </si>
  <si>
    <t>nazorg cochl. impl. kinderen</t>
  </si>
  <si>
    <t>cochleaire implantaties volwassenen</t>
  </si>
  <si>
    <t>nazorg cochl. impl. volwassenen</t>
  </si>
  <si>
    <t>* voor 2005 geldt een maximale vergoeding van 75% van de werkelijke kosten (netto-inkoopkosten), vanaf 2006 is dit 80 % van de werkelijke kosten</t>
  </si>
  <si>
    <t>Hemostatica</t>
  </si>
  <si>
    <t>Infliximab (Remicade) subcutaan / intramusculair bij reumatoïde artritis**</t>
  </si>
  <si>
    <t>Infliximab (Remicade) intraveneus bij reumatoïde artritis**</t>
  </si>
  <si>
    <t>Infliximab (Remicade) subcutaan / intramusculair bij reumatoïde artritis***</t>
  </si>
  <si>
    <t>Infliximab (Remicade) intraveneus bij reumatoïde artritis***</t>
  </si>
  <si>
    <t>Docetaxel*</t>
  </si>
  <si>
    <t>Irinotecan*</t>
  </si>
  <si>
    <t>Gemcitabine*</t>
  </si>
  <si>
    <t>Oxaliplatine*</t>
  </si>
  <si>
    <t>Paclitaxel*</t>
  </si>
  <si>
    <t>Rituximab*</t>
  </si>
  <si>
    <t>Infliximab (bij M. Crohn)*</t>
  </si>
  <si>
    <t>Immunoglobuline IV*</t>
  </si>
  <si>
    <t>Trastuzumab*</t>
  </si>
  <si>
    <t>Botulinetoxine*</t>
  </si>
  <si>
    <t>Verteporfin*</t>
  </si>
  <si>
    <t>Doxorubicine liposomal (Caelyx)*</t>
  </si>
  <si>
    <t>Infliximab (bij Artritis psoriatica)*</t>
  </si>
  <si>
    <t>Bevacizumab*</t>
  </si>
  <si>
    <t>Pemetrexed*</t>
  </si>
  <si>
    <t>*** Voor reuma-patienten die na 1-5-2004 beginnen met remicade kan hier de 75% budgettaire vergoeding voor 2005 en 80% voor 2006 worden overeengekomen.</t>
  </si>
  <si>
    <t>Vinorelbine* m.i.v. 1 juli 2005</t>
  </si>
  <si>
    <t>liaisonpsychiaters</t>
  </si>
  <si>
    <t>hartrevalidatie FIT-module &lt; 10 sessies</t>
  </si>
  <si>
    <t>hartrevalidatie FIT-module &gt; 10 sessies</t>
  </si>
  <si>
    <t>teletherapie eenvoudig (T1) 140626</t>
  </si>
  <si>
    <t>teletherapie standaard (T2) 140627</t>
  </si>
  <si>
    <t>teletherapie intensief (T3) 140628</t>
  </si>
  <si>
    <t>teletherapie bijzonder (T4) 140629</t>
  </si>
  <si>
    <t>brachytherapie eenvoudig (B1) 140630</t>
  </si>
  <si>
    <t>brachytherapie standaard (B2) 140631</t>
  </si>
  <si>
    <t>brachytherapie intensief (B3) 140632</t>
  </si>
  <si>
    <t>brachytherapie bijzonder (B4) 140633</t>
  </si>
  <si>
    <t>brachytherapie bijzonder (B5) 140634</t>
  </si>
  <si>
    <t>opbrengsten 2005</t>
  </si>
  <si>
    <t>verwachte opbrengst 2006</t>
  </si>
  <si>
    <t>Vanaf 2005 geldt voor dieetadvisering een maximumtarief. Het CTG heeft besloten de opbrengsten uit</t>
  </si>
  <si>
    <t>dieetadvisering niet ter dekking van het budget te brengen maar op te nemen onder de aanvullende inkomsten.</t>
  </si>
  <si>
    <t>Zie de beleidsregel aanvullende inkomsten zorginstellingen CI-847</t>
  </si>
  <si>
    <t>poliklinische cytostatica - 1</t>
  </si>
  <si>
    <t>poliklinische cytostatica- 2</t>
  </si>
  <si>
    <t>algemene en academische ziekenhuizen, waarop de 'beleidsregel functiegerichte budgettering' van toepassing is.</t>
  </si>
  <si>
    <t>wegings-factor</t>
  </si>
  <si>
    <t>aantal agio's in loondienst</t>
  </si>
  <si>
    <t>aantal agio's vrijgevestigd</t>
  </si>
  <si>
    <t>Loonkosten agio's</t>
  </si>
  <si>
    <t>Overzicht medisch specialismen</t>
  </si>
  <si>
    <t>totaal</t>
  </si>
  <si>
    <t>totaal gewogen</t>
  </si>
  <si>
    <t>opname</t>
  </si>
  <si>
    <t>verpleegdag</t>
  </si>
  <si>
    <t>dagverpleging</t>
  </si>
  <si>
    <t>zware dagverpleging</t>
  </si>
  <si>
    <t>poliklinische cytostatica</t>
  </si>
  <si>
    <t>poliklinische bevalling</t>
  </si>
  <si>
    <t>materieel</t>
  </si>
  <si>
    <t>totaal schaaleffecten</t>
  </si>
  <si>
    <t>Schoning investeringsrichtlijn</t>
  </si>
  <si>
    <t>med sp. Per erkend bed-1</t>
  </si>
  <si>
    <t>med sp. Per erkend bed-2</t>
  </si>
  <si>
    <t xml:space="preserve"> aantal agio's in RS 2005</t>
  </si>
  <si>
    <t>Interne geneeskunde</t>
  </si>
  <si>
    <t>Klinische geriatrie</t>
  </si>
  <si>
    <t>Longziekten en tuberculose</t>
  </si>
  <si>
    <t>Reumatologie</t>
  </si>
  <si>
    <t>Cardiologie</t>
  </si>
  <si>
    <t>Maag-darm-leverziekten</t>
  </si>
  <si>
    <t>Allergologie</t>
  </si>
  <si>
    <t>Kindergeneeskunde</t>
  </si>
  <si>
    <t>Heelkunde/chirurgie</t>
  </si>
  <si>
    <t>Orthopedie</t>
  </si>
  <si>
    <t>Urologie</t>
  </si>
  <si>
    <t>Plastische chirurgie</t>
  </si>
  <si>
    <t>Neurochirurgie</t>
  </si>
  <si>
    <t>Cardiothoraxale/card.pulm. Chirurgie</t>
  </si>
  <si>
    <t>Gyneacologie en verloskunde</t>
  </si>
  <si>
    <t>Oogheelkunde</t>
  </si>
  <si>
    <t>Keel-neus-oorheelkunde</t>
  </si>
  <si>
    <t>Dermatologie en venerologie</t>
  </si>
  <si>
    <t>Neurologie</t>
  </si>
  <si>
    <t>Revalidatiegeneeskunde</t>
  </si>
  <si>
    <t>Radiotherapie</t>
  </si>
  <si>
    <t>Anesthesiologie</t>
  </si>
  <si>
    <t>Kaakchirurgie</t>
  </si>
  <si>
    <t>-dentomax. Orthopedie/Orthodontie</t>
  </si>
  <si>
    <t>Klinische genetica</t>
  </si>
  <si>
    <t>Medische microbiologie</t>
  </si>
  <si>
    <t>Nucleaire geneeskunde</t>
  </si>
  <si>
    <t>Pathologie</t>
  </si>
  <si>
    <t>Radiologie</t>
  </si>
  <si>
    <t>Ziekenhuisapotheker</t>
  </si>
  <si>
    <t>Klinisch fysicus</t>
  </si>
  <si>
    <t>Klinisch chemicus, mits erkend</t>
  </si>
  <si>
    <t>verg. opleiding type 1</t>
  </si>
  <si>
    <t>verg. opleiding type 2</t>
  </si>
  <si>
    <t>verg. opleiding type 3</t>
  </si>
  <si>
    <t>med sp. Per erkend bed-1 (kap)</t>
  </si>
  <si>
    <t>med sp. Per erkend bed-2 (kap)</t>
  </si>
  <si>
    <t>agio extra</t>
  </si>
  <si>
    <t>agio (loondienst)</t>
  </si>
  <si>
    <t>agio (vrijgevestigd)</t>
  </si>
  <si>
    <t>agio's loondienst</t>
  </si>
  <si>
    <t>agio's vrijgevestigd</t>
  </si>
  <si>
    <t>agio's extra</t>
  </si>
  <si>
    <t>Berekende schoning</t>
  </si>
  <si>
    <t>uitbreiding agio's (regel 25 rekenstaat 2005)</t>
  </si>
  <si>
    <t>Schoning loonkosten</t>
  </si>
  <si>
    <t>loondienst  agio's</t>
  </si>
  <si>
    <t>vrijgevestigd agio's</t>
  </si>
  <si>
    <t>aantal</t>
  </si>
  <si>
    <t>bedrag</t>
  </si>
  <si>
    <t>Vergoedingsbedrag op basis van aantallen bezette opleidingsplaatsen ultimo 2005</t>
  </si>
  <si>
    <t>bedrag ogv type</t>
  </si>
  <si>
    <t>opleidingsmiddelen academische component 2005 (alleen acad. zks)</t>
  </si>
  <si>
    <t>bezette opl.plaatsen ult. 2005</t>
  </si>
  <si>
    <t>Aantal agio's voor investeringsrichtlijn (regel 835 * 0,25)</t>
  </si>
  <si>
    <t>eerste polikliniek bezoek</t>
  </si>
  <si>
    <t>specialismen met schaalgrootte afhankelijke bekostiging</t>
  </si>
  <si>
    <t>specialismen zonder schaalgrootte afhankelijke bekostiging</t>
  </si>
  <si>
    <t>Schoning schaaleffecten</t>
  </si>
  <si>
    <t>Schoning budgetparameters agio's</t>
  </si>
  <si>
    <t>gewogen agio's</t>
  </si>
  <si>
    <t>blad 11, 12, 3, 4, 5, 6, 7,  8 , 9 ,10</t>
  </si>
  <si>
    <t>lokale productiegebonden toeslag.</t>
  </si>
  <si>
    <t>Overloop voorlopige nacalculatie DBC experiment in 2005.</t>
  </si>
  <si>
    <t>Recapitulatie voorlopige nacalculaties.</t>
  </si>
  <si>
    <t>Berekening (gewogen) opnamen en verpleegdagen.</t>
  </si>
  <si>
    <t>Berekening (gewogen) eerste polikliniekbezoeken en dagverplegingen.</t>
  </si>
  <si>
    <t>Beleidsregelbedragen algemene ziekenhuizen.</t>
  </si>
  <si>
    <t>Overzicht verwachte budgetmutaties.</t>
  </si>
  <si>
    <t>Dure geneesmiddelen.</t>
  </si>
  <si>
    <r>
      <t xml:space="preserve">*  U dient in alle kolommen het totaal aantal 24-uurs beademingsdagen </t>
    </r>
    <r>
      <rPr>
        <b/>
        <sz val="10"/>
        <rFont val="Arial"/>
        <family val="2"/>
      </rPr>
      <t>inclusief</t>
    </r>
    <r>
      <rPr>
        <sz val="10"/>
        <rFont val="Arial"/>
        <family val="2"/>
      </rPr>
      <t xml:space="preserve"> de eerste 1000 op te nemen.</t>
    </r>
  </si>
  <si>
    <r>
      <t>Overeengekomen</t>
    </r>
    <r>
      <rPr>
        <sz val="10"/>
        <rFont val="Arial"/>
        <family val="0"/>
      </rPr>
      <t xml:space="preserve"> voorlopige budget-/opbrengstmutaties</t>
    </r>
  </si>
  <si>
    <t>opname pediatrische IC</t>
  </si>
  <si>
    <t>niertransplantaties</t>
  </si>
  <si>
    <t>jaarkaart niertransplantaties</t>
  </si>
  <si>
    <t>e-mail:</t>
  </si>
  <si>
    <r>
      <t xml:space="preserve">Partijen verzoeken u op grond van artikel 4 lid 1  van de WTG de op blad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vermelde voorlopige budgetaanpassingen  </t>
    </r>
  </si>
  <si>
    <t>datum laatste rekenstaat</t>
  </si>
  <si>
    <t>Aantal erkende bedden conform regel 40 laatste rekenstaat 2005:</t>
  </si>
  <si>
    <t>** schoning schaaleffecten is alleen van toepassing op algemene ziekenhuizen</t>
  </si>
  <si>
    <t>bezette plaatsen ult. 2000*</t>
  </si>
  <si>
    <t>* u wordt verzocht de werkelijke aantallen agio's ultimo 2000 op te geven ten behoeve van de schoning van de lumpsum.</t>
  </si>
  <si>
    <t>hoofd-halsoncologie primaire behandeling (werkelijke aantallen)</t>
  </si>
  <si>
    <t>hoofd-halsoncologie recidief behandeling (werkelijke aantallen)</t>
  </si>
  <si>
    <t>werkelijk*</t>
  </si>
  <si>
    <t xml:space="preserve">* voor 2005 alle DBC's uit het A-segment die in 2005 geopend worden + de DBC's uit het A- en B-segment die ultimo 2004 </t>
  </si>
  <si>
    <t xml:space="preserve">      verpleegdagen**</t>
  </si>
  <si>
    <t>totaal voor schaalgrootte afhankelijke bekostiging</t>
  </si>
  <si>
    <t>Totaal schoning</t>
  </si>
  <si>
    <t>Restpost (ten behoeve van budgetneutraliteit) regel 860-864</t>
  </si>
  <si>
    <t>In verband met de invoering van een nieuwe bekostingssystematiek voor zorgopleidingen met ingang van 2006 verzoeken wij u</t>
  </si>
  <si>
    <t xml:space="preserve">voor de eerste drie kolommen de aantallen agio's van de laatste rekenstaat 2005 op te geven. Voor de verwerking wordt verwijzen wij u naar de circulaire </t>
  </si>
  <si>
    <t>psychiaters in  PAAZ-setting***</t>
  </si>
  <si>
    <t>psychiaters in PAAZ-setting**</t>
  </si>
  <si>
    <t>Berekening (gewogen) eerste polikliniekbezoeken en dagverplegingen A-segment DBC's*</t>
  </si>
  <si>
    <t>** de regel psychiaters in PAAZ-setting is alleen van toepassing voor de academische ziekenhuizen.</t>
  </si>
  <si>
    <t>BMT allogeen definitie 2005</t>
  </si>
  <si>
    <t>BMT allogeen donor verwant definitie 2005</t>
  </si>
  <si>
    <t>BMT allogeen donor onverwant definitie 2005</t>
  </si>
  <si>
    <t>BMT allogeen donor verwant nieuwe definitie</t>
  </si>
  <si>
    <t>BMT allogeen donor onverwant nieuwe definitie</t>
  </si>
  <si>
    <t>*** de regel psychiaters in PAAZ-setting is alleen van toepassing voor de academische ziekenhuizen. Algemene ziekenhuizen dienen deze regel niet in te vullen.</t>
  </si>
  <si>
    <t>Blad A</t>
  </si>
  <si>
    <t>Blad B</t>
  </si>
  <si>
    <t>Herschikkingssbedragen</t>
  </si>
  <si>
    <t xml:space="preserve">. Voor een verdere toelichting mogen wij u </t>
  </si>
  <si>
    <t>opnamen (zie blad 12) ongewogen</t>
  </si>
  <si>
    <t>opnamen (zie blad 12) gewogen</t>
  </si>
  <si>
    <t>verpleegdagen (zie blad 12) (vanaf 2006 excl. verkeerde beddagen)</t>
  </si>
  <si>
    <t>eerste polikl.bezoeken (zie blad 13) ongewogen</t>
  </si>
  <si>
    <t>eerste polikl.bezoeken (zie blad 13) gewogen</t>
  </si>
  <si>
    <t>dagverpleging I: normaal (zie blad 13)</t>
  </si>
  <si>
    <t>dagverpleging II: zwaar (zie blad 13)</t>
  </si>
  <si>
    <t xml:space="preserve">die verspreid over de diverse locaties (prikpunten), verwijderd van de hoofdlocatie respectievelijk het laboratorium plaatsvindt. Ziekenhuislocaties als gevolg van bijvoorbeeld een fusie </t>
  </si>
  <si>
    <t xml:space="preserve"> dienen hierbij niet als een decentraal prikpunt te worden aangemerkt. Als Prikpunten dienen te worden aangemerkt "niet-WZV-goedgekeurde locaties", die buiten de ziekenhuislocaties zijn gelegen.</t>
  </si>
  <si>
    <r>
      <t>*</t>
    </r>
    <r>
      <rPr>
        <sz val="10"/>
        <rFont val="Arial"/>
        <family val="2"/>
      </rPr>
      <t xml:space="preserve"> voor 2005 alle DBC's uit het A-segment die in 2005 geopend worden + de DBC's uit het A- en B-segment die ultimo 2004 onderhanden waren </t>
    </r>
  </si>
  <si>
    <t>afspraak**</t>
  </si>
  <si>
    <t>** vanaf 2006 zijn de verpleegdagen exclusief de verkeerde beddagen. In 2005 tellen deze nog wel mee voor het FB-budget. U dient voor 2006 de verpleegdagen per specialisme exclusief verkeerde bed</t>
  </si>
  <si>
    <t xml:space="preserve"> op te geven. Voor de overeenkomst tussen ziekenhuis en zorgkantoor over de verkeerde beddagen ontvangt u een afzonderlijk afsprakenformulier.</t>
  </si>
  <si>
    <t>Herschikking budget i.v.m. nieuwe bekostigingssystematiek voor opleidingen.</t>
  </si>
  <si>
    <t>lumpsumschoning</t>
  </si>
  <si>
    <t xml:space="preserve">JMAN/erug/A/05/167 en beleidsregel CI-866. In de vierde kolom dient u het aantal werkelijk bezette opleidingsplaatsen ultimo 2000 op te geven, in de laatste kolom </t>
  </si>
  <si>
    <t>het aantal bezette plaatsen ultimo 2005.</t>
  </si>
  <si>
    <t>Verrekeneenheden voor de tariefberekening</t>
  </si>
  <si>
    <t>Omzet overloop DBC's geopend in 2004/gesloten 2005 ( A/B-segment)</t>
  </si>
  <si>
    <t>Omzet DBC´s A-segment geopend en gesloten in 2005 (inclusief verrekenpercentage)</t>
  </si>
  <si>
    <t>Omzet DBC´s B-segment geopend voor 1 februari 2005, gesloten in 2005</t>
  </si>
  <si>
    <t>Openstaande DBC´s A-segment ultimo 2005  (onderhanden werk)</t>
  </si>
  <si>
    <t>Openstaande DBC´s B-segment ult. 2005, geopend in jan.2005(onderhanden werk)</t>
  </si>
  <si>
    <t>Honoraria-opbrengsten voor medisch specialistische hulp in loondienst</t>
  </si>
  <si>
    <t>Honoraria-opbrengsten voor medisch specialistische hulp in loondienst openstaand  ult. 2005</t>
  </si>
  <si>
    <t>dekking tarieven (tot en met 2004)</t>
  </si>
  <si>
    <t>D. Dekking tarieven* waarvan:</t>
  </si>
  <si>
    <t>* Voor de opbrengstenverantwoording van het jaar 2005 verwijzen wij u naar de "handleiding ketencontrole en verantwoording DBC's"</t>
  </si>
  <si>
    <t xml:space="preserve">Infliximab (bij Spondylitis Ankylopoetica)* </t>
  </si>
  <si>
    <t>Versie 8 maart 2006</t>
  </si>
</sst>
</file>

<file path=xl/styles.xml><?xml version="1.0" encoding="utf-8"?>
<styleSheet xmlns="http://schemas.openxmlformats.org/spreadsheetml/2006/main">
  <numFmts count="5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,##0.00_ ;[Red]\-#,##0.00\ "/>
    <numFmt numFmtId="171" formatCode="#,##0_ ;[Red]\-#,##0\ "/>
    <numFmt numFmtId="172" formatCode="General_)"/>
    <numFmt numFmtId="173" formatCode="#,##0_ ;\-#,##0\ "/>
    <numFmt numFmtId="174" formatCode="0.000"/>
    <numFmt numFmtId="175" formatCode="0.0"/>
    <numFmt numFmtId="176" formatCode="d\ mmmm\ yyyy"/>
    <numFmt numFmtId="177" formatCode="#,##0.0000_ ;[Red]\-#,##0.0000\ "/>
    <numFmt numFmtId="178" formatCode="0.0%"/>
    <numFmt numFmtId="179" formatCode="_-\€\ * #,##0_-;_-\€\ * #,##0\-;_-\€\ * &quot;-&quot;??_-;_-@_-"/>
    <numFmt numFmtId="180" formatCode="#,##0.00_-"/>
    <numFmt numFmtId="181" formatCode="dd/mmm/yy"/>
    <numFmt numFmtId="182" formatCode="#,##0.0_ ;[Red]\-#,##0.0\ "/>
    <numFmt numFmtId="183" formatCode="#,##0.000_ ;[Red]\-#,##0.000\ "/>
    <numFmt numFmtId="184" formatCode="_-\€\ * #,##0.00_-;_-\€\ * #,##0.00\-;_-\€\ * &quot;-&quot;??_-;_-@_-"/>
    <numFmt numFmtId="185" formatCode="_-\€\ * #,##0.0_-;_-\€\ * #,##0.0\-;_-\€\ * &quot;-&quot;??_-;_-@_-"/>
    <numFmt numFmtId="186" formatCode="0.000%"/>
    <numFmt numFmtId="187" formatCode="0\ ;"/>
    <numFmt numFmtId="188" formatCode="#,##0.00000_ ;[Red]\-#,##0.00000\ "/>
    <numFmt numFmtId="189" formatCode="#,##0.000000_ ;[Red]\-#,##0.000000\ "/>
    <numFmt numFmtId="190" formatCode="0.000000"/>
    <numFmt numFmtId="191" formatCode="0.0000000"/>
    <numFmt numFmtId="192" formatCode="0.00000000"/>
    <numFmt numFmtId="193" formatCode="0.00000"/>
    <numFmt numFmtId="194" formatCode="#,##0.0000000_ ;[Red]\-#,##0.0000000\ "/>
    <numFmt numFmtId="195" formatCode="0.0000"/>
    <numFmt numFmtId="196" formatCode="#,##0_ \ ;\(#,##0\)_ ;"/>
    <numFmt numFmtId="197" formatCode="&quot;Ja&quot;;&quot;Ja&quot;;&quot;Nee&quot;"/>
    <numFmt numFmtId="198" formatCode="&quot;Waar&quot;;&quot;Waar&quot;;&quot;Niet waar&quot;"/>
    <numFmt numFmtId="199" formatCode="&quot;Aan&quot;;&quot;Aan&quot;;&quot;Uit&quot;"/>
    <numFmt numFmtId="200" formatCode="[$€-2]\ #.##000_);[Red]\([$€-2]\ #.##000\)"/>
    <numFmt numFmtId="201" formatCode="_-* #,##0.0_-;_-* #,##0.0\-;_-* &quot;-&quot;??_-;_-@_-"/>
    <numFmt numFmtId="202" formatCode="_-* #,##0_-;_-* #,##0\-;_-* &quot;-&quot;??_-;_-@_-"/>
    <numFmt numFmtId="203" formatCode="_-* #,##0.000_-;_-* #,##0.000\-;_-* &quot;-&quot;??_-;_-@_-"/>
    <numFmt numFmtId="204" formatCode="_-* #,##0.0000_-;_-* #,##0.0000\-;_-* &quot;-&quot;??_-;_-@_-"/>
    <numFmt numFmtId="205" formatCode="#,##0.0"/>
    <numFmt numFmtId="206" formatCode="[$-413]dddd\ d\ mmmm\ yyyy"/>
    <numFmt numFmtId="207" formatCode="[$-413]dd/mmm/yy;@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i/>
      <sz val="10"/>
      <name val="Arial"/>
      <family val="0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5" fillId="0" borderId="1" applyFill="0" applyBorder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1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Border="1" applyAlignment="1">
      <alignment horizontal="center"/>
    </xf>
    <xf numFmtId="171" fontId="1" fillId="0" borderId="0" xfId="0" applyNumberFormat="1" applyFont="1" applyBorder="1" applyAlignment="1" applyProtection="1">
      <alignment/>
      <protection/>
    </xf>
    <xf numFmtId="171" fontId="1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3" fontId="5" fillId="0" borderId="0" xfId="17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188" fontId="0" fillId="2" borderId="0" xfId="0" applyNumberFormat="1" applyFont="1" applyFill="1" applyAlignment="1">
      <alignment/>
    </xf>
    <xf numFmtId="189" fontId="0" fillId="2" borderId="0" xfId="0" applyNumberFormat="1" applyFont="1" applyFill="1" applyAlignment="1">
      <alignment/>
    </xf>
    <xf numFmtId="190" fontId="0" fillId="2" borderId="0" xfId="0" applyNumberFormat="1" applyFont="1" applyFill="1" applyAlignment="1">
      <alignment/>
    </xf>
    <xf numFmtId="170" fontId="0" fillId="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171" fontId="0" fillId="0" borderId="0" xfId="0" applyNumberFormat="1" applyFont="1" applyAlignment="1" applyProtection="1">
      <alignment/>
      <protection/>
    </xf>
    <xf numFmtId="171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center"/>
      <protection/>
    </xf>
    <xf numFmtId="171" fontId="0" fillId="0" borderId="0" xfId="0" applyNumberFormat="1" applyFont="1" applyFill="1" applyBorder="1" applyAlignment="1" applyProtection="1" quotePrefix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171" fontId="0" fillId="4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171" fontId="1" fillId="0" borderId="2" xfId="0" applyNumberFormat="1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2" borderId="6" xfId="0" applyFont="1" applyFill="1" applyBorder="1" applyAlignment="1">
      <alignment horizontal="center"/>
    </xf>
    <xf numFmtId="0" fontId="2" fillId="0" borderId="3" xfId="0" applyFont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49" fontId="0" fillId="0" borderId="3" xfId="0" applyNumberForma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171" fontId="1" fillId="2" borderId="7" xfId="0" applyNumberFormat="1" applyFont="1" applyFill="1" applyBorder="1" applyAlignment="1">
      <alignment horizontal="center"/>
    </xf>
    <xf numFmtId="171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171" fontId="1" fillId="2" borderId="11" xfId="0" applyNumberFormat="1" applyFont="1" applyFill="1" applyBorder="1" applyAlignment="1" applyProtection="1">
      <alignment horizontal="center"/>
      <protection/>
    </xf>
    <xf numFmtId="0" fontId="1" fillId="2" borderId="11" xfId="0" applyNumberFormat="1" applyFont="1" applyFill="1" applyBorder="1" applyAlignment="1" applyProtection="1">
      <alignment horizontal="center"/>
      <protection/>
    </xf>
    <xf numFmtId="0" fontId="1" fillId="2" borderId="3" xfId="0" applyNumberFormat="1" applyFont="1" applyFill="1" applyBorder="1" applyAlignment="1" applyProtection="1">
      <alignment horizontal="center"/>
      <protection/>
    </xf>
    <xf numFmtId="171" fontId="1" fillId="2" borderId="6" xfId="0" applyNumberFormat="1" applyFont="1" applyFill="1" applyBorder="1" applyAlignment="1">
      <alignment horizontal="center"/>
    </xf>
    <xf numFmtId="171" fontId="1" fillId="2" borderId="11" xfId="0" applyNumberFormat="1" applyFont="1" applyFill="1" applyBorder="1" applyAlignment="1">
      <alignment horizontal="center"/>
    </xf>
    <xf numFmtId="171" fontId="1" fillId="2" borderId="6" xfId="0" applyNumberFormat="1" applyFont="1" applyFill="1" applyBorder="1" applyAlignment="1" applyProtection="1">
      <alignment horizontal="center"/>
      <protection/>
    </xf>
    <xf numFmtId="0" fontId="1" fillId="2" borderId="6" xfId="0" applyNumberFormat="1" applyFont="1" applyFill="1" applyBorder="1" applyAlignment="1">
      <alignment horizontal="center"/>
    </xf>
    <xf numFmtId="171" fontId="1" fillId="2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171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12" xfId="0" applyFont="1" applyFill="1" applyBorder="1" applyAlignment="1" applyProtection="1">
      <alignment/>
      <protection/>
    </xf>
    <xf numFmtId="171" fontId="1" fillId="2" borderId="7" xfId="0" applyNumberFormat="1" applyFont="1" applyFill="1" applyBorder="1" applyAlignment="1" applyProtection="1">
      <alignment horizontal="center"/>
      <protection/>
    </xf>
    <xf numFmtId="171" fontId="1" fillId="2" borderId="8" xfId="0" applyNumberFormat="1" applyFont="1" applyFill="1" applyBorder="1" applyAlignment="1" applyProtection="1">
      <alignment horizontal="center"/>
      <protection/>
    </xf>
    <xf numFmtId="0" fontId="1" fillId="2" borderId="9" xfId="0" applyNumberFormat="1" applyFont="1" applyFill="1" applyBorder="1" applyAlignment="1" applyProtection="1">
      <alignment horizontal="center"/>
      <protection/>
    </xf>
    <xf numFmtId="0" fontId="1" fillId="2" borderId="6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4" fillId="4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 quotePrefix="1">
      <alignment/>
      <protection/>
    </xf>
    <xf numFmtId="171" fontId="0" fillId="0" borderId="13" xfId="0" applyNumberFormat="1" applyFont="1" applyFill="1" applyBorder="1" applyAlignment="1" applyProtection="1">
      <alignment/>
      <protection/>
    </xf>
    <xf numFmtId="171" fontId="0" fillId="0" borderId="13" xfId="0" applyNumberFormat="1" applyFont="1" applyBorder="1" applyAlignment="1" applyProtection="1">
      <alignment/>
      <protection/>
    </xf>
    <xf numFmtId="171" fontId="0" fillId="4" borderId="13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178" fontId="0" fillId="4" borderId="13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70" fontId="0" fillId="4" borderId="13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9" fontId="0" fillId="4" borderId="13" xfId="19" applyFont="1" applyFill="1" applyBorder="1" applyAlignment="1" applyProtection="1">
      <alignment/>
      <protection/>
    </xf>
    <xf numFmtId="170" fontId="0" fillId="0" borderId="13" xfId="0" applyNumberFormat="1" applyFont="1" applyFill="1" applyBorder="1" applyAlignment="1" applyProtection="1">
      <alignment/>
      <protection/>
    </xf>
    <xf numFmtId="170" fontId="0" fillId="0" borderId="13" xfId="0" applyNumberFormat="1" applyFont="1" applyFill="1" applyBorder="1" applyAlignment="1" applyProtection="1" quotePrefix="1">
      <alignment horizontal="right"/>
      <protection/>
    </xf>
    <xf numFmtId="170" fontId="0" fillId="0" borderId="13" xfId="0" applyNumberFormat="1" applyFont="1" applyBorder="1" applyAlignment="1" applyProtection="1" quotePrefix="1">
      <alignment/>
      <protection/>
    </xf>
    <xf numFmtId="171" fontId="0" fillId="0" borderId="0" xfId="0" applyNumberFormat="1" applyFont="1" applyBorder="1" applyAlignment="1" applyProtection="1">
      <alignment horizontal="center"/>
      <protection/>
    </xf>
    <xf numFmtId="171" fontId="0" fillId="0" borderId="13" xfId="0" applyNumberFormat="1" applyFont="1" applyBorder="1" applyAlignment="1" applyProtection="1">
      <alignment horizontal="center"/>
      <protection/>
    </xf>
    <xf numFmtId="171" fontId="0" fillId="0" borderId="13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right"/>
      <protection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83" fontId="0" fillId="0" borderId="13" xfId="0" applyNumberFormat="1" applyFont="1" applyFill="1" applyBorder="1" applyAlignment="1" applyProtection="1">
      <alignment/>
      <protection/>
    </xf>
    <xf numFmtId="178" fontId="0" fillId="0" borderId="13" xfId="19" applyNumberFormat="1" applyFont="1" applyFill="1" applyBorder="1" applyAlignment="1" applyProtection="1">
      <alignment/>
      <protection/>
    </xf>
    <xf numFmtId="202" fontId="1" fillId="0" borderId="0" xfId="17" applyNumberFormat="1" applyFont="1" applyAlignment="1">
      <alignment/>
    </xf>
    <xf numFmtId="202" fontId="1" fillId="0" borderId="0" xfId="17" applyNumberFormat="1" applyFont="1" applyBorder="1" applyAlignment="1">
      <alignment/>
    </xf>
    <xf numFmtId="171" fontId="6" fillId="0" borderId="0" xfId="0" applyNumberFormat="1" applyFont="1" applyFill="1" applyBorder="1" applyAlignment="1" applyProtection="1">
      <alignment/>
      <protection/>
    </xf>
    <xf numFmtId="202" fontId="1" fillId="0" borderId="0" xfId="17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8" fontId="0" fillId="4" borderId="13" xfId="19" applyNumberFormat="1" applyFont="1" applyFill="1" applyBorder="1" applyAlignment="1" applyProtection="1">
      <alignment/>
      <protection/>
    </xf>
    <xf numFmtId="171" fontId="0" fillId="0" borderId="17" xfId="0" applyNumberFormat="1" applyFont="1" applyFill="1" applyBorder="1" applyAlignment="1" applyProtection="1">
      <alignment/>
      <protection/>
    </xf>
    <xf numFmtId="171" fontId="0" fillId="4" borderId="13" xfId="0" applyNumberFormat="1" applyFont="1" applyFill="1" applyBorder="1" applyAlignment="1">
      <alignment/>
    </xf>
    <xf numFmtId="171" fontId="0" fillId="0" borderId="13" xfId="0" applyNumberFormat="1" applyFont="1" applyBorder="1" applyAlignment="1" quotePrefix="1">
      <alignment/>
    </xf>
    <xf numFmtId="171" fontId="0" fillId="4" borderId="18" xfId="0" applyNumberFormat="1" applyFont="1" applyFill="1" applyBorder="1" applyAlignment="1">
      <alignment/>
    </xf>
    <xf numFmtId="171" fontId="0" fillId="0" borderId="13" xfId="0" applyNumberFormat="1" applyFont="1" applyFill="1" applyBorder="1" applyAlignment="1" quotePrefix="1">
      <alignment/>
    </xf>
    <xf numFmtId="171" fontId="0" fillId="0" borderId="13" xfId="0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70" fontId="0" fillId="4" borderId="1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0" fontId="0" fillId="0" borderId="6" xfId="0" applyNumberForma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70" fontId="0" fillId="0" borderId="13" xfId="0" applyNumberFormat="1" applyFont="1" applyFill="1" applyBorder="1" applyAlignment="1" applyProtection="1" quotePrefix="1">
      <alignment/>
      <protection/>
    </xf>
    <xf numFmtId="171" fontId="0" fillId="4" borderId="0" xfId="0" applyNumberFormat="1" applyFont="1" applyFill="1" applyBorder="1" applyAlignment="1">
      <alignment/>
    </xf>
    <xf numFmtId="171" fontId="0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2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20" xfId="0" applyNumberFormat="1" applyBorder="1" applyAlignment="1" applyProtection="1">
      <alignment/>
      <protection hidden="1"/>
    </xf>
    <xf numFmtId="170" fontId="0" fillId="0" borderId="0" xfId="0" applyNumberFormat="1" applyBorder="1" applyAlignment="1" applyProtection="1">
      <alignment/>
      <protection hidden="1"/>
    </xf>
    <xf numFmtId="0" fontId="0" fillId="0" borderId="6" xfId="0" applyBorder="1" applyAlignment="1">
      <alignment/>
    </xf>
    <xf numFmtId="43" fontId="0" fillId="0" borderId="13" xfId="17" applyFont="1" applyFill="1" applyBorder="1" applyAlignment="1">
      <alignment/>
    </xf>
    <xf numFmtId="170" fontId="0" fillId="0" borderId="7" xfId="0" applyNumberFormat="1" applyBorder="1" applyAlignment="1" applyProtection="1">
      <alignment/>
      <protection hidden="1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70" fontId="0" fillId="0" borderId="6" xfId="0" applyNumberFormat="1" applyFont="1" applyBorder="1" applyAlignment="1" applyProtection="1">
      <alignment/>
      <protection hidden="1"/>
    </xf>
    <xf numFmtId="0" fontId="0" fillId="0" borderId="6" xfId="0" applyFont="1" applyFill="1" applyBorder="1" applyAlignment="1" applyProtection="1">
      <alignment/>
      <protection hidden="1"/>
    </xf>
    <xf numFmtId="171" fontId="1" fillId="0" borderId="0" xfId="0" applyNumberFormat="1" applyFont="1" applyFill="1" applyAlignment="1">
      <alignment/>
    </xf>
    <xf numFmtId="174" fontId="0" fillId="0" borderId="6" xfId="0" applyNumberFormat="1" applyFont="1" applyBorder="1" applyAlignment="1" applyProtection="1">
      <alignment/>
      <protection hidden="1"/>
    </xf>
    <xf numFmtId="37" fontId="0" fillId="0" borderId="0" xfId="0" applyNumberFormat="1" applyFont="1" applyAlignment="1" applyProtection="1" quotePrefix="1">
      <alignment/>
      <protection/>
    </xf>
    <xf numFmtId="0" fontId="0" fillId="0" borderId="0" xfId="0" applyFont="1" applyFill="1" applyAlignment="1" applyProtection="1">
      <alignment/>
      <protection hidden="1"/>
    </xf>
    <xf numFmtId="170" fontId="0" fillId="0" borderId="2" xfId="0" applyNumberFormat="1" applyFont="1" applyBorder="1" applyAlignment="1">
      <alignment/>
    </xf>
    <xf numFmtId="171" fontId="0" fillId="4" borderId="0" xfId="0" applyNumberFormat="1" applyFont="1" applyFill="1" applyAlignment="1">
      <alignment/>
    </xf>
    <xf numFmtId="170" fontId="0" fillId="0" borderId="0" xfId="0" applyNumberFormat="1" applyFont="1" applyBorder="1" applyAlignment="1">
      <alignment/>
    </xf>
    <xf numFmtId="171" fontId="1" fillId="0" borderId="0" xfId="0" applyNumberFormat="1" applyFont="1" applyFill="1" applyAlignment="1" applyProtection="1">
      <alignment/>
      <protection/>
    </xf>
    <xf numFmtId="0" fontId="12" fillId="4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1" fillId="0" borderId="13" xfId="0" applyFont="1" applyFill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2" borderId="2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2" xfId="0" applyNumberFormat="1" applyFont="1" applyBorder="1" applyAlignment="1" quotePrefix="1">
      <alignment horizontal="center"/>
    </xf>
    <xf numFmtId="3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2" borderId="22" xfId="0" applyFont="1" applyFill="1" applyBorder="1" applyAlignment="1" applyProtection="1">
      <alignment horizontal="center"/>
      <protection/>
    </xf>
    <xf numFmtId="10" fontId="0" fillId="2" borderId="7" xfId="0" applyNumberFormat="1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20" xfId="0" applyFont="1" applyFill="1" applyBorder="1" applyAlignment="1" applyProtection="1">
      <alignment horizontal="center"/>
      <protection/>
    </xf>
    <xf numFmtId="10" fontId="0" fillId="2" borderId="1" xfId="0" applyNumberFormat="1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12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2" borderId="9" xfId="0" applyFont="1" applyFill="1" applyBorder="1" applyAlignment="1" applyProtection="1">
      <alignment horizontal="center"/>
      <protection/>
    </xf>
    <xf numFmtId="10" fontId="0" fillId="2" borderId="9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10" fontId="0" fillId="0" borderId="2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171" fontId="0" fillId="0" borderId="13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71" fontId="0" fillId="0" borderId="0" xfId="0" applyNumberFormat="1" applyFont="1" applyBorder="1" applyAlignment="1" applyProtection="1">
      <alignment/>
      <protection/>
    </xf>
    <xf numFmtId="0" fontId="0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 applyProtection="1">
      <alignment/>
      <protection/>
    </xf>
    <xf numFmtId="10" fontId="0" fillId="0" borderId="21" xfId="0" applyNumberFormat="1" applyFont="1" applyBorder="1" applyAlignment="1" applyProtection="1">
      <alignment/>
      <protection/>
    </xf>
    <xf numFmtId="171" fontId="0" fillId="0" borderId="6" xfId="0" applyNumberFormat="1" applyFont="1" applyBorder="1" applyAlignment="1" applyProtection="1">
      <alignment/>
      <protection/>
    </xf>
    <xf numFmtId="10" fontId="0" fillId="0" borderId="6" xfId="0" applyNumberFormat="1" applyFont="1" applyBorder="1" applyAlignment="1" applyProtection="1">
      <alignment/>
      <protection/>
    </xf>
    <xf numFmtId="171" fontId="0" fillId="2" borderId="3" xfId="0" applyNumberFormat="1" applyFont="1" applyFill="1" applyBorder="1" applyAlignment="1" applyProtection="1">
      <alignment/>
      <protection/>
    </xf>
    <xf numFmtId="171" fontId="0" fillId="0" borderId="6" xfId="0" applyNumberFormat="1" applyFont="1" applyFill="1" applyBorder="1" applyAlignment="1" applyProtection="1">
      <alignment/>
      <protection/>
    </xf>
    <xf numFmtId="171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170" fontId="0" fillId="0" borderId="13" xfId="0" applyNumberFormat="1" applyFont="1" applyBorder="1" applyAlignment="1">
      <alignment horizontal="center"/>
    </xf>
    <xf numFmtId="171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quotePrefix="1">
      <alignment/>
    </xf>
    <xf numFmtId="0" fontId="0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2" borderId="13" xfId="0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 applyProtection="1">
      <alignment/>
      <protection hidden="1"/>
    </xf>
    <xf numFmtId="4" fontId="0" fillId="0" borderId="13" xfId="0" applyNumberFormat="1" applyFont="1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2" borderId="17" xfId="0" applyFont="1" applyFill="1" applyBorder="1" applyAlignment="1" applyProtection="1">
      <alignment/>
      <protection hidden="1"/>
    </xf>
    <xf numFmtId="0" fontId="0" fillId="2" borderId="16" xfId="0" applyFont="1" applyFill="1" applyBorder="1" applyAlignment="1">
      <alignment/>
    </xf>
    <xf numFmtId="3" fontId="0" fillId="2" borderId="19" xfId="0" applyNumberFormat="1" applyFont="1" applyFill="1" applyBorder="1" applyAlignment="1">
      <alignment/>
    </xf>
    <xf numFmtId="171" fontId="1" fillId="0" borderId="13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Border="1" applyAlignment="1">
      <alignment/>
    </xf>
    <xf numFmtId="171" fontId="0" fillId="0" borderId="13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0" fontId="1" fillId="2" borderId="17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71" fontId="0" fillId="0" borderId="13" xfId="0" applyNumberFormat="1" applyFont="1" applyBorder="1" applyAlignment="1" applyProtection="1" quotePrefix="1">
      <alignment/>
      <protection/>
    </xf>
    <xf numFmtId="171" fontId="0" fillId="0" borderId="0" xfId="0" applyNumberFormat="1" applyFont="1" applyFill="1" applyBorder="1" applyAlignment="1" applyProtection="1">
      <alignment/>
      <protection/>
    </xf>
    <xf numFmtId="171" fontId="0" fillId="0" borderId="0" xfId="0" applyNumberFormat="1" applyFont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171" fontId="0" fillId="0" borderId="13" xfId="0" applyNumberFormat="1" applyFont="1" applyBorder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1" fontId="0" fillId="0" borderId="0" xfId="0" applyNumberFormat="1" applyFont="1" applyAlignment="1">
      <alignment/>
    </xf>
    <xf numFmtId="0" fontId="12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2" borderId="11" xfId="0" applyNumberFormat="1" applyFont="1" applyFill="1" applyBorder="1" applyAlignment="1">
      <alignment/>
    </xf>
    <xf numFmtId="171" fontId="0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171" fontId="0" fillId="2" borderId="3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171" fontId="0" fillId="2" borderId="7" xfId="0" applyNumberFormat="1" applyFont="1" applyFill="1" applyBorder="1" applyAlignment="1">
      <alignment horizontal="center"/>
    </xf>
    <xf numFmtId="171" fontId="0" fillId="2" borderId="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2" borderId="9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2" xfId="0" applyNumberFormat="1" applyFont="1" applyBorder="1" applyAlignment="1">
      <alignment/>
    </xf>
    <xf numFmtId="171" fontId="1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2" fontId="1" fillId="2" borderId="13" xfId="17" applyNumberFormat="1" applyFont="1" applyFill="1" applyBorder="1" applyAlignment="1">
      <alignment horizontal="center"/>
    </xf>
    <xf numFmtId="170" fontId="0" fillId="0" borderId="13" xfId="0" applyNumberFormat="1" applyFont="1" applyBorder="1" applyAlignment="1">
      <alignment/>
    </xf>
    <xf numFmtId="171" fontId="0" fillId="0" borderId="13" xfId="0" applyNumberFormat="1" applyFont="1" applyBorder="1" applyAlignment="1">
      <alignment/>
    </xf>
    <xf numFmtId="202" fontId="1" fillId="0" borderId="13" xfId="17" applyNumberFormat="1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/>
    </xf>
    <xf numFmtId="171" fontId="0" fillId="0" borderId="16" xfId="0" applyNumberFormat="1" applyFont="1" applyFill="1" applyBorder="1" applyAlignment="1">
      <alignment/>
    </xf>
    <xf numFmtId="170" fontId="0" fillId="0" borderId="16" xfId="0" applyNumberFormat="1" applyFont="1" applyBorder="1" applyAlignment="1">
      <alignment/>
    </xf>
    <xf numFmtId="171" fontId="0" fillId="0" borderId="16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 quotePrefix="1">
      <alignment/>
    </xf>
    <xf numFmtId="202" fontId="0" fillId="0" borderId="0" xfId="17" applyNumberFormat="1" applyFont="1" applyBorder="1" applyAlignment="1">
      <alignment horizontal="center"/>
    </xf>
    <xf numFmtId="171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2" borderId="11" xfId="0" applyNumberFormat="1" applyFont="1" applyFill="1" applyBorder="1" applyAlignment="1">
      <alignment/>
    </xf>
    <xf numFmtId="171" fontId="0" fillId="2" borderId="24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171" fontId="0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71" fontId="0" fillId="2" borderId="7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71" fontId="0" fillId="2" borderId="2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171" fontId="0" fillId="0" borderId="2" xfId="0" applyNumberFormat="1" applyFont="1" applyBorder="1" applyAlignment="1">
      <alignment/>
    </xf>
    <xf numFmtId="171" fontId="1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0" fillId="5" borderId="1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43" fontId="0" fillId="0" borderId="13" xfId="17" applyFont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43" fontId="0" fillId="0" borderId="0" xfId="17" applyAlignment="1">
      <alignment/>
    </xf>
    <xf numFmtId="9" fontId="0" fillId="0" borderId="13" xfId="0" applyNumberFormat="1" applyFont="1" applyFill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9" fontId="0" fillId="0" borderId="13" xfId="19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2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15" fontId="1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202" fontId="1" fillId="2" borderId="0" xfId="17" applyNumberFormat="1" applyFont="1" applyFill="1" applyBorder="1" applyAlignment="1">
      <alignment/>
    </xf>
    <xf numFmtId="202" fontId="1" fillId="0" borderId="0" xfId="17" applyNumberFormat="1" applyFont="1" applyFill="1" applyBorder="1" applyAlignment="1">
      <alignment/>
    </xf>
    <xf numFmtId="0" fontId="0" fillId="0" borderId="17" xfId="0" applyFont="1" applyFill="1" applyBorder="1" applyAlignment="1" applyProtection="1">
      <alignment horizontal="left"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1" fontId="1" fillId="2" borderId="13" xfId="17" applyNumberFormat="1" applyFont="1" applyFill="1" applyBorder="1" applyAlignment="1">
      <alignment horizontal="center"/>
    </xf>
    <xf numFmtId="1" fontId="1" fillId="0" borderId="13" xfId="17" applyNumberFormat="1" applyFont="1" applyFill="1" applyBorder="1" applyAlignment="1">
      <alignment horizontal="center"/>
    </xf>
    <xf numFmtId="1" fontId="1" fillId="0" borderId="16" xfId="17" applyNumberFormat="1" applyFont="1" applyBorder="1" applyAlignment="1">
      <alignment horizontal="center"/>
    </xf>
    <xf numFmtId="1" fontId="1" fillId="2" borderId="13" xfId="17" applyNumberFormat="1" applyFont="1" applyFill="1" applyBorder="1" applyAlignment="1" applyProtection="1">
      <alignment horizontal="center"/>
      <protection/>
    </xf>
    <xf numFmtId="1" fontId="1" fillId="0" borderId="0" xfId="17" applyNumberFormat="1" applyFont="1" applyAlignment="1" applyProtection="1">
      <alignment horizontal="center"/>
      <protection/>
    </xf>
    <xf numFmtId="1" fontId="1" fillId="0" borderId="15" xfId="17" applyNumberFormat="1" applyFont="1" applyFill="1" applyBorder="1" applyAlignment="1" applyProtection="1">
      <alignment horizontal="center"/>
      <protection/>
    </xf>
    <xf numFmtId="1" fontId="1" fillId="0" borderId="0" xfId="17" applyNumberFormat="1" applyFont="1" applyFill="1" applyAlignment="1" applyProtection="1">
      <alignment horizontal="center"/>
      <protection/>
    </xf>
    <xf numFmtId="1" fontId="1" fillId="0" borderId="0" xfId="17" applyNumberFormat="1" applyFont="1" applyFill="1" applyBorder="1" applyAlignment="1" applyProtection="1">
      <alignment horizontal="center"/>
      <protection/>
    </xf>
    <xf numFmtId="1" fontId="1" fillId="2" borderId="13" xfId="17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17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2" borderId="13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1" fillId="2" borderId="13" xfId="0" applyNumberFormat="1" applyFont="1" applyFill="1" applyBorder="1" applyAlignment="1">
      <alignment horizontal="center"/>
    </xf>
    <xf numFmtId="171" fontId="1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13" xfId="0" applyNumberFormat="1" applyFont="1" applyFill="1" applyBorder="1" applyAlignment="1" applyProtection="1">
      <alignment/>
      <protection locked="0"/>
    </xf>
    <xf numFmtId="171" fontId="0" fillId="0" borderId="17" xfId="0" applyNumberFormat="1" applyFont="1" applyFill="1" applyBorder="1" applyAlignment="1" applyProtection="1">
      <alignment/>
      <protection locked="0"/>
    </xf>
    <xf numFmtId="170" fontId="0" fillId="2" borderId="13" xfId="0" applyNumberFormat="1" applyFont="1" applyFill="1" applyBorder="1" applyAlignment="1" applyProtection="1">
      <alignment/>
      <protection locked="0"/>
    </xf>
    <xf numFmtId="171" fontId="0" fillId="0" borderId="13" xfId="0" applyNumberFormat="1" applyFont="1" applyBorder="1" applyAlignment="1">
      <alignment horizontal="right"/>
    </xf>
    <xf numFmtId="171" fontId="0" fillId="0" borderId="21" xfId="0" applyNumberFormat="1" applyFont="1" applyBorder="1" applyAlignment="1" applyProtection="1">
      <alignment/>
      <protection/>
    </xf>
    <xf numFmtId="170" fontId="0" fillId="0" borderId="13" xfId="0" applyNumberFormat="1" applyFont="1" applyFill="1" applyBorder="1" applyAlignment="1" applyProtection="1">
      <alignment/>
      <protection locked="0"/>
    </xf>
    <xf numFmtId="170" fontId="0" fillId="0" borderId="14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right"/>
    </xf>
    <xf numFmtId="171" fontId="1" fillId="0" borderId="13" xfId="0" applyNumberFormat="1" applyFont="1" applyBorder="1" applyAlignment="1">
      <alignment horizontal="right"/>
    </xf>
    <xf numFmtId="171" fontId="1" fillId="0" borderId="13" xfId="0" applyNumberFormat="1" applyFont="1" applyBorder="1" applyAlignment="1">
      <alignment/>
    </xf>
    <xf numFmtId="170" fontId="1" fillId="0" borderId="13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1" fontId="3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 applyProtection="1">
      <alignment/>
      <protection/>
    </xf>
    <xf numFmtId="171" fontId="0" fillId="0" borderId="0" xfId="0" applyNumberFormat="1" applyFont="1" applyFill="1" applyAlignment="1">
      <alignment/>
    </xf>
    <xf numFmtId="207" fontId="0" fillId="0" borderId="13" xfId="0" applyNumberFormat="1" applyFont="1" applyFill="1" applyBorder="1" applyAlignment="1" applyProtection="1">
      <alignment/>
      <protection locked="0"/>
    </xf>
    <xf numFmtId="171" fontId="0" fillId="0" borderId="17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 vertical="top"/>
      <protection/>
    </xf>
    <xf numFmtId="0" fontId="1" fillId="0" borderId="19" xfId="0" applyFont="1" applyBorder="1" applyAlignment="1" applyProtection="1">
      <alignment horizontal="center" vertical="top"/>
      <protection/>
    </xf>
    <xf numFmtId="0" fontId="0" fillId="0" borderId="13" xfId="0" applyFont="1" applyFill="1" applyBorder="1" applyAlignment="1">
      <alignment horizontal="left"/>
    </xf>
    <xf numFmtId="0" fontId="1" fillId="0" borderId="19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171" fontId="1" fillId="2" borderId="11" xfId="0" applyNumberFormat="1" applyFont="1" applyFill="1" applyBorder="1" applyAlignment="1" applyProtection="1">
      <alignment horizontal="center"/>
      <protection/>
    </xf>
    <xf numFmtId="171" fontId="1" fillId="2" borderId="24" xfId="0" applyNumberFormat="1" applyFont="1" applyFill="1" applyBorder="1" applyAlignment="1" applyProtection="1">
      <alignment horizontal="center"/>
      <protection/>
    </xf>
    <xf numFmtId="171" fontId="1" fillId="2" borderId="3" xfId="0" applyNumberFormat="1" applyFont="1" applyFill="1" applyBorder="1" applyAlignment="1" applyProtection="1">
      <alignment horizontal="center"/>
      <protection/>
    </xf>
    <xf numFmtId="171" fontId="1" fillId="2" borderId="11" xfId="0" applyNumberFormat="1" applyFont="1" applyFill="1" applyBorder="1" applyAlignment="1">
      <alignment horizontal="center"/>
    </xf>
    <xf numFmtId="171" fontId="1" fillId="2" borderId="24" xfId="0" applyNumberFormat="1" applyFont="1" applyFill="1" applyBorder="1" applyAlignment="1">
      <alignment horizontal="center"/>
    </xf>
    <xf numFmtId="171" fontId="1" fillId="2" borderId="3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7" xfId="0" applyFont="1" applyFill="1" applyBorder="1" applyAlignment="1" applyProtection="1">
      <alignment horizontal="left"/>
      <protection hidden="1"/>
    </xf>
    <xf numFmtId="0" fontId="1" fillId="2" borderId="16" xfId="0" applyFont="1" applyFill="1" applyBorder="1" applyAlignment="1" applyProtection="1">
      <alignment horizontal="left"/>
      <protection hidden="1"/>
    </xf>
    <xf numFmtId="0" fontId="1" fillId="2" borderId="19" xfId="0" applyFont="1" applyFill="1" applyBorder="1" applyAlignment="1" applyProtection="1">
      <alignment horizontal="left"/>
      <protection hidden="1"/>
    </xf>
    <xf numFmtId="0" fontId="0" fillId="0" borderId="17" xfId="0" applyFont="1" applyFill="1" applyBorder="1" applyAlignment="1" applyProtection="1">
      <alignment horizontal="left"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1" fillId="2" borderId="18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 wrapText="1"/>
      <protection hidden="1"/>
    </xf>
    <xf numFmtId="0" fontId="0" fillId="0" borderId="19" xfId="0" applyFont="1" applyBorder="1" applyAlignment="1" applyProtection="1">
      <alignment horizontal="left" wrapText="1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1" fillId="2" borderId="28" xfId="0" applyFont="1" applyFill="1" applyBorder="1" applyAlignment="1" applyProtection="1">
      <alignment horizontal="left" vertical="top" wrapText="1"/>
      <protection hidden="1"/>
    </xf>
    <xf numFmtId="0" fontId="1" fillId="2" borderId="14" xfId="0" applyFont="1" applyFill="1" applyBorder="1" applyAlignment="1" applyProtection="1">
      <alignment horizontal="left" vertical="top" wrapText="1"/>
      <protection hidden="1"/>
    </xf>
    <xf numFmtId="0" fontId="1" fillId="2" borderId="29" xfId="0" applyFont="1" applyFill="1" applyBorder="1" applyAlignment="1" applyProtection="1">
      <alignment horizontal="left" vertical="top" wrapText="1"/>
      <protection hidden="1"/>
    </xf>
    <xf numFmtId="0" fontId="1" fillId="2" borderId="25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0" fontId="1" fillId="2" borderId="26" xfId="0" applyFont="1" applyFill="1" applyBorder="1" applyAlignment="1" applyProtection="1">
      <alignment horizontal="left" vertical="top" wrapText="1"/>
      <protection hidden="1"/>
    </xf>
    <xf numFmtId="0" fontId="1" fillId="2" borderId="30" xfId="0" applyFont="1" applyFill="1" applyBorder="1" applyAlignment="1" applyProtection="1">
      <alignment horizontal="left" vertical="top" wrapText="1"/>
      <protection hidden="1"/>
    </xf>
    <xf numFmtId="0" fontId="1" fillId="2" borderId="15" xfId="0" applyFont="1" applyFill="1" applyBorder="1" applyAlignment="1" applyProtection="1">
      <alignment horizontal="left" vertical="top" wrapText="1"/>
      <protection hidden="1"/>
    </xf>
    <xf numFmtId="0" fontId="1" fillId="2" borderId="31" xfId="0" applyFont="1" applyFill="1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1" fontId="1" fillId="2" borderId="18" xfId="17" applyNumberFormat="1" applyFont="1" applyFill="1" applyBorder="1" applyAlignment="1">
      <alignment horizontal="center" vertical="top"/>
    </xf>
    <xf numFmtId="1" fontId="1" fillId="2" borderId="23" xfId="17" applyNumberFormat="1" applyFont="1" applyFill="1" applyBorder="1" applyAlignment="1">
      <alignment horizontal="center" vertical="top"/>
    </xf>
    <xf numFmtId="1" fontId="1" fillId="2" borderId="27" xfId="17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70" fontId="0" fillId="0" borderId="17" xfId="0" applyNumberFormat="1" applyFont="1" applyBorder="1" applyAlignment="1">
      <alignment horizontal="left"/>
    </xf>
    <xf numFmtId="170" fontId="0" fillId="0" borderId="19" xfId="0" applyNumberFormat="1" applyFont="1" applyBorder="1" applyAlignment="1">
      <alignment horizontal="left"/>
    </xf>
    <xf numFmtId="171" fontId="0" fillId="2" borderId="11" xfId="0" applyNumberFormat="1" applyFont="1" applyFill="1" applyBorder="1" applyAlignment="1">
      <alignment horizontal="center"/>
    </xf>
    <xf numFmtId="171" fontId="0" fillId="2" borderId="24" xfId="0" applyNumberFormat="1" applyFont="1" applyFill="1" applyBorder="1" applyAlignment="1">
      <alignment horizontal="center"/>
    </xf>
    <xf numFmtId="171" fontId="0" fillId="2" borderId="10" xfId="0" applyNumberFormat="1" applyFont="1" applyFill="1" applyBorder="1" applyAlignment="1">
      <alignment horizontal="center"/>
    </xf>
    <xf numFmtId="171" fontId="0" fillId="2" borderId="3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top"/>
    </xf>
    <xf numFmtId="171" fontId="0" fillId="2" borderId="2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71" fontId="0" fillId="2" borderId="32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5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Tabelstandaard" xfId="20"/>
    <cellStyle name="Currency" xfId="21"/>
    <cellStyle name="Currency [0]" xfId="22"/>
  </cellStyles>
  <dxfs count="3">
    <dxf>
      <fill>
        <patternFill>
          <bgColor rgb="FFFFCC99"/>
        </patternFill>
      </fill>
      <border/>
    </dxf>
    <dxf>
      <font>
        <color rgb="FFFFFFFF"/>
      </font>
      <fill>
        <patternFill>
          <fgColor rgb="FF00FF00"/>
          <bgColor rgb="FFFFFFFF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0</xdr:rowOff>
    </xdr:from>
    <xdr:to>
      <xdr:col>2</xdr:col>
      <xdr:colOff>2286000</xdr:colOff>
      <xdr:row>4</xdr:row>
      <xdr:rowOff>142875</xdr:rowOff>
    </xdr:to>
    <xdr:pic>
      <xdr:nvPicPr>
        <xdr:cNvPr id="1" name="LogoKo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61925"/>
          <a:ext cx="2219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tabColor indexed="50"/>
    <pageSetUpPr fitToPage="1"/>
  </sheetPr>
  <dimension ref="A1:E92"/>
  <sheetViews>
    <sheetView showGridLines="0" showRowColHeaders="0" showZeros="0" tabSelected="1" showOutlineSymbols="0" view="pageBreakPreview" zoomScale="75" zoomScaleSheetLayoutView="75" workbookViewId="0" topLeftCell="A2">
      <selection activeCell="B16" sqref="B16:C16"/>
    </sheetView>
  </sheetViews>
  <sheetFormatPr defaultColWidth="9.140625" defaultRowHeight="12.75"/>
  <cols>
    <col min="1" max="1" width="55.7109375" style="44" customWidth="1"/>
    <col min="2" max="2" width="7.7109375" style="44" bestFit="1" customWidth="1"/>
    <col min="3" max="3" width="50.7109375" style="44" customWidth="1"/>
    <col min="4" max="4" width="9.140625" style="48" customWidth="1"/>
    <col min="5" max="5" width="0" style="44" hidden="1" customWidth="1"/>
    <col min="6" max="16384" width="9.140625" style="44" customWidth="1"/>
  </cols>
  <sheetData>
    <row r="1" spans="1:3" ht="12.75">
      <c r="A1" s="48"/>
      <c r="B1" s="48"/>
      <c r="C1" s="48"/>
    </row>
    <row r="2" spans="1:3" ht="13.5" thickBot="1">
      <c r="A2" s="58"/>
      <c r="B2" s="48"/>
      <c r="C2" s="48"/>
    </row>
    <row r="3" spans="1:3" ht="16.5" thickBot="1">
      <c r="A3" s="123" t="s">
        <v>321</v>
      </c>
      <c r="B3" s="57">
        <v>2006</v>
      </c>
      <c r="C3" s="48"/>
    </row>
    <row r="4" spans="1:3" ht="12.75">
      <c r="A4" s="88"/>
      <c r="B4" s="48"/>
      <c r="C4" s="48"/>
    </row>
    <row r="5" spans="1:3" ht="12.75">
      <c r="A5" s="48"/>
      <c r="B5" s="48"/>
      <c r="C5" s="48"/>
    </row>
    <row r="6" spans="1:3" ht="12.75">
      <c r="A6" s="48"/>
      <c r="B6" s="48"/>
      <c r="C6" s="48"/>
    </row>
    <row r="7" spans="1:5" s="60" customFormat="1" ht="18" customHeight="1">
      <c r="A7" s="339" t="str">
        <f>CONCATENATE("Budgetaanpassingen per 1 januari ",B3," op grond van voorlopige nacalculatie productie ",B3-1)</f>
        <v>Budgetaanpassingen per 1 januari 2006 op grond van voorlopige nacalculatie productie 2005</v>
      </c>
      <c r="B7" s="339"/>
      <c r="C7" s="339"/>
      <c r="D7" s="59"/>
      <c r="E7" s="65"/>
    </row>
    <row r="8" spans="1:5" s="60" customFormat="1" ht="18" customHeight="1">
      <c r="A8" s="61" t="str">
        <f>CONCATENATE("en productieafspraken ",B3)</f>
        <v>en productieafspraken 2006</v>
      </c>
      <c r="B8" s="61"/>
      <c r="C8" s="61"/>
      <c r="D8" s="59"/>
      <c r="E8" s="65"/>
    </row>
    <row r="9" spans="1:5" s="60" customFormat="1" ht="18" customHeight="1">
      <c r="A9" s="61" t="str">
        <f>CONCATENATE("Inclusief 'Voorlopige budgetaanpassingen / Opbrengstverrekening ",B3-1,"'")</f>
        <v>Inclusief 'Voorlopige budgetaanpassingen / Opbrengstverrekening 2005'</v>
      </c>
      <c r="B9" s="61"/>
      <c r="C9" s="61"/>
      <c r="D9" s="59"/>
      <c r="E9" s="65"/>
    </row>
    <row r="10" spans="1:5" s="60" customFormat="1" ht="18" customHeight="1">
      <c r="A10" s="61"/>
      <c r="B10" s="61"/>
      <c r="C10" s="61"/>
      <c r="D10" s="59"/>
      <c r="E10" s="65"/>
    </row>
    <row r="11" spans="1:5" ht="12.75">
      <c r="A11" s="88"/>
      <c r="B11" s="88"/>
      <c r="C11" s="88"/>
      <c r="E11" s="55"/>
    </row>
    <row r="12" spans="1:5" ht="12.75">
      <c r="A12" s="88" t="s">
        <v>0</v>
      </c>
      <c r="B12" s="88"/>
      <c r="C12" s="88"/>
      <c r="E12" s="55"/>
    </row>
    <row r="13" spans="1:5" ht="12.75">
      <c r="A13" s="88" t="s">
        <v>433</v>
      </c>
      <c r="B13" s="88"/>
      <c r="C13" s="88"/>
      <c r="E13" s="55"/>
    </row>
    <row r="14" spans="1:5" ht="12.75">
      <c r="A14" s="88"/>
      <c r="B14" s="88"/>
      <c r="C14" s="88"/>
      <c r="E14" s="55"/>
    </row>
    <row r="15" spans="1:5" ht="12.75">
      <c r="A15" s="340"/>
      <c r="B15" s="340"/>
      <c r="C15" s="340"/>
      <c r="E15" s="55"/>
    </row>
    <row r="16" spans="1:5" s="60" customFormat="1" ht="24" customHeight="1">
      <c r="A16" s="110" t="s">
        <v>1</v>
      </c>
      <c r="B16" s="401"/>
      <c r="C16" s="396"/>
      <c r="D16" s="59"/>
      <c r="E16" s="65"/>
    </row>
    <row r="17" spans="1:5" s="60" customFormat="1" ht="24" customHeight="1">
      <c r="A17" s="110" t="s">
        <v>135</v>
      </c>
      <c r="B17" s="401"/>
      <c r="C17" s="396"/>
      <c r="D17" s="59"/>
      <c r="E17" s="65"/>
    </row>
    <row r="18" spans="1:5" s="60" customFormat="1" ht="24" customHeight="1">
      <c r="A18" s="110" t="s">
        <v>2</v>
      </c>
      <c r="B18" s="401"/>
      <c r="C18" s="396"/>
      <c r="D18" s="59"/>
      <c r="E18" s="65"/>
    </row>
    <row r="19" spans="1:5" s="60" customFormat="1" ht="24" customHeight="1">
      <c r="A19" s="110" t="s">
        <v>3</v>
      </c>
      <c r="B19" s="401"/>
      <c r="C19" s="396"/>
      <c r="D19" s="59"/>
      <c r="E19" s="65"/>
    </row>
    <row r="20" spans="1:5" ht="24" customHeight="1">
      <c r="A20" s="110" t="s">
        <v>121</v>
      </c>
      <c r="B20" s="401"/>
      <c r="C20" s="396"/>
      <c r="E20" s="55"/>
    </row>
    <row r="21" spans="1:5" ht="24" customHeight="1">
      <c r="A21" s="341" t="s">
        <v>528</v>
      </c>
      <c r="B21" s="401"/>
      <c r="C21" s="396"/>
      <c r="E21" s="55"/>
    </row>
    <row r="22" spans="1:5" ht="12.75">
      <c r="A22" s="342"/>
      <c r="B22" s="342"/>
      <c r="C22" s="343" t="s">
        <v>588</v>
      </c>
      <c r="E22" s="55"/>
    </row>
    <row r="23" spans="1:5" ht="15.75" customHeight="1">
      <c r="A23" s="88"/>
      <c r="B23" s="88"/>
      <c r="C23" s="62" t="str">
        <f>CONCATENATE("Inzenden voor 1 april ",B3)</f>
        <v>Inzenden voor 1 april 2006</v>
      </c>
      <c r="E23" s="55"/>
    </row>
    <row r="24" spans="1:5" ht="12.75">
      <c r="A24" s="397" t="str">
        <f>IF($A$25=TRUE,"      Invulvelden gearceerd","      Invulvelden niet gearceerd")</f>
        <v>      Invulvelden gearceerd</v>
      </c>
      <c r="B24" s="398"/>
      <c r="C24" s="344"/>
      <c r="E24" s="55"/>
    </row>
    <row r="25" spans="1:5" ht="12.75" hidden="1">
      <c r="A25" s="345" t="b">
        <v>1</v>
      </c>
      <c r="B25" s="88"/>
      <c r="C25" s="88"/>
      <c r="E25" s="55"/>
    </row>
    <row r="26" spans="1:5" ht="12.75">
      <c r="A26" s="346"/>
      <c r="B26" s="88"/>
      <c r="C26" s="88"/>
      <c r="E26" s="55"/>
    </row>
    <row r="27" spans="1:5" ht="12.75">
      <c r="A27" s="88" t="str">
        <f>CONCATENATE("Partijen verzoeken u op grond van artikel 4 lid 1 / 8 lid 2* van de WTG de aanvaardbare kosten ",B3-1," en ",B3," aan te passen")</f>
        <v>Partijen verzoeken u op grond van artikel 4 lid 1 / 8 lid 2* van de WTG de aanvaardbare kosten 2005 en 2006 aan te passen</v>
      </c>
      <c r="B27" s="88"/>
      <c r="C27" s="88"/>
      <c r="E27" s="66"/>
    </row>
    <row r="28" spans="1:5" ht="12.75">
      <c r="A28" s="88" t="s">
        <v>309</v>
      </c>
      <c r="B28" s="88"/>
      <c r="C28" s="88"/>
      <c r="E28" s="56"/>
    </row>
    <row r="29" spans="1:5" ht="12.75">
      <c r="A29" s="88"/>
      <c r="B29" s="88"/>
      <c r="C29" s="88"/>
      <c r="E29" s="56"/>
    </row>
    <row r="30" spans="1:5" ht="12.75">
      <c r="A30" s="85" t="s">
        <v>529</v>
      </c>
      <c r="B30" s="62"/>
      <c r="C30" s="85"/>
      <c r="E30" s="66"/>
    </row>
    <row r="31" spans="1:5" ht="12.75">
      <c r="A31" s="85" t="s">
        <v>274</v>
      </c>
      <c r="B31" s="62"/>
      <c r="C31" s="85"/>
      <c r="E31" s="55"/>
    </row>
    <row r="32" spans="1:5" ht="12.75">
      <c r="A32" s="61"/>
      <c r="B32" s="61"/>
      <c r="C32" s="88"/>
      <c r="E32" s="55"/>
    </row>
    <row r="33" spans="1:5" ht="12.75">
      <c r="A33" s="88"/>
      <c r="B33" s="88"/>
      <c r="C33" s="88"/>
      <c r="E33" s="55"/>
    </row>
    <row r="34" spans="1:5" ht="12.75">
      <c r="A34" s="88"/>
      <c r="B34" s="88"/>
      <c r="C34" s="88"/>
      <c r="E34" s="55"/>
    </row>
    <row r="35" spans="1:5" ht="24" customHeight="1">
      <c r="A35" s="121" t="s">
        <v>4</v>
      </c>
      <c r="B35" s="121"/>
      <c r="C35" s="121"/>
      <c r="E35" s="55"/>
    </row>
    <row r="36" spans="1:5" ht="24" customHeight="1">
      <c r="A36" s="402" t="s">
        <v>6</v>
      </c>
      <c r="B36" s="403"/>
      <c r="C36" s="400"/>
      <c r="E36" s="55"/>
    </row>
    <row r="37" spans="1:5" ht="24" customHeight="1">
      <c r="A37" s="402" t="s">
        <v>7</v>
      </c>
      <c r="B37" s="403"/>
      <c r="C37" s="400"/>
      <c r="E37" s="55"/>
    </row>
    <row r="38" spans="1:5" ht="24" customHeight="1">
      <c r="A38" s="122" t="s">
        <v>5</v>
      </c>
      <c r="B38" s="122"/>
      <c r="C38" s="122"/>
      <c r="E38" s="55"/>
    </row>
    <row r="39" spans="1:5" ht="24" customHeight="1">
      <c r="A39" s="402" t="s">
        <v>6</v>
      </c>
      <c r="B39" s="403"/>
      <c r="C39" s="400"/>
      <c r="E39" s="55"/>
    </row>
    <row r="40" spans="1:5" ht="24" customHeight="1">
      <c r="A40" s="402" t="s">
        <v>7</v>
      </c>
      <c r="B40" s="403"/>
      <c r="C40" s="400"/>
      <c r="E40" s="55"/>
    </row>
    <row r="41" spans="1:5" ht="24" customHeight="1">
      <c r="A41" s="402" t="s">
        <v>6</v>
      </c>
      <c r="B41" s="403"/>
      <c r="C41" s="400"/>
      <c r="E41" s="55"/>
    </row>
    <row r="42" spans="1:5" ht="24" customHeight="1">
      <c r="A42" s="402" t="s">
        <v>7</v>
      </c>
      <c r="B42" s="403"/>
      <c r="C42" s="400"/>
      <c r="E42" s="55"/>
    </row>
    <row r="43" spans="1:5" ht="24" customHeight="1">
      <c r="A43" s="402" t="s">
        <v>6</v>
      </c>
      <c r="B43" s="403"/>
      <c r="C43" s="400"/>
      <c r="E43" s="55"/>
    </row>
    <row r="44" spans="1:5" ht="24" customHeight="1">
      <c r="A44" s="402" t="s">
        <v>7</v>
      </c>
      <c r="B44" s="403"/>
      <c r="C44" s="400"/>
      <c r="E44" s="55"/>
    </row>
    <row r="45" spans="1:5" ht="12.75">
      <c r="A45" s="120"/>
      <c r="B45" s="120"/>
      <c r="C45" s="120"/>
      <c r="E45" s="55"/>
    </row>
    <row r="46" spans="1:5" ht="24" customHeight="1">
      <c r="A46" s="121" t="s">
        <v>273</v>
      </c>
      <c r="B46" s="121"/>
      <c r="C46" s="121"/>
      <c r="E46" s="55"/>
    </row>
    <row r="47" spans="1:5" ht="24" customHeight="1">
      <c r="A47" s="402" t="s">
        <v>6</v>
      </c>
      <c r="B47" s="403"/>
      <c r="C47" s="400"/>
      <c r="E47" s="55"/>
    </row>
    <row r="48" spans="1:5" ht="24" customHeight="1">
      <c r="A48" s="402" t="s">
        <v>7</v>
      </c>
      <c r="B48" s="403"/>
      <c r="C48" s="400"/>
      <c r="E48" s="55"/>
    </row>
    <row r="49" spans="1:5" s="47" customFormat="1" ht="12.75" customHeight="1">
      <c r="A49" s="347"/>
      <c r="B49" s="347"/>
      <c r="C49" s="119"/>
      <c r="D49" s="52"/>
      <c r="E49" s="56"/>
    </row>
    <row r="50" spans="1:5" ht="12.75">
      <c r="A50" s="348" t="s">
        <v>245</v>
      </c>
      <c r="B50" s="348"/>
      <c r="C50" s="88"/>
      <c r="E50" s="55"/>
    </row>
    <row r="51" spans="1:5" ht="12.75">
      <c r="A51" s="348" t="s">
        <v>246</v>
      </c>
      <c r="B51" s="348"/>
      <c r="C51" s="88"/>
      <c r="E51" s="55"/>
    </row>
    <row r="52" spans="1:5" ht="12.75">
      <c r="A52" s="348" t="s">
        <v>322</v>
      </c>
      <c r="B52" s="348"/>
      <c r="C52" s="88"/>
      <c r="E52" s="55"/>
    </row>
    <row r="53" spans="1:5" ht="12.75">
      <c r="A53" s="348" t="s">
        <v>323</v>
      </c>
      <c r="B53" s="348"/>
      <c r="C53" s="88"/>
      <c r="E53" s="55"/>
    </row>
    <row r="54" spans="1:5" ht="12.75">
      <c r="A54" s="88" t="s">
        <v>247</v>
      </c>
      <c r="B54" s="348"/>
      <c r="C54" s="88"/>
      <c r="E54" s="55"/>
    </row>
    <row r="55" spans="1:5" ht="12.75">
      <c r="A55" s="88"/>
      <c r="B55" s="88"/>
      <c r="C55" s="88"/>
      <c r="E55" s="55"/>
    </row>
    <row r="56" spans="1:5" ht="12.75">
      <c r="A56" s="348" t="s">
        <v>248</v>
      </c>
      <c r="B56" s="88"/>
      <c r="C56" s="88"/>
      <c r="E56" s="55"/>
    </row>
    <row r="57" spans="1:5" ht="12.75">
      <c r="A57" s="88" t="s">
        <v>249</v>
      </c>
      <c r="B57" s="348"/>
      <c r="C57" s="88"/>
      <c r="E57" s="55"/>
    </row>
    <row r="58" spans="1:5" ht="12.75">
      <c r="A58" s="39"/>
      <c r="B58" s="88"/>
      <c r="C58" s="88"/>
      <c r="E58" s="55"/>
    </row>
    <row r="59" spans="1:5" ht="12.75">
      <c r="A59" s="88"/>
      <c r="B59" s="88"/>
      <c r="C59" s="88"/>
      <c r="E59" s="55"/>
    </row>
    <row r="60" spans="1:5" ht="12.75">
      <c r="A60" s="88" t="s">
        <v>252</v>
      </c>
      <c r="B60" s="88"/>
      <c r="C60" s="88"/>
      <c r="E60" s="67">
        <f>IF(B61="nee",1,0)</f>
        <v>1</v>
      </c>
    </row>
    <row r="61" spans="1:5" ht="12.75">
      <c r="A61" s="88" t="s">
        <v>253</v>
      </c>
      <c r="B61" s="181" t="s">
        <v>251</v>
      </c>
      <c r="C61" s="88"/>
      <c r="D61" s="69" t="s">
        <v>250</v>
      </c>
      <c r="E61" s="68"/>
    </row>
    <row r="62" spans="1:5" ht="12.75">
      <c r="A62" s="88"/>
      <c r="B62" s="88"/>
      <c r="C62" s="88">
        <v>1</v>
      </c>
      <c r="D62" s="69" t="s">
        <v>251</v>
      </c>
      <c r="E62" s="55"/>
    </row>
    <row r="63" spans="1:5" ht="12.75">
      <c r="A63" s="48"/>
      <c r="B63" s="48"/>
      <c r="C63" s="48"/>
      <c r="E63" s="55"/>
    </row>
    <row r="64" spans="1:5" ht="12.75">
      <c r="A64" s="48"/>
      <c r="B64" s="48"/>
      <c r="C64" s="48"/>
      <c r="E64" s="55"/>
    </row>
    <row r="65" spans="1:5" ht="12.75">
      <c r="A65" s="48"/>
      <c r="B65" s="48"/>
      <c r="C65" s="52"/>
      <c r="E65" s="55"/>
    </row>
    <row r="66" spans="1:5" ht="12.75">
      <c r="A66" s="48"/>
      <c r="B66" s="48"/>
      <c r="C66" s="48"/>
      <c r="E66" s="55"/>
    </row>
    <row r="67" spans="1:5" ht="12.75">
      <c r="A67" s="48"/>
      <c r="B67" s="48"/>
      <c r="C67" s="48"/>
      <c r="E67" s="55"/>
    </row>
    <row r="68" spans="1:5" ht="12.75">
      <c r="A68" s="48"/>
      <c r="B68" s="48"/>
      <c r="C68" s="48"/>
      <c r="E68" s="55"/>
    </row>
    <row r="69" spans="1:5" ht="12.75">
      <c r="A69" s="48"/>
      <c r="B69" s="48"/>
      <c r="C69" s="48"/>
      <c r="E69" s="55"/>
    </row>
    <row r="70" spans="1:5" ht="12.75">
      <c r="A70" s="48"/>
      <c r="B70" s="48"/>
      <c r="C70" s="48"/>
      <c r="E70" s="55"/>
    </row>
    <row r="71" spans="1:5" ht="12.75">
      <c r="A71" s="48"/>
      <c r="B71" s="48"/>
      <c r="C71" s="48"/>
      <c r="E71" s="55"/>
    </row>
    <row r="72" spans="1:5" ht="12.75">
      <c r="A72" s="48"/>
      <c r="B72" s="48"/>
      <c r="C72" s="48"/>
      <c r="E72" s="55"/>
    </row>
    <row r="73" spans="1:5" ht="12.75">
      <c r="A73" s="48"/>
      <c r="B73" s="48"/>
      <c r="C73" s="48"/>
      <c r="E73" s="55"/>
    </row>
    <row r="74" spans="1:5" ht="12.75">
      <c r="A74" s="48"/>
      <c r="B74" s="48"/>
      <c r="C74" s="48"/>
      <c r="E74" s="55"/>
    </row>
    <row r="75" spans="1:5" ht="12.75">
      <c r="A75" s="48"/>
      <c r="B75" s="48"/>
      <c r="C75" s="48"/>
      <c r="E75" s="55"/>
    </row>
    <row r="76" spans="1:5" ht="12.75">
      <c r="A76" s="48"/>
      <c r="B76" s="48"/>
      <c r="C76" s="48"/>
      <c r="E76" s="55"/>
    </row>
    <row r="77" spans="1:5" ht="12.75">
      <c r="A77" s="48"/>
      <c r="B77" s="48"/>
      <c r="C77" s="48"/>
      <c r="E77" s="55"/>
    </row>
    <row r="78" spans="1:5" ht="12.75">
      <c r="A78" s="48"/>
      <c r="B78" s="48"/>
      <c r="C78" s="48"/>
      <c r="E78" s="55"/>
    </row>
    <row r="79" spans="1:5" ht="12.75">
      <c r="A79" s="48"/>
      <c r="B79" s="48"/>
      <c r="C79" s="48"/>
      <c r="E79" s="55"/>
    </row>
    <row r="80" spans="1:5" ht="12.75">
      <c r="A80" s="48"/>
      <c r="B80" s="48"/>
      <c r="C80" s="48"/>
      <c r="E80" s="55"/>
    </row>
    <row r="81" spans="1:5" ht="12.75">
      <c r="A81" s="48"/>
      <c r="B81" s="48"/>
      <c r="C81" s="48"/>
      <c r="E81" s="55"/>
    </row>
    <row r="82" spans="1:5" ht="12.75">
      <c r="A82" s="48"/>
      <c r="B82" s="48"/>
      <c r="C82" s="48"/>
      <c r="E82" s="55"/>
    </row>
    <row r="83" spans="1:5" ht="12.75">
      <c r="A83" s="48"/>
      <c r="B83" s="48"/>
      <c r="C83" s="48"/>
      <c r="E83" s="55"/>
    </row>
    <row r="84" spans="1:5" ht="12.75">
      <c r="A84" s="48"/>
      <c r="B84" s="48"/>
      <c r="C84" s="48"/>
      <c r="E84" s="55"/>
    </row>
    <row r="85" spans="1:5" ht="12.75">
      <c r="A85" s="48"/>
      <c r="B85" s="48"/>
      <c r="C85" s="48"/>
      <c r="E85" s="55"/>
    </row>
    <row r="86" spans="1:5" ht="12.75">
      <c r="A86" s="48"/>
      <c r="B86" s="48"/>
      <c r="C86" s="48"/>
      <c r="E86" s="55"/>
    </row>
    <row r="87" spans="1:5" ht="12.75">
      <c r="A87" s="48"/>
      <c r="B87" s="48"/>
      <c r="C87" s="48"/>
      <c r="E87" s="55"/>
    </row>
    <row r="88" spans="1:5" ht="12.75">
      <c r="A88" s="48"/>
      <c r="B88" s="48"/>
      <c r="C88" s="48"/>
      <c r="E88" s="55"/>
    </row>
    <row r="89" spans="1:5" ht="12.75">
      <c r="A89" s="48"/>
      <c r="B89" s="48"/>
      <c r="C89" s="48"/>
      <c r="E89" s="55"/>
    </row>
    <row r="90" spans="1:5" ht="12.75">
      <c r="A90" s="48"/>
      <c r="B90" s="48"/>
      <c r="C90" s="48"/>
      <c r="E90" s="55"/>
    </row>
    <row r="91" spans="1:5" ht="12.75">
      <c r="A91" s="48"/>
      <c r="B91" s="48"/>
      <c r="C91" s="48"/>
      <c r="E91" s="55"/>
    </row>
    <row r="92" spans="1:3" ht="12.75">
      <c r="A92" s="48"/>
      <c r="B92" s="48"/>
      <c r="C92" s="48"/>
    </row>
  </sheetData>
  <sheetProtection password="CCBC" sheet="1" objects="1" scenarios="1"/>
  <mergeCells count="17">
    <mergeCell ref="B16:C16"/>
    <mergeCell ref="B17:C17"/>
    <mergeCell ref="B18:C18"/>
    <mergeCell ref="B19:C19"/>
    <mergeCell ref="B20:C20"/>
    <mergeCell ref="A36:C36"/>
    <mergeCell ref="A37:C37"/>
    <mergeCell ref="A39:C39"/>
    <mergeCell ref="A24:B24"/>
    <mergeCell ref="B21:C21"/>
    <mergeCell ref="A44:C44"/>
    <mergeCell ref="A47:C47"/>
    <mergeCell ref="A48:C48"/>
    <mergeCell ref="A40:C40"/>
    <mergeCell ref="A41:C41"/>
    <mergeCell ref="A42:C42"/>
    <mergeCell ref="A43:C43"/>
  </mergeCells>
  <conditionalFormatting sqref="A24 A36:A37 B61 A39:A44 A47:A48 B16:C21">
    <cfRule type="expression" priority="1" dxfId="0" stopIfTrue="1">
      <formula>$A$25=TRUE</formula>
    </cfRule>
  </conditionalFormatting>
  <dataValidations count="2">
    <dataValidation type="list" allowBlank="1" showInputMessage="1" showErrorMessage="1" sqref="C63">
      <formula1>$D$63:$D$64</formula1>
    </dataValidation>
    <dataValidation type="list" allowBlank="1" showInputMessage="1" showErrorMessage="1" prompt="U kunt hier 'ja' selecteren indien u geen toestemming wenst te verlenen." errorTitle="Fout!" error="U moet hier een ja of nee opgeven" sqref="B61">
      <formula1>$D$61:$D$62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&amp;L&amp;"Arial,Vet"Bijlage 1 bij circulaire JHYM/xxxx/CI/06/xxc</oddHead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5">
    <tabColor indexed="50"/>
    <pageSetUpPr fitToPage="1"/>
  </sheetPr>
  <dimension ref="A1:E308"/>
  <sheetViews>
    <sheetView showGridLines="0" showRowColHeaders="0" showZeros="0" showOutlineSymbols="0" view="pageBreakPreview" zoomScale="75" zoomScaleSheetLayoutView="75" workbookViewId="0" topLeftCell="A1">
      <selection activeCell="C8" sqref="C8"/>
    </sheetView>
  </sheetViews>
  <sheetFormatPr defaultColWidth="9.140625" defaultRowHeight="12.75" customHeight="1"/>
  <cols>
    <col min="1" max="1" width="6.28125" style="44" bestFit="1" customWidth="1"/>
    <col min="2" max="2" width="62.8515625" style="44" customWidth="1"/>
    <col min="3" max="3" width="11.7109375" style="44" customWidth="1"/>
    <col min="4" max="4" width="9.140625" style="44" customWidth="1"/>
    <col min="5" max="5" width="11.7109375" style="44" bestFit="1" customWidth="1"/>
    <col min="6" max="16384" width="9.140625" style="44" customWidth="1"/>
  </cols>
  <sheetData>
    <row r="1" spans="1:5" ht="12.75" customHeight="1">
      <c r="A1" s="197"/>
      <c r="B1" s="199" t="str">
        <f>CONCATENATE("voorlopige nacalculatie ",Blad1!$B$3-1)</f>
        <v>voorlopige nacalculatie 2005</v>
      </c>
      <c r="C1" s="200"/>
      <c r="D1" s="200"/>
      <c r="E1" s="200"/>
    </row>
    <row r="2" spans="1:5" ht="12.75" customHeight="1">
      <c r="A2" s="200"/>
      <c r="B2" s="63" t="b">
        <f>Blad1!A25</f>
        <v>1</v>
      </c>
      <c r="C2" s="200"/>
      <c r="D2" s="200"/>
      <c r="E2" s="200"/>
    </row>
    <row r="3" spans="1:5" ht="12.75" customHeight="1">
      <c r="A3" s="200"/>
      <c r="B3" s="199" t="s">
        <v>134</v>
      </c>
      <c r="C3" s="200"/>
      <c r="D3" s="200"/>
      <c r="E3" s="200"/>
    </row>
    <row r="4" spans="1:5" ht="12.75" customHeight="1">
      <c r="A4" s="200"/>
      <c r="B4" s="200"/>
      <c r="C4" s="200"/>
      <c r="D4" s="200"/>
      <c r="E4" s="200"/>
    </row>
    <row r="5" spans="1:5" ht="12.75" customHeight="1">
      <c r="A5" s="200"/>
      <c r="B5" s="200" t="s">
        <v>169</v>
      </c>
      <c r="C5" s="214"/>
      <c r="D5" s="200"/>
      <c r="E5" s="200"/>
    </row>
    <row r="6" spans="1:5" ht="12.75" customHeight="1">
      <c r="A6" s="257">
        <f>E60*100+1</f>
        <v>1101</v>
      </c>
      <c r="B6" s="258" t="s">
        <v>170</v>
      </c>
      <c r="C6" s="261"/>
      <c r="D6" s="261"/>
      <c r="E6" s="259">
        <f>Blad5!J35+Blad5!K35</f>
        <v>0</v>
      </c>
    </row>
    <row r="7" spans="1:5" ht="12.75" customHeight="1">
      <c r="A7" s="200"/>
      <c r="B7" s="214"/>
      <c r="C7" s="391"/>
      <c r="D7" s="392"/>
      <c r="E7" s="392"/>
    </row>
    <row r="8" spans="1:5" ht="12.75" customHeight="1">
      <c r="A8" s="257">
        <f>A6+1</f>
        <v>1102</v>
      </c>
      <c r="B8" s="258" t="s">
        <v>269</v>
      </c>
      <c r="C8" s="236"/>
      <c r="D8" s="261"/>
      <c r="E8" s="236">
        <f>-IF(C8&lt;&gt;0,IF(C8&lt;E6,IF(ABS(E6-C8)&gt;1000,E6-C8,0),0),0)</f>
        <v>0</v>
      </c>
    </row>
    <row r="9" spans="1:5" ht="12.75" customHeight="1">
      <c r="A9" s="200"/>
      <c r="B9" s="214"/>
      <c r="C9" s="260"/>
      <c r="D9" s="261"/>
      <c r="E9" s="261"/>
    </row>
    <row r="10" spans="1:5" ht="12.75" customHeight="1">
      <c r="A10" s="257">
        <f>A8+1</f>
        <v>1103</v>
      </c>
      <c r="B10" s="258" t="s">
        <v>268</v>
      </c>
      <c r="C10" s="261"/>
      <c r="D10" s="261"/>
      <c r="E10" s="259">
        <f>Blad6!J37+Blad6!F10</f>
        <v>0</v>
      </c>
    </row>
    <row r="11" spans="1:5" ht="12.75" customHeight="1">
      <c r="A11" s="200"/>
      <c r="B11" s="214"/>
      <c r="C11" s="261"/>
      <c r="D11" s="261"/>
      <c r="E11" s="261"/>
    </row>
    <row r="12" spans="1:5" ht="12.75" customHeight="1">
      <c r="A12" s="257">
        <f>A10+1</f>
        <v>1104</v>
      </c>
      <c r="B12" s="258" t="s">
        <v>171</v>
      </c>
      <c r="C12" s="261"/>
      <c r="D12" s="261"/>
      <c r="E12" s="220">
        <f>Blad10!C34</f>
        <v>0</v>
      </c>
    </row>
    <row r="13" spans="1:5" ht="12.75" customHeight="1">
      <c r="A13" s="200"/>
      <c r="B13" s="214"/>
      <c r="C13" s="261"/>
      <c r="D13" s="261"/>
      <c r="E13" s="261"/>
    </row>
    <row r="14" spans="1:5" ht="12.75" customHeight="1">
      <c r="A14" s="257">
        <f>A12+1</f>
        <v>1105</v>
      </c>
      <c r="B14" s="258" t="s">
        <v>172</v>
      </c>
      <c r="C14" s="261"/>
      <c r="D14" s="261"/>
      <c r="E14" s="220">
        <f>Blad7!H35</f>
        <v>0</v>
      </c>
    </row>
    <row r="15" spans="1:5" ht="12.75" customHeight="1">
      <c r="A15" s="200"/>
      <c r="B15" s="214"/>
      <c r="C15" s="261"/>
      <c r="D15" s="261"/>
      <c r="E15" s="261"/>
    </row>
    <row r="16" spans="1:5" ht="12.75" customHeight="1">
      <c r="A16" s="257">
        <f>A14+1</f>
        <v>1106</v>
      </c>
      <c r="B16" s="262" t="str">
        <f>CONCATENATE("voorlopige nacalculatie ",Blad1!$B$3-1," totaal*")</f>
        <v>voorlopige nacalculatie 2005 totaal*</v>
      </c>
      <c r="C16" s="261"/>
      <c r="D16" s="261"/>
      <c r="E16" s="263">
        <f>E6+E8+E10+E12+E14</f>
        <v>0</v>
      </c>
    </row>
    <row r="17" spans="1:5" ht="12.75" customHeight="1">
      <c r="A17" s="200"/>
      <c r="B17" s="214"/>
      <c r="C17" s="200"/>
      <c r="D17" s="200"/>
      <c r="E17" s="200"/>
    </row>
    <row r="18" spans="1:5" ht="12.75" customHeight="1">
      <c r="A18" s="200"/>
      <c r="B18" s="264" t="s">
        <v>339</v>
      </c>
      <c r="C18" s="265"/>
      <c r="D18" s="265"/>
      <c r="E18" s="265"/>
    </row>
    <row r="19" spans="1:5" ht="12.75" customHeight="1">
      <c r="A19" s="265"/>
      <c r="B19" s="265" t="s">
        <v>340</v>
      </c>
      <c r="C19" s="265"/>
      <c r="D19" s="265"/>
      <c r="E19" s="265"/>
    </row>
    <row r="20" spans="1:5" ht="12.75" customHeight="1">
      <c r="A20" s="265"/>
      <c r="B20" s="266"/>
      <c r="C20" s="265"/>
      <c r="D20" s="265"/>
      <c r="E20" s="265"/>
    </row>
    <row r="21" spans="1:4" ht="12.75" customHeight="1">
      <c r="A21" s="265"/>
      <c r="B21" s="266"/>
      <c r="C21" s="265"/>
      <c r="D21" s="265"/>
    </row>
    <row r="22" s="47" customFormat="1" ht="12.75" customHeight="1">
      <c r="B22" s="52"/>
    </row>
    <row r="23" ht="12.75" customHeight="1">
      <c r="B23" s="48"/>
    </row>
    <row r="24" ht="12.75" customHeight="1">
      <c r="B24" s="48"/>
    </row>
    <row r="25" ht="12.75" customHeight="1">
      <c r="B25" s="48"/>
    </row>
    <row r="26" ht="12.75" customHeight="1">
      <c r="B26" s="48"/>
    </row>
    <row r="27" ht="12.75" customHeight="1">
      <c r="B27" s="48"/>
    </row>
    <row r="28" ht="12.75" customHeight="1">
      <c r="B28" s="48"/>
    </row>
    <row r="29" ht="12.75" customHeight="1">
      <c r="B29" s="48"/>
    </row>
    <row r="30" ht="12.75" customHeight="1">
      <c r="B30" s="48"/>
    </row>
    <row r="31" ht="12.75" customHeight="1">
      <c r="B31" s="48"/>
    </row>
    <row r="32" ht="12.75" customHeight="1">
      <c r="B32" s="48"/>
    </row>
    <row r="33" ht="12.75" customHeight="1">
      <c r="B33" s="48"/>
    </row>
    <row r="34" ht="12.75" customHeight="1">
      <c r="B34" s="48"/>
    </row>
    <row r="35" ht="12.75" customHeight="1">
      <c r="B35" s="48"/>
    </row>
    <row r="36" ht="12.75" customHeight="1">
      <c r="B36" s="48"/>
    </row>
    <row r="37" ht="12.75" customHeight="1">
      <c r="B37" s="48"/>
    </row>
    <row r="38" ht="12.75" customHeight="1">
      <c r="B38" s="48"/>
    </row>
    <row r="39" ht="12.75" customHeight="1">
      <c r="B39" s="48"/>
    </row>
    <row r="40" ht="12.75" customHeight="1">
      <c r="B40" s="48"/>
    </row>
    <row r="41" ht="12.75" customHeight="1">
      <c r="B41" s="48"/>
    </row>
    <row r="42" ht="12.75" customHeight="1">
      <c r="B42" s="48"/>
    </row>
    <row r="43" ht="12.75" customHeight="1">
      <c r="B43" s="48"/>
    </row>
    <row r="44" ht="12.75" customHeight="1">
      <c r="B44" s="48"/>
    </row>
    <row r="45" ht="12.75" customHeight="1">
      <c r="B45" s="48"/>
    </row>
    <row r="46" ht="12.75" customHeight="1">
      <c r="B46" s="48"/>
    </row>
    <row r="47" ht="12.75" customHeight="1">
      <c r="B47" s="48"/>
    </row>
    <row r="48" ht="12.75" customHeight="1">
      <c r="B48" s="48"/>
    </row>
    <row r="49" ht="12.75" customHeight="1">
      <c r="B49" s="48"/>
    </row>
    <row r="50" ht="12.75" customHeight="1">
      <c r="B50" s="48"/>
    </row>
    <row r="51" ht="12.75" customHeight="1">
      <c r="B51" s="48"/>
    </row>
    <row r="52" ht="12.75" customHeight="1">
      <c r="B52" s="48"/>
    </row>
    <row r="53" ht="12.75" customHeight="1">
      <c r="B53" s="48"/>
    </row>
    <row r="54" ht="12.75" customHeight="1">
      <c r="B54" s="48"/>
    </row>
    <row r="55" ht="12.75" customHeight="1">
      <c r="B55" s="48"/>
    </row>
    <row r="56" ht="12.75" customHeight="1">
      <c r="B56" s="48"/>
    </row>
    <row r="57" ht="12.75" customHeight="1">
      <c r="B57" s="48"/>
    </row>
    <row r="58" ht="12.75" customHeight="1">
      <c r="B58" s="48"/>
    </row>
    <row r="59" ht="12.75" customHeight="1">
      <c r="B59" s="48"/>
    </row>
    <row r="60" spans="2:5" ht="12.75" customHeight="1">
      <c r="B60" s="48"/>
      <c r="E60" s="265">
        <f>Blad10!D60+1</f>
        <v>11</v>
      </c>
    </row>
    <row r="61" ht="12.75" customHeight="1">
      <c r="B61" s="48"/>
    </row>
    <row r="62" ht="12.75" customHeight="1">
      <c r="B62" s="48"/>
    </row>
    <row r="63" ht="12.75" customHeight="1">
      <c r="B63" s="48"/>
    </row>
    <row r="64" ht="12.75" customHeight="1">
      <c r="B64" s="48"/>
    </row>
    <row r="65" ht="12.75" customHeight="1">
      <c r="B65" s="48"/>
    </row>
    <row r="66" ht="12.75" customHeight="1">
      <c r="B66" s="48"/>
    </row>
    <row r="67" ht="12.75" customHeight="1">
      <c r="B67" s="48"/>
    </row>
    <row r="68" ht="12.75" customHeight="1">
      <c r="B68" s="48"/>
    </row>
    <row r="69" ht="12.75" customHeight="1">
      <c r="B69" s="48"/>
    </row>
    <row r="70" ht="12.75" customHeight="1">
      <c r="B70" s="48"/>
    </row>
    <row r="71" ht="12.75" customHeight="1">
      <c r="B71" s="48"/>
    </row>
    <row r="72" ht="12.75" customHeight="1">
      <c r="B72" s="48"/>
    </row>
    <row r="73" ht="12.75" customHeight="1">
      <c r="B73" s="48"/>
    </row>
    <row r="74" ht="12.75" customHeight="1">
      <c r="B74" s="48"/>
    </row>
    <row r="75" ht="12.75" customHeight="1">
      <c r="B75" s="48"/>
    </row>
    <row r="76" ht="12.75" customHeight="1">
      <c r="B76" s="48"/>
    </row>
    <row r="77" ht="12.75" customHeight="1">
      <c r="B77" s="48"/>
    </row>
    <row r="78" ht="12.75" customHeight="1">
      <c r="B78" s="48"/>
    </row>
    <row r="79" ht="12.75" customHeight="1">
      <c r="B79" s="48"/>
    </row>
    <row r="80" ht="12.75" customHeight="1">
      <c r="B80" s="48"/>
    </row>
    <row r="81" ht="12.75" customHeight="1">
      <c r="B81" s="48"/>
    </row>
    <row r="82" ht="12.75" customHeight="1">
      <c r="B82" s="48"/>
    </row>
    <row r="83" ht="12.75" customHeight="1">
      <c r="B83" s="48"/>
    </row>
    <row r="84" ht="12.75" customHeight="1">
      <c r="B84" s="48"/>
    </row>
    <row r="85" ht="12.75" customHeight="1">
      <c r="B85" s="48"/>
    </row>
    <row r="86" ht="12.75" customHeight="1">
      <c r="B86" s="48"/>
    </row>
    <row r="87" ht="12.75" customHeight="1">
      <c r="B87" s="48"/>
    </row>
    <row r="88" ht="12.75" customHeight="1">
      <c r="B88" s="48"/>
    </row>
    <row r="89" ht="12.75" customHeight="1">
      <c r="B89" s="48"/>
    </row>
    <row r="90" ht="12.75" customHeight="1">
      <c r="B90" s="48"/>
    </row>
    <row r="91" ht="12.75" customHeight="1">
      <c r="B91" s="48"/>
    </row>
    <row r="92" ht="12.75" customHeight="1">
      <c r="B92" s="48"/>
    </row>
    <row r="93" ht="12.75" customHeight="1">
      <c r="B93" s="48"/>
    </row>
    <row r="94" ht="12.75" customHeight="1">
      <c r="B94" s="48"/>
    </row>
    <row r="95" ht="12.75" customHeight="1">
      <c r="B95" s="48"/>
    </row>
    <row r="96" ht="12.75" customHeight="1">
      <c r="B96" s="48"/>
    </row>
    <row r="97" ht="12.75" customHeight="1">
      <c r="B97" s="48"/>
    </row>
    <row r="98" ht="12.75" customHeight="1">
      <c r="B98" s="48"/>
    </row>
    <row r="99" ht="12.75" customHeight="1">
      <c r="B99" s="48"/>
    </row>
    <row r="100" ht="12.75" customHeight="1">
      <c r="B100" s="48"/>
    </row>
    <row r="101" ht="12.75" customHeight="1">
      <c r="B101" s="48"/>
    </row>
    <row r="102" ht="12.75" customHeight="1">
      <c r="B102" s="48"/>
    </row>
    <row r="103" ht="12.75" customHeight="1">
      <c r="B103" s="48"/>
    </row>
    <row r="104" ht="12.75" customHeight="1">
      <c r="B104" s="48"/>
    </row>
    <row r="105" ht="12.75" customHeight="1">
      <c r="B105" s="48"/>
    </row>
    <row r="106" ht="12.75" customHeight="1">
      <c r="B106" s="48"/>
    </row>
    <row r="107" ht="12.75" customHeight="1">
      <c r="B107" s="48"/>
    </row>
    <row r="108" ht="12.75" customHeight="1">
      <c r="B108" s="48"/>
    </row>
    <row r="109" ht="12.75" customHeight="1">
      <c r="B109" s="48"/>
    </row>
    <row r="110" ht="12.75" customHeight="1">
      <c r="B110" s="48"/>
    </row>
    <row r="111" ht="12.75" customHeight="1">
      <c r="B111" s="48"/>
    </row>
    <row r="112" ht="12.75" customHeight="1">
      <c r="B112" s="48"/>
    </row>
    <row r="113" ht="12.75" customHeight="1">
      <c r="B113" s="48"/>
    </row>
    <row r="114" ht="12.75" customHeight="1">
      <c r="B114" s="48"/>
    </row>
    <row r="115" ht="12.75" customHeight="1">
      <c r="B115" s="48"/>
    </row>
    <row r="116" ht="12.75" customHeight="1">
      <c r="B116" s="48"/>
    </row>
    <row r="117" ht="12.75" customHeight="1">
      <c r="B117" s="48"/>
    </row>
    <row r="118" ht="12.75" customHeight="1">
      <c r="B118" s="48"/>
    </row>
    <row r="119" ht="12.75" customHeight="1">
      <c r="B119" s="48"/>
    </row>
    <row r="120" ht="12.75" customHeight="1">
      <c r="B120" s="48"/>
    </row>
    <row r="121" ht="12.75" customHeight="1">
      <c r="B121" s="48"/>
    </row>
    <row r="122" ht="12.75" customHeight="1">
      <c r="B122" s="48"/>
    </row>
    <row r="123" ht="12.75" customHeight="1">
      <c r="B123" s="48"/>
    </row>
    <row r="124" ht="12.75" customHeight="1">
      <c r="B124" s="48"/>
    </row>
    <row r="125" ht="12.75" customHeight="1">
      <c r="B125" s="48"/>
    </row>
    <row r="126" ht="12.75" customHeight="1">
      <c r="B126" s="48"/>
    </row>
    <row r="127" ht="12.75" customHeight="1">
      <c r="B127" s="48"/>
    </row>
    <row r="128" ht="12.75" customHeight="1">
      <c r="B128" s="48"/>
    </row>
    <row r="129" ht="12.75" customHeight="1">
      <c r="B129" s="48"/>
    </row>
    <row r="130" ht="12.75" customHeight="1">
      <c r="B130" s="48"/>
    </row>
    <row r="131" ht="12.75" customHeight="1">
      <c r="B131" s="48"/>
    </row>
    <row r="132" ht="12.75" customHeight="1">
      <c r="B132" s="48"/>
    </row>
    <row r="133" ht="12.75" customHeight="1">
      <c r="B133" s="48"/>
    </row>
    <row r="134" ht="12.75" customHeight="1">
      <c r="B134" s="48"/>
    </row>
    <row r="135" ht="12.75" customHeight="1">
      <c r="B135" s="48"/>
    </row>
    <row r="136" ht="12.75" customHeight="1">
      <c r="B136" s="48"/>
    </row>
    <row r="137" ht="12.75" customHeight="1">
      <c r="B137" s="48"/>
    </row>
    <row r="138" ht="12.75" customHeight="1">
      <c r="B138" s="48"/>
    </row>
    <row r="139" ht="12.75" customHeight="1">
      <c r="B139" s="48"/>
    </row>
    <row r="140" ht="12.75" customHeight="1">
      <c r="B140" s="48"/>
    </row>
    <row r="141" ht="12.75" customHeight="1">
      <c r="B141" s="48"/>
    </row>
    <row r="142" ht="12.75" customHeight="1">
      <c r="B142" s="48"/>
    </row>
    <row r="143" ht="12.75" customHeight="1">
      <c r="B143" s="48"/>
    </row>
    <row r="144" ht="12.75" customHeight="1">
      <c r="B144" s="48"/>
    </row>
    <row r="145" ht="12.75" customHeight="1">
      <c r="B145" s="48"/>
    </row>
    <row r="146" ht="12.75" customHeight="1">
      <c r="B146" s="48"/>
    </row>
    <row r="147" ht="12.75" customHeight="1">
      <c r="B147" s="48"/>
    </row>
    <row r="148" ht="12.75" customHeight="1">
      <c r="B148" s="48"/>
    </row>
    <row r="149" ht="12.75" customHeight="1">
      <c r="B149" s="48"/>
    </row>
    <row r="150" ht="12.75" customHeight="1">
      <c r="B150" s="48"/>
    </row>
    <row r="151" ht="12.75" customHeight="1">
      <c r="B151" s="48"/>
    </row>
    <row r="152" ht="12.75" customHeight="1">
      <c r="B152" s="48"/>
    </row>
    <row r="153" ht="12.75" customHeight="1">
      <c r="B153" s="48"/>
    </row>
    <row r="154" ht="12.75" customHeight="1">
      <c r="B154" s="48"/>
    </row>
    <row r="155" ht="12.75" customHeight="1">
      <c r="B155" s="48"/>
    </row>
    <row r="156" ht="12.75" customHeight="1">
      <c r="B156" s="48"/>
    </row>
    <row r="157" ht="12.75" customHeight="1">
      <c r="B157" s="48"/>
    </row>
    <row r="158" ht="12.75" customHeight="1">
      <c r="B158" s="48"/>
    </row>
    <row r="159" ht="12.75" customHeight="1">
      <c r="B159" s="48"/>
    </row>
    <row r="160" ht="12.75" customHeight="1">
      <c r="B160" s="48"/>
    </row>
    <row r="161" ht="12.75" customHeight="1">
      <c r="B161" s="48"/>
    </row>
    <row r="162" ht="12.75" customHeight="1">
      <c r="B162" s="48"/>
    </row>
    <row r="163" ht="12.75" customHeight="1">
      <c r="B163" s="48"/>
    </row>
    <row r="164" ht="12.75" customHeight="1">
      <c r="B164" s="48"/>
    </row>
    <row r="165" ht="12.75" customHeight="1">
      <c r="B165" s="48"/>
    </row>
    <row r="166" ht="12.75" customHeight="1">
      <c r="B166" s="48"/>
    </row>
    <row r="167" ht="12.75" customHeight="1">
      <c r="B167" s="48"/>
    </row>
    <row r="168" ht="12.75" customHeight="1">
      <c r="B168" s="48"/>
    </row>
    <row r="169" ht="12.75" customHeight="1">
      <c r="B169" s="48"/>
    </row>
    <row r="170" ht="12.75" customHeight="1">
      <c r="B170" s="48"/>
    </row>
    <row r="171" ht="12.75" customHeight="1">
      <c r="B171" s="48"/>
    </row>
    <row r="172" ht="12.75" customHeight="1">
      <c r="B172" s="48"/>
    </row>
    <row r="173" ht="12.75" customHeight="1">
      <c r="B173" s="48"/>
    </row>
    <row r="174" ht="12.75" customHeight="1">
      <c r="B174" s="48"/>
    </row>
    <row r="175" ht="12.75" customHeight="1">
      <c r="B175" s="48"/>
    </row>
    <row r="176" ht="12.75" customHeight="1">
      <c r="B176" s="48"/>
    </row>
    <row r="177" ht="12.75" customHeight="1">
      <c r="B177" s="48"/>
    </row>
    <row r="178" ht="12.75" customHeight="1">
      <c r="B178" s="48"/>
    </row>
    <row r="179" ht="12.75" customHeight="1">
      <c r="B179" s="48"/>
    </row>
    <row r="180" ht="12.75" customHeight="1">
      <c r="B180" s="48"/>
    </row>
    <row r="181" ht="12.75" customHeight="1">
      <c r="B181" s="48"/>
    </row>
    <row r="182" ht="12.75" customHeight="1">
      <c r="B182" s="48"/>
    </row>
    <row r="183" ht="12.75" customHeight="1">
      <c r="B183" s="48"/>
    </row>
    <row r="184" ht="12.75" customHeight="1">
      <c r="B184" s="48"/>
    </row>
    <row r="185" ht="12.75" customHeight="1">
      <c r="B185" s="48"/>
    </row>
    <row r="186" ht="12.75" customHeight="1">
      <c r="B186" s="48"/>
    </row>
    <row r="187" ht="12.75" customHeight="1">
      <c r="B187" s="48"/>
    </row>
    <row r="188" ht="12.75" customHeight="1">
      <c r="B188" s="48"/>
    </row>
    <row r="189" ht="12.75" customHeight="1">
      <c r="B189" s="48"/>
    </row>
    <row r="190" ht="12.75" customHeight="1">
      <c r="B190" s="48"/>
    </row>
    <row r="191" ht="12.75" customHeight="1">
      <c r="B191" s="48"/>
    </row>
    <row r="192" ht="12.75" customHeight="1">
      <c r="B192" s="48"/>
    </row>
    <row r="193" ht="12.75" customHeight="1">
      <c r="B193" s="48"/>
    </row>
    <row r="194" ht="12.75" customHeight="1">
      <c r="B194" s="48"/>
    </row>
    <row r="195" ht="12.75" customHeight="1">
      <c r="B195" s="48"/>
    </row>
    <row r="196" ht="12.75" customHeight="1">
      <c r="B196" s="48"/>
    </row>
    <row r="197" ht="12.75" customHeight="1">
      <c r="B197" s="48"/>
    </row>
    <row r="198" ht="12.75" customHeight="1">
      <c r="B198" s="48"/>
    </row>
    <row r="199" ht="12.75" customHeight="1">
      <c r="B199" s="48"/>
    </row>
    <row r="200" ht="12.75" customHeight="1">
      <c r="B200" s="48"/>
    </row>
    <row r="201" ht="12.75" customHeight="1">
      <c r="B201" s="48"/>
    </row>
    <row r="202" ht="12.75" customHeight="1">
      <c r="B202" s="48"/>
    </row>
    <row r="203" ht="12.75" customHeight="1">
      <c r="B203" s="48"/>
    </row>
    <row r="204" ht="12.75" customHeight="1">
      <c r="B204" s="48"/>
    </row>
    <row r="205" ht="12.75" customHeight="1">
      <c r="B205" s="48"/>
    </row>
    <row r="206" ht="12.75" customHeight="1">
      <c r="B206" s="48"/>
    </row>
    <row r="207" ht="12.75" customHeight="1">
      <c r="B207" s="48"/>
    </row>
    <row r="208" ht="12.75" customHeight="1">
      <c r="B208" s="48"/>
    </row>
    <row r="209" ht="12.75" customHeight="1">
      <c r="B209" s="48"/>
    </row>
    <row r="210" ht="12.75" customHeight="1">
      <c r="B210" s="48"/>
    </row>
    <row r="211" ht="12.75" customHeight="1">
      <c r="B211" s="48"/>
    </row>
    <row r="212" ht="12.75" customHeight="1">
      <c r="B212" s="48"/>
    </row>
    <row r="213" ht="12.75" customHeight="1">
      <c r="B213" s="48"/>
    </row>
    <row r="214" ht="12.75" customHeight="1">
      <c r="B214" s="48"/>
    </row>
    <row r="215" ht="12.75" customHeight="1">
      <c r="B215" s="48"/>
    </row>
    <row r="216" ht="12.75" customHeight="1">
      <c r="B216" s="48"/>
    </row>
    <row r="217" ht="12.75" customHeight="1">
      <c r="B217" s="48"/>
    </row>
    <row r="218" ht="12.75" customHeight="1">
      <c r="B218" s="48"/>
    </row>
    <row r="219" ht="12.75" customHeight="1">
      <c r="B219" s="48"/>
    </row>
    <row r="220" ht="12.75" customHeight="1">
      <c r="B220" s="48"/>
    </row>
    <row r="221" ht="12.75" customHeight="1">
      <c r="B221" s="48"/>
    </row>
    <row r="222" ht="12.75" customHeight="1">
      <c r="B222" s="48"/>
    </row>
    <row r="223" ht="12.75" customHeight="1">
      <c r="B223" s="48"/>
    </row>
    <row r="224" ht="12.75" customHeight="1">
      <c r="B224" s="48"/>
    </row>
    <row r="225" ht="12.75" customHeight="1">
      <c r="B225" s="48"/>
    </row>
    <row r="226" ht="12.75" customHeight="1">
      <c r="B226" s="48"/>
    </row>
    <row r="227" ht="12.75" customHeight="1">
      <c r="B227" s="48"/>
    </row>
    <row r="228" ht="12.75" customHeight="1">
      <c r="B228" s="48"/>
    </row>
    <row r="229" ht="12.75" customHeight="1">
      <c r="B229" s="48"/>
    </row>
    <row r="230" ht="12.75" customHeight="1">
      <c r="B230" s="48"/>
    </row>
    <row r="231" ht="12.75" customHeight="1">
      <c r="B231" s="48"/>
    </row>
    <row r="232" ht="12.75" customHeight="1">
      <c r="B232" s="48"/>
    </row>
    <row r="233" ht="12.75" customHeight="1">
      <c r="B233" s="48"/>
    </row>
    <row r="234" ht="12.75" customHeight="1">
      <c r="B234" s="48"/>
    </row>
    <row r="235" ht="12.75" customHeight="1">
      <c r="B235" s="48"/>
    </row>
    <row r="236" ht="12.75" customHeight="1">
      <c r="B236" s="48"/>
    </row>
    <row r="237" ht="12.75" customHeight="1">
      <c r="B237" s="48"/>
    </row>
    <row r="238" ht="12.75" customHeight="1">
      <c r="B238" s="48"/>
    </row>
    <row r="239" ht="12.75" customHeight="1">
      <c r="B239" s="48"/>
    </row>
    <row r="240" ht="12.75" customHeight="1">
      <c r="B240" s="48"/>
    </row>
    <row r="241" ht="12.75" customHeight="1">
      <c r="B241" s="48"/>
    </row>
    <row r="242" ht="12.75" customHeight="1">
      <c r="B242" s="48"/>
    </row>
    <row r="243" ht="12.75" customHeight="1">
      <c r="B243" s="48"/>
    </row>
    <row r="244" ht="12.75" customHeight="1">
      <c r="B244" s="48"/>
    </row>
    <row r="245" ht="12.75" customHeight="1">
      <c r="B245" s="48"/>
    </row>
    <row r="246" ht="12.75" customHeight="1">
      <c r="B246" s="48"/>
    </row>
    <row r="247" ht="12.75" customHeight="1">
      <c r="B247" s="48"/>
    </row>
    <row r="248" ht="12.75" customHeight="1">
      <c r="B248" s="48"/>
    </row>
    <row r="249" ht="12.75" customHeight="1">
      <c r="B249" s="48"/>
    </row>
    <row r="250" ht="12.75" customHeight="1">
      <c r="B250" s="48"/>
    </row>
    <row r="251" ht="12.75" customHeight="1">
      <c r="B251" s="48"/>
    </row>
    <row r="252" ht="12.75" customHeight="1">
      <c r="B252" s="48"/>
    </row>
    <row r="253" ht="12.75" customHeight="1">
      <c r="B253" s="48"/>
    </row>
    <row r="254" ht="12.75" customHeight="1">
      <c r="B254" s="48"/>
    </row>
    <row r="255" ht="12.75" customHeight="1">
      <c r="B255" s="48"/>
    </row>
    <row r="256" ht="12.75" customHeight="1">
      <c r="B256" s="48"/>
    </row>
    <row r="257" ht="12.75" customHeight="1">
      <c r="B257" s="48"/>
    </row>
    <row r="258" ht="12.75" customHeight="1">
      <c r="B258" s="48"/>
    </row>
    <row r="259" ht="12.75" customHeight="1">
      <c r="B259" s="48"/>
    </row>
    <row r="260" ht="12.75" customHeight="1">
      <c r="B260" s="48"/>
    </row>
    <row r="261" ht="12.75" customHeight="1">
      <c r="B261" s="48"/>
    </row>
    <row r="262" ht="12.75" customHeight="1">
      <c r="B262" s="48"/>
    </row>
    <row r="263" ht="12.75" customHeight="1">
      <c r="B263" s="48"/>
    </row>
    <row r="264" ht="12.75" customHeight="1">
      <c r="B264" s="48"/>
    </row>
    <row r="265" ht="12.75" customHeight="1">
      <c r="B265" s="48"/>
    </row>
    <row r="266" ht="12.75" customHeight="1">
      <c r="B266" s="48"/>
    </row>
    <row r="267" ht="12.75" customHeight="1">
      <c r="B267" s="48"/>
    </row>
    <row r="268" ht="12.75" customHeight="1">
      <c r="B268" s="48"/>
    </row>
    <row r="269" ht="12.75" customHeight="1">
      <c r="B269" s="48"/>
    </row>
    <row r="270" ht="12.75" customHeight="1">
      <c r="B270" s="48"/>
    </row>
    <row r="271" ht="12.75" customHeight="1">
      <c r="B271" s="48"/>
    </row>
    <row r="272" ht="12.75" customHeight="1">
      <c r="B272" s="48"/>
    </row>
    <row r="273" ht="12.75" customHeight="1">
      <c r="B273" s="48"/>
    </row>
    <row r="274" ht="12.75" customHeight="1">
      <c r="B274" s="48"/>
    </row>
    <row r="275" ht="12.75" customHeight="1">
      <c r="B275" s="48"/>
    </row>
    <row r="276" ht="12.75" customHeight="1">
      <c r="B276" s="48"/>
    </row>
    <row r="277" ht="12.75" customHeight="1">
      <c r="B277" s="48"/>
    </row>
    <row r="278" ht="12.75" customHeight="1">
      <c r="B278" s="48"/>
    </row>
    <row r="279" ht="12.75" customHeight="1">
      <c r="B279" s="48"/>
    </row>
    <row r="280" ht="12.75" customHeight="1">
      <c r="B280" s="48"/>
    </row>
    <row r="281" ht="12.75" customHeight="1">
      <c r="B281" s="48"/>
    </row>
    <row r="282" ht="12.75" customHeight="1">
      <c r="B282" s="48"/>
    </row>
    <row r="283" ht="12.75" customHeight="1">
      <c r="B283" s="48"/>
    </row>
    <row r="284" ht="12.75" customHeight="1">
      <c r="B284" s="48"/>
    </row>
    <row r="285" ht="12.75" customHeight="1">
      <c r="B285" s="48"/>
    </row>
    <row r="286" ht="12.75" customHeight="1">
      <c r="B286" s="48"/>
    </row>
    <row r="287" ht="12.75" customHeight="1">
      <c r="B287" s="48"/>
    </row>
    <row r="288" ht="12.75" customHeight="1">
      <c r="B288" s="48"/>
    </row>
    <row r="289" ht="12.75" customHeight="1">
      <c r="B289" s="48"/>
    </row>
    <row r="290" ht="12.75" customHeight="1">
      <c r="B290" s="48"/>
    </row>
    <row r="291" ht="12.75" customHeight="1">
      <c r="B291" s="48"/>
    </row>
    <row r="292" ht="12.75" customHeight="1">
      <c r="B292" s="48"/>
    </row>
    <row r="293" ht="12.75" customHeight="1">
      <c r="B293" s="48"/>
    </row>
    <row r="294" ht="12.75" customHeight="1">
      <c r="B294" s="48"/>
    </row>
    <row r="295" ht="12.75" customHeight="1">
      <c r="B295" s="48"/>
    </row>
    <row r="296" ht="12.75" customHeight="1">
      <c r="B296" s="48"/>
    </row>
    <row r="297" ht="12.75" customHeight="1">
      <c r="B297" s="48"/>
    </row>
    <row r="298" ht="12.75" customHeight="1">
      <c r="B298" s="48"/>
    </row>
    <row r="299" ht="12.75" customHeight="1">
      <c r="B299" s="48"/>
    </row>
    <row r="300" ht="12.75" customHeight="1">
      <c r="B300" s="48"/>
    </row>
    <row r="301" ht="12.75" customHeight="1">
      <c r="B301" s="48"/>
    </row>
    <row r="302" ht="12.75" customHeight="1">
      <c r="B302" s="48"/>
    </row>
    <row r="303" ht="12.75" customHeight="1">
      <c r="B303" s="48"/>
    </row>
    <row r="304" ht="12.75" customHeight="1">
      <c r="B304" s="48"/>
    </row>
    <row r="305" ht="12.75" customHeight="1">
      <c r="B305" s="48"/>
    </row>
    <row r="306" ht="12.75" customHeight="1">
      <c r="B306" s="48"/>
    </row>
    <row r="307" ht="12.75" customHeight="1">
      <c r="B307" s="48"/>
    </row>
    <row r="308" ht="12.75" customHeight="1">
      <c r="B308" s="48"/>
    </row>
  </sheetData>
  <sheetProtection password="CCBC" sheet="1" objects="1" scenarios="1"/>
  <conditionalFormatting sqref="C8">
    <cfRule type="expression" priority="1" dxfId="0" stopIfTrue="1">
      <formula>$B$2=TRUE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9" r:id="rId1"/>
  <headerFooter alignWithMargins="0">
    <oddHeader>&amp;L&amp;"Arial,Vet"Bijlage 1 bij circulaire JHYM/xxxx/CI/06/xxc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4">
    <tabColor indexed="50"/>
    <pageSetUpPr fitToPage="1"/>
  </sheetPr>
  <dimension ref="A1:N91"/>
  <sheetViews>
    <sheetView showGridLines="0" showRowColHeaders="0" showZeros="0" showOutlineSymbols="0" view="pageBreakPreview" zoomScale="75" zoomScaleSheetLayoutView="75" workbookViewId="0" topLeftCell="A1">
      <selection activeCell="C8" sqref="C8"/>
    </sheetView>
  </sheetViews>
  <sheetFormatPr defaultColWidth="9.140625" defaultRowHeight="12.75"/>
  <cols>
    <col min="1" max="1" width="8.00390625" style="0" bestFit="1" customWidth="1"/>
    <col min="2" max="2" width="46.28125" style="0" customWidth="1"/>
    <col min="3" max="5" width="12.7109375" style="5" customWidth="1"/>
    <col min="6" max="6" width="12.7109375" style="0" customWidth="1"/>
    <col min="7" max="9" width="12.7109375" style="5" customWidth="1"/>
    <col min="10" max="10" width="1.7109375" style="0" customWidth="1"/>
    <col min="11" max="12" width="12.7109375" style="5" customWidth="1"/>
    <col min="13" max="13" width="12.7109375" style="0" customWidth="1"/>
  </cols>
  <sheetData>
    <row r="1" spans="1:13" ht="12.75">
      <c r="A1" s="154"/>
      <c r="B1" s="233" t="s">
        <v>43</v>
      </c>
      <c r="C1" s="267"/>
      <c r="D1" s="267"/>
      <c r="E1" s="267"/>
      <c r="F1" s="232"/>
      <c r="G1" s="267"/>
      <c r="H1" s="267"/>
      <c r="I1" s="267"/>
      <c r="J1" s="232"/>
      <c r="K1" s="267"/>
      <c r="L1" s="267"/>
      <c r="M1" s="232"/>
    </row>
    <row r="2" spans="1:13" ht="12.75">
      <c r="A2" s="232"/>
      <c r="B2" s="268" t="b">
        <f>Blad1!A25</f>
        <v>1</v>
      </c>
      <c r="C2" s="269"/>
      <c r="D2" s="269"/>
      <c r="E2" s="269"/>
      <c r="F2" s="270"/>
      <c r="G2" s="269"/>
      <c r="H2" s="269"/>
      <c r="I2" s="269"/>
      <c r="J2" s="270"/>
      <c r="K2" s="269"/>
      <c r="L2" s="269"/>
      <c r="M2" s="270"/>
    </row>
    <row r="3" spans="1:13" ht="12.75" customHeight="1">
      <c r="A3" s="270"/>
      <c r="B3" s="270"/>
      <c r="C3" s="271"/>
      <c r="D3" s="272"/>
      <c r="E3" s="272"/>
      <c r="F3" s="273" t="s">
        <v>74</v>
      </c>
      <c r="G3" s="272"/>
      <c r="H3" s="272"/>
      <c r="I3" s="274"/>
      <c r="J3" s="270"/>
      <c r="K3" s="471" t="s">
        <v>539</v>
      </c>
      <c r="L3" s="471"/>
      <c r="M3" s="471"/>
    </row>
    <row r="4" spans="1:13" ht="12.75">
      <c r="A4" s="270"/>
      <c r="B4" s="270"/>
      <c r="C4" s="467" t="s">
        <v>81</v>
      </c>
      <c r="D4" s="468"/>
      <c r="E4" s="470"/>
      <c r="F4" s="275"/>
      <c r="G4" s="467" t="s">
        <v>82</v>
      </c>
      <c r="H4" s="468"/>
      <c r="I4" s="469"/>
      <c r="J4" s="270"/>
      <c r="K4" s="471"/>
      <c r="L4" s="471"/>
      <c r="M4" s="471"/>
    </row>
    <row r="5" spans="1:13" ht="12.75" customHeight="1">
      <c r="A5" s="270"/>
      <c r="B5" s="270"/>
      <c r="C5" s="276" t="s">
        <v>537</v>
      </c>
      <c r="D5" s="277" t="s">
        <v>136</v>
      </c>
      <c r="E5" s="276" t="s">
        <v>42</v>
      </c>
      <c r="F5" s="278" t="s">
        <v>72</v>
      </c>
      <c r="G5" s="276" t="s">
        <v>70</v>
      </c>
      <c r="H5" s="277" t="s">
        <v>136</v>
      </c>
      <c r="I5" s="276" t="s">
        <v>71</v>
      </c>
      <c r="J5" s="270"/>
      <c r="K5" s="276" t="s">
        <v>537</v>
      </c>
      <c r="L5" s="276" t="s">
        <v>136</v>
      </c>
      <c r="M5" s="276" t="s">
        <v>569</v>
      </c>
    </row>
    <row r="6" spans="1:13" ht="12.75">
      <c r="A6" s="270"/>
      <c r="B6" s="279"/>
      <c r="C6" s="280">
        <f>Blad1!$B$3-1</f>
        <v>2005</v>
      </c>
      <c r="D6" s="280">
        <f>Blad1!$B$3-1</f>
        <v>2005</v>
      </c>
      <c r="E6" s="280">
        <f>Blad1!$B$3</f>
        <v>2006</v>
      </c>
      <c r="F6" s="281" t="s">
        <v>73</v>
      </c>
      <c r="G6" s="280">
        <f>Blad1!$B$3-1</f>
        <v>2005</v>
      </c>
      <c r="H6" s="280">
        <f>Blad1!$B$3-1</f>
        <v>2005</v>
      </c>
      <c r="I6" s="280">
        <f>Blad1!$B$3</f>
        <v>2006</v>
      </c>
      <c r="J6" s="282"/>
      <c r="K6" s="280">
        <f>Blad1!$B$3-1</f>
        <v>2005</v>
      </c>
      <c r="L6" s="280">
        <f>Blad1!$B$3-1</f>
        <v>2005</v>
      </c>
      <c r="M6" s="280">
        <f>Blad1!$B$3</f>
        <v>2006</v>
      </c>
    </row>
    <row r="7" spans="1:13" ht="12.75">
      <c r="A7" s="270"/>
      <c r="B7" s="283"/>
      <c r="C7" s="284"/>
      <c r="D7" s="284"/>
      <c r="E7" s="285"/>
      <c r="F7" s="286"/>
      <c r="G7" s="287"/>
      <c r="H7" s="287"/>
      <c r="I7" s="288"/>
      <c r="J7" s="289"/>
      <c r="K7" s="287"/>
      <c r="L7" s="287"/>
      <c r="M7" s="288"/>
    </row>
    <row r="8" spans="1:13" ht="12.75">
      <c r="A8" s="290">
        <f>N55*100+1</f>
        <v>1201</v>
      </c>
      <c r="B8" s="234" t="s">
        <v>44</v>
      </c>
      <c r="C8" s="236"/>
      <c r="D8" s="236"/>
      <c r="E8" s="236"/>
      <c r="F8" s="291">
        <v>1.26</v>
      </c>
      <c r="G8" s="292">
        <f>ROUND(C8*F8,0)</f>
        <v>0</v>
      </c>
      <c r="H8" s="292">
        <f>ROUND(D8*F8,0)</f>
        <v>0</v>
      </c>
      <c r="I8" s="292">
        <f>E8*F8</f>
        <v>0</v>
      </c>
      <c r="J8" s="232"/>
      <c r="K8" s="236"/>
      <c r="L8" s="236"/>
      <c r="M8" s="236"/>
    </row>
    <row r="9" spans="1:13" ht="12.75">
      <c r="A9" s="290">
        <f>A8+1</f>
        <v>1202</v>
      </c>
      <c r="B9" s="234" t="s">
        <v>45</v>
      </c>
      <c r="C9" s="236"/>
      <c r="D9" s="236"/>
      <c r="E9" s="236"/>
      <c r="F9" s="291">
        <v>1.75</v>
      </c>
      <c r="G9" s="292">
        <f aca="true" t="shared" si="0" ref="G9:G29">ROUND(C9*F9,0)</f>
        <v>0</v>
      </c>
      <c r="H9" s="292">
        <f aca="true" t="shared" si="1" ref="H9:H29">ROUND(D9*F9,0)</f>
        <v>0</v>
      </c>
      <c r="I9" s="292">
        <f aca="true" t="shared" si="2" ref="I9:I29">E9*F9</f>
        <v>0</v>
      </c>
      <c r="J9" s="232"/>
      <c r="K9" s="236"/>
      <c r="L9" s="236"/>
      <c r="M9" s="236"/>
    </row>
    <row r="10" spans="1:13" ht="12.75">
      <c r="A10" s="290">
        <f aca="true" t="shared" si="3" ref="A10:A35">A9+1</f>
        <v>1203</v>
      </c>
      <c r="B10" s="234" t="s">
        <v>46</v>
      </c>
      <c r="C10" s="236"/>
      <c r="D10" s="236"/>
      <c r="E10" s="236"/>
      <c r="F10" s="291">
        <v>1.52</v>
      </c>
      <c r="G10" s="292">
        <f t="shared" si="0"/>
        <v>0</v>
      </c>
      <c r="H10" s="292">
        <f t="shared" si="1"/>
        <v>0</v>
      </c>
      <c r="I10" s="292">
        <f t="shared" si="2"/>
        <v>0</v>
      </c>
      <c r="J10" s="232"/>
      <c r="K10" s="236"/>
      <c r="L10" s="236"/>
      <c r="M10" s="236"/>
    </row>
    <row r="11" spans="1:13" ht="12.75">
      <c r="A11" s="290">
        <f t="shared" si="3"/>
        <v>1204</v>
      </c>
      <c r="B11" s="234" t="s">
        <v>47</v>
      </c>
      <c r="C11" s="236"/>
      <c r="D11" s="236"/>
      <c r="E11" s="236"/>
      <c r="F11" s="291">
        <v>1.23</v>
      </c>
      <c r="G11" s="292">
        <f t="shared" si="0"/>
        <v>0</v>
      </c>
      <c r="H11" s="292">
        <f t="shared" si="1"/>
        <v>0</v>
      </c>
      <c r="I11" s="292">
        <f t="shared" si="2"/>
        <v>0</v>
      </c>
      <c r="J11" s="232"/>
      <c r="K11" s="236"/>
      <c r="L11" s="236"/>
      <c r="M11" s="236"/>
    </row>
    <row r="12" spans="1:13" ht="12.75">
      <c r="A12" s="290">
        <f t="shared" si="3"/>
        <v>1205</v>
      </c>
      <c r="B12" s="234" t="s">
        <v>48</v>
      </c>
      <c r="C12" s="236"/>
      <c r="D12" s="236"/>
      <c r="E12" s="236"/>
      <c r="F12" s="291">
        <v>0.88</v>
      </c>
      <c r="G12" s="292">
        <f t="shared" si="0"/>
        <v>0</v>
      </c>
      <c r="H12" s="292">
        <f t="shared" si="1"/>
        <v>0</v>
      </c>
      <c r="I12" s="292">
        <f t="shared" si="2"/>
        <v>0</v>
      </c>
      <c r="J12" s="232"/>
      <c r="K12" s="236"/>
      <c r="L12" s="236"/>
      <c r="M12" s="236"/>
    </row>
    <row r="13" spans="1:13" ht="12.75">
      <c r="A13" s="290">
        <f t="shared" si="3"/>
        <v>1206</v>
      </c>
      <c r="B13" s="234" t="s">
        <v>49</v>
      </c>
      <c r="C13" s="236"/>
      <c r="D13" s="236"/>
      <c r="E13" s="236"/>
      <c r="F13" s="291">
        <v>1.26</v>
      </c>
      <c r="G13" s="292">
        <f t="shared" si="0"/>
        <v>0</v>
      </c>
      <c r="H13" s="292">
        <f t="shared" si="1"/>
        <v>0</v>
      </c>
      <c r="I13" s="292">
        <f t="shared" si="2"/>
        <v>0</v>
      </c>
      <c r="J13" s="232"/>
      <c r="K13" s="236"/>
      <c r="L13" s="236"/>
      <c r="M13" s="236"/>
    </row>
    <row r="14" spans="1:13" ht="12.75">
      <c r="A14" s="290">
        <f t="shared" si="3"/>
        <v>1207</v>
      </c>
      <c r="B14" s="234" t="s">
        <v>50</v>
      </c>
      <c r="C14" s="236"/>
      <c r="D14" s="236"/>
      <c r="E14" s="236"/>
      <c r="F14" s="291">
        <v>0.2</v>
      </c>
      <c r="G14" s="292">
        <f t="shared" si="0"/>
        <v>0</v>
      </c>
      <c r="H14" s="292">
        <f t="shared" si="1"/>
        <v>0</v>
      </c>
      <c r="I14" s="292">
        <f t="shared" si="2"/>
        <v>0</v>
      </c>
      <c r="J14" s="232"/>
      <c r="K14" s="236"/>
      <c r="L14" s="236"/>
      <c r="M14" s="236"/>
    </row>
    <row r="15" spans="1:13" ht="12.75">
      <c r="A15" s="290">
        <f t="shared" si="3"/>
        <v>1208</v>
      </c>
      <c r="B15" s="234" t="s">
        <v>51</v>
      </c>
      <c r="C15" s="236"/>
      <c r="D15" s="236"/>
      <c r="E15" s="236"/>
      <c r="F15" s="291">
        <v>0.73</v>
      </c>
      <c r="G15" s="292">
        <f t="shared" si="0"/>
        <v>0</v>
      </c>
      <c r="H15" s="292">
        <f t="shared" si="1"/>
        <v>0</v>
      </c>
      <c r="I15" s="292">
        <f t="shared" si="2"/>
        <v>0</v>
      </c>
      <c r="J15" s="232"/>
      <c r="K15" s="236"/>
      <c r="L15" s="236"/>
      <c r="M15" s="236"/>
    </row>
    <row r="16" spans="1:13" ht="12.75">
      <c r="A16" s="290">
        <f t="shared" si="3"/>
        <v>1209</v>
      </c>
      <c r="B16" s="234" t="s">
        <v>52</v>
      </c>
      <c r="C16" s="236"/>
      <c r="D16" s="236"/>
      <c r="E16" s="236"/>
      <c r="F16" s="291">
        <v>1.47</v>
      </c>
      <c r="G16" s="292">
        <f t="shared" si="0"/>
        <v>0</v>
      </c>
      <c r="H16" s="292">
        <f t="shared" si="1"/>
        <v>0</v>
      </c>
      <c r="I16" s="292">
        <f t="shared" si="2"/>
        <v>0</v>
      </c>
      <c r="J16" s="232"/>
      <c r="K16" s="236"/>
      <c r="L16" s="236"/>
      <c r="M16" s="236"/>
    </row>
    <row r="17" spans="1:13" ht="12.75">
      <c r="A17" s="290">
        <f t="shared" si="3"/>
        <v>1210</v>
      </c>
      <c r="B17" s="234" t="s">
        <v>53</v>
      </c>
      <c r="C17" s="236"/>
      <c r="D17" s="236"/>
      <c r="E17" s="236"/>
      <c r="F17" s="291">
        <v>1.45</v>
      </c>
      <c r="G17" s="292">
        <f t="shared" si="0"/>
        <v>0</v>
      </c>
      <c r="H17" s="292">
        <f t="shared" si="1"/>
        <v>0</v>
      </c>
      <c r="I17" s="292">
        <f t="shared" si="2"/>
        <v>0</v>
      </c>
      <c r="J17" s="232"/>
      <c r="K17" s="236"/>
      <c r="L17" s="236"/>
      <c r="M17" s="236"/>
    </row>
    <row r="18" spans="1:13" ht="12.75">
      <c r="A18" s="290">
        <f t="shared" si="3"/>
        <v>1211</v>
      </c>
      <c r="B18" s="234" t="s">
        <v>54</v>
      </c>
      <c r="C18" s="236"/>
      <c r="D18" s="236"/>
      <c r="E18" s="236"/>
      <c r="F18" s="291">
        <v>0.93</v>
      </c>
      <c r="G18" s="292">
        <f t="shared" si="0"/>
        <v>0</v>
      </c>
      <c r="H18" s="292">
        <f t="shared" si="1"/>
        <v>0</v>
      </c>
      <c r="I18" s="292">
        <f t="shared" si="2"/>
        <v>0</v>
      </c>
      <c r="J18" s="232"/>
      <c r="K18" s="236"/>
      <c r="L18" s="236"/>
      <c r="M18" s="236"/>
    </row>
    <row r="19" spans="1:13" ht="12.75">
      <c r="A19" s="290">
        <f t="shared" si="3"/>
        <v>1212</v>
      </c>
      <c r="B19" s="234" t="s">
        <v>55</v>
      </c>
      <c r="C19" s="236"/>
      <c r="D19" s="236"/>
      <c r="E19" s="236"/>
      <c r="F19" s="291">
        <v>0.66</v>
      </c>
      <c r="G19" s="292">
        <f t="shared" si="0"/>
        <v>0</v>
      </c>
      <c r="H19" s="292">
        <f t="shared" si="1"/>
        <v>0</v>
      </c>
      <c r="I19" s="292">
        <f t="shared" si="2"/>
        <v>0</v>
      </c>
      <c r="J19" s="232"/>
      <c r="K19" s="236"/>
      <c r="L19" s="236"/>
      <c r="M19" s="236"/>
    </row>
    <row r="20" spans="1:13" ht="12.75">
      <c r="A20" s="290">
        <f t="shared" si="3"/>
        <v>1213</v>
      </c>
      <c r="B20" s="234" t="s">
        <v>56</v>
      </c>
      <c r="C20" s="236"/>
      <c r="D20" s="236"/>
      <c r="E20" s="236"/>
      <c r="F20" s="291">
        <v>1.09</v>
      </c>
      <c r="G20" s="292">
        <f t="shared" si="0"/>
        <v>0</v>
      </c>
      <c r="H20" s="292">
        <f t="shared" si="1"/>
        <v>0</v>
      </c>
      <c r="I20" s="292">
        <f t="shared" si="2"/>
        <v>0</v>
      </c>
      <c r="J20" s="232"/>
      <c r="K20" s="236"/>
      <c r="L20" s="236"/>
      <c r="M20" s="236"/>
    </row>
    <row r="21" spans="1:13" ht="12.75">
      <c r="A21" s="290">
        <f t="shared" si="3"/>
        <v>1214</v>
      </c>
      <c r="B21" s="234" t="s">
        <v>57</v>
      </c>
      <c r="C21" s="236"/>
      <c r="D21" s="236"/>
      <c r="E21" s="236"/>
      <c r="F21" s="291">
        <v>2.14</v>
      </c>
      <c r="G21" s="292">
        <f t="shared" si="0"/>
        <v>0</v>
      </c>
      <c r="H21" s="292">
        <f t="shared" si="1"/>
        <v>0</v>
      </c>
      <c r="I21" s="292">
        <f t="shared" si="2"/>
        <v>0</v>
      </c>
      <c r="J21" s="232"/>
      <c r="K21" s="236"/>
      <c r="L21" s="236"/>
      <c r="M21" s="236"/>
    </row>
    <row r="22" spans="1:13" ht="12.75">
      <c r="A22" s="290">
        <f t="shared" si="3"/>
        <v>1215</v>
      </c>
      <c r="B22" s="234" t="s">
        <v>58</v>
      </c>
      <c r="C22" s="236"/>
      <c r="D22" s="236"/>
      <c r="E22" s="236"/>
      <c r="F22" s="291">
        <v>0.73</v>
      </c>
      <c r="G22" s="292">
        <f t="shared" si="0"/>
        <v>0</v>
      </c>
      <c r="H22" s="292">
        <f t="shared" si="1"/>
        <v>0</v>
      </c>
      <c r="I22" s="292">
        <f t="shared" si="2"/>
        <v>0</v>
      </c>
      <c r="J22" s="232"/>
      <c r="K22" s="236"/>
      <c r="L22" s="236"/>
      <c r="M22" s="236"/>
    </row>
    <row r="23" spans="1:13" ht="12.75">
      <c r="A23" s="290">
        <f t="shared" si="3"/>
        <v>1216</v>
      </c>
      <c r="B23" s="234" t="s">
        <v>59</v>
      </c>
      <c r="C23" s="236"/>
      <c r="D23" s="236"/>
      <c r="E23" s="236"/>
      <c r="F23" s="291">
        <v>0.18</v>
      </c>
      <c r="G23" s="292">
        <f t="shared" si="0"/>
        <v>0</v>
      </c>
      <c r="H23" s="292">
        <f t="shared" si="1"/>
        <v>0</v>
      </c>
      <c r="I23" s="292">
        <f t="shared" si="2"/>
        <v>0</v>
      </c>
      <c r="J23" s="232"/>
      <c r="K23" s="236"/>
      <c r="L23" s="236"/>
      <c r="M23" s="236"/>
    </row>
    <row r="24" spans="1:13" ht="12.75">
      <c r="A24" s="290">
        <f t="shared" si="3"/>
        <v>1217</v>
      </c>
      <c r="B24" s="234" t="s">
        <v>60</v>
      </c>
      <c r="C24" s="236"/>
      <c r="D24" s="236"/>
      <c r="E24" s="236"/>
      <c r="F24" s="291">
        <v>0.25</v>
      </c>
      <c r="G24" s="292">
        <f t="shared" si="0"/>
        <v>0</v>
      </c>
      <c r="H24" s="292">
        <f t="shared" si="1"/>
        <v>0</v>
      </c>
      <c r="I24" s="292">
        <f t="shared" si="2"/>
        <v>0</v>
      </c>
      <c r="J24" s="232"/>
      <c r="K24" s="236"/>
      <c r="L24" s="236"/>
      <c r="M24" s="236"/>
    </row>
    <row r="25" spans="1:13" ht="12.75">
      <c r="A25" s="290">
        <f t="shared" si="3"/>
        <v>1218</v>
      </c>
      <c r="B25" s="234" t="s">
        <v>61</v>
      </c>
      <c r="C25" s="236"/>
      <c r="D25" s="236"/>
      <c r="E25" s="236"/>
      <c r="F25" s="291">
        <v>0.37</v>
      </c>
      <c r="G25" s="292">
        <f t="shared" si="0"/>
        <v>0</v>
      </c>
      <c r="H25" s="292">
        <f t="shared" si="1"/>
        <v>0</v>
      </c>
      <c r="I25" s="292">
        <f t="shared" si="2"/>
        <v>0</v>
      </c>
      <c r="J25" s="241"/>
      <c r="K25" s="236"/>
      <c r="L25" s="236"/>
      <c r="M25" s="236"/>
    </row>
    <row r="26" spans="1:13" ht="12.75">
      <c r="A26" s="290">
        <f t="shared" si="3"/>
        <v>1219</v>
      </c>
      <c r="B26" s="234" t="s">
        <v>62</v>
      </c>
      <c r="C26" s="236"/>
      <c r="D26" s="236"/>
      <c r="E26" s="236"/>
      <c r="F26" s="291">
        <v>1.24</v>
      </c>
      <c r="G26" s="292">
        <f t="shared" si="0"/>
        <v>0</v>
      </c>
      <c r="H26" s="292">
        <f t="shared" si="1"/>
        <v>0</v>
      </c>
      <c r="I26" s="292">
        <f t="shared" si="2"/>
        <v>0</v>
      </c>
      <c r="J26" s="241"/>
      <c r="K26" s="236"/>
      <c r="L26" s="236"/>
      <c r="M26" s="236"/>
    </row>
    <row r="27" spans="1:13" ht="12.75">
      <c r="A27" s="290">
        <f t="shared" si="3"/>
        <v>1220</v>
      </c>
      <c r="B27" s="234" t="s">
        <v>63</v>
      </c>
      <c r="C27" s="236"/>
      <c r="D27" s="236"/>
      <c r="E27" s="236"/>
      <c r="F27" s="291">
        <v>0.9</v>
      </c>
      <c r="G27" s="292">
        <f t="shared" si="0"/>
        <v>0</v>
      </c>
      <c r="H27" s="292">
        <f t="shared" si="1"/>
        <v>0</v>
      </c>
      <c r="I27" s="292">
        <f t="shared" si="2"/>
        <v>0</v>
      </c>
      <c r="J27" s="241"/>
      <c r="K27" s="236"/>
      <c r="L27" s="236"/>
      <c r="M27" s="236"/>
    </row>
    <row r="28" spans="1:13" ht="12.75">
      <c r="A28" s="290">
        <f t="shared" si="3"/>
        <v>1221</v>
      </c>
      <c r="B28" s="234" t="s">
        <v>414</v>
      </c>
      <c r="C28" s="236"/>
      <c r="D28" s="236"/>
      <c r="E28" s="236"/>
      <c r="F28" s="291">
        <v>1.07</v>
      </c>
      <c r="G28" s="292">
        <f t="shared" si="0"/>
        <v>0</v>
      </c>
      <c r="H28" s="292">
        <f t="shared" si="1"/>
        <v>0</v>
      </c>
      <c r="I28" s="292">
        <f t="shared" si="2"/>
        <v>0</v>
      </c>
      <c r="J28" s="241"/>
      <c r="K28" s="236"/>
      <c r="L28" s="236"/>
      <c r="M28" s="236"/>
    </row>
    <row r="29" spans="1:13" ht="12.75">
      <c r="A29" s="290">
        <f>A28+1</f>
        <v>1222</v>
      </c>
      <c r="B29" s="234" t="s">
        <v>545</v>
      </c>
      <c r="C29" s="236"/>
      <c r="D29" s="236"/>
      <c r="E29" s="236"/>
      <c r="F29" s="291">
        <v>1.07</v>
      </c>
      <c r="G29" s="292">
        <f t="shared" si="0"/>
        <v>0</v>
      </c>
      <c r="H29" s="292">
        <f t="shared" si="1"/>
        <v>0</v>
      </c>
      <c r="I29" s="292">
        <f t="shared" si="2"/>
        <v>0</v>
      </c>
      <c r="J29" s="241"/>
      <c r="K29" s="236"/>
      <c r="L29" s="236"/>
      <c r="M29" s="236"/>
    </row>
    <row r="30" spans="1:13" ht="12.75">
      <c r="A30" s="290">
        <f>A28+1</f>
        <v>1222</v>
      </c>
      <c r="B30" s="234" t="s">
        <v>64</v>
      </c>
      <c r="C30" s="236"/>
      <c r="D30" s="236"/>
      <c r="E30" s="236"/>
      <c r="F30" s="291">
        <v>0.66</v>
      </c>
      <c r="G30" s="292">
        <f>ROUND(C30*F30,0)</f>
        <v>0</v>
      </c>
      <c r="H30" s="292">
        <f>ROUND(D30*F30,0)</f>
        <v>0</v>
      </c>
      <c r="I30" s="292">
        <f aca="true" t="shared" si="4" ref="I30:I35">E30*F30</f>
        <v>0</v>
      </c>
      <c r="J30" s="241"/>
      <c r="K30" s="236"/>
      <c r="L30" s="236"/>
      <c r="M30" s="236"/>
    </row>
    <row r="31" spans="1:13" ht="12.75">
      <c r="A31" s="290">
        <f t="shared" si="3"/>
        <v>1223</v>
      </c>
      <c r="B31" s="234" t="s">
        <v>65</v>
      </c>
      <c r="C31" s="236"/>
      <c r="D31" s="236"/>
      <c r="E31" s="236"/>
      <c r="F31" s="291">
        <v>0.93</v>
      </c>
      <c r="G31" s="292">
        <f>ROUND(C31*F31,0)</f>
        <v>0</v>
      </c>
      <c r="H31" s="292">
        <f>ROUND(D31*F31,0)</f>
        <v>0</v>
      </c>
      <c r="I31" s="292">
        <f t="shared" si="4"/>
        <v>0</v>
      </c>
      <c r="J31" s="241"/>
      <c r="K31" s="236"/>
      <c r="L31" s="236"/>
      <c r="M31" s="236"/>
    </row>
    <row r="32" spans="1:13" ht="12.75">
      <c r="A32" s="293"/>
      <c r="B32" s="234" t="s">
        <v>66</v>
      </c>
      <c r="C32" s="294"/>
      <c r="D32" s="295"/>
      <c r="E32" s="295"/>
      <c r="F32" s="296"/>
      <c r="G32" s="297"/>
      <c r="H32" s="297"/>
      <c r="I32" s="297"/>
      <c r="J32" s="241"/>
      <c r="K32" s="287"/>
      <c r="L32" s="287"/>
      <c r="M32" s="393"/>
    </row>
    <row r="33" spans="1:13" ht="12.75">
      <c r="A33" s="290">
        <f>A31+1</f>
        <v>1224</v>
      </c>
      <c r="B33" s="299" t="s">
        <v>67</v>
      </c>
      <c r="C33" s="236"/>
      <c r="D33" s="236"/>
      <c r="E33" s="236"/>
      <c r="F33" s="291">
        <v>0.53</v>
      </c>
      <c r="G33" s="292">
        <f>ROUND(C33*F33,0)</f>
        <v>0</v>
      </c>
      <c r="H33" s="292">
        <f>ROUND(D33*F33,0)</f>
        <v>0</v>
      </c>
      <c r="I33" s="292">
        <f t="shared" si="4"/>
        <v>0</v>
      </c>
      <c r="J33" s="241"/>
      <c r="K33" s="236"/>
      <c r="L33" s="236"/>
      <c r="M33" s="236"/>
    </row>
    <row r="34" spans="1:13" ht="12.75">
      <c r="A34" s="290">
        <f t="shared" si="3"/>
        <v>1225</v>
      </c>
      <c r="B34" s="299" t="s">
        <v>68</v>
      </c>
      <c r="C34" s="236"/>
      <c r="D34" s="236"/>
      <c r="E34" s="236"/>
      <c r="F34" s="291">
        <v>0.37</v>
      </c>
      <c r="G34" s="292">
        <f>ROUND(C34*F34,0)</f>
        <v>0</v>
      </c>
      <c r="H34" s="292">
        <f>ROUND(D34*F34,0)</f>
        <v>0</v>
      </c>
      <c r="I34" s="292">
        <f t="shared" si="4"/>
        <v>0</v>
      </c>
      <c r="J34" s="241"/>
      <c r="K34" s="236"/>
      <c r="L34" s="236"/>
      <c r="M34" s="236"/>
    </row>
    <row r="35" spans="1:13" ht="12.75">
      <c r="A35" s="290">
        <f t="shared" si="3"/>
        <v>1226</v>
      </c>
      <c r="B35" s="234" t="s">
        <v>69</v>
      </c>
      <c r="C35" s="236"/>
      <c r="D35" s="236"/>
      <c r="E35" s="236"/>
      <c r="F35" s="291">
        <v>1.64</v>
      </c>
      <c r="G35" s="292">
        <f>ROUND(C35*F35,0)</f>
        <v>0</v>
      </c>
      <c r="H35" s="292">
        <f>ROUND(D35*F35,0)</f>
        <v>0</v>
      </c>
      <c r="I35" s="292">
        <f t="shared" si="4"/>
        <v>0</v>
      </c>
      <c r="J35" s="232"/>
      <c r="K35" s="236"/>
      <c r="L35" s="236"/>
      <c r="M35" s="236"/>
    </row>
    <row r="36" spans="1:13" s="1" customFormat="1" ht="12.75">
      <c r="A36" s="300"/>
      <c r="B36" s="241"/>
      <c r="C36" s="301"/>
      <c r="D36" s="301"/>
      <c r="E36" s="301"/>
      <c r="F36" s="241"/>
      <c r="G36" s="301"/>
      <c r="H36" s="301"/>
      <c r="I36" s="301"/>
      <c r="J36" s="241"/>
      <c r="K36" s="301"/>
      <c r="L36" s="301"/>
      <c r="M36" s="301"/>
    </row>
    <row r="37" spans="1:13" ht="12.75">
      <c r="A37" s="290">
        <f>A35+1</f>
        <v>1227</v>
      </c>
      <c r="B37" s="234" t="s">
        <v>75</v>
      </c>
      <c r="C37" s="292">
        <f>SUM(C8:C35)</f>
        <v>0</v>
      </c>
      <c r="D37" s="292">
        <f aca="true" t="shared" si="5" ref="D37:M37">SUM(D8:D35)</f>
        <v>0</v>
      </c>
      <c r="E37" s="292">
        <f t="shared" si="5"/>
        <v>0</v>
      </c>
      <c r="F37" s="234"/>
      <c r="G37" s="292">
        <f t="shared" si="5"/>
        <v>0</v>
      </c>
      <c r="H37" s="292">
        <f t="shared" si="5"/>
        <v>0</v>
      </c>
      <c r="I37" s="292">
        <f t="shared" si="5"/>
        <v>0</v>
      </c>
      <c r="J37" s="302"/>
      <c r="K37" s="292">
        <f t="shared" si="5"/>
        <v>0</v>
      </c>
      <c r="L37" s="292">
        <f t="shared" si="5"/>
        <v>0</v>
      </c>
      <c r="M37" s="292">
        <f t="shared" si="5"/>
        <v>0</v>
      </c>
    </row>
    <row r="38" spans="1:13" ht="12.75">
      <c r="A38" s="232"/>
      <c r="B38" s="241"/>
      <c r="C38" s="301"/>
      <c r="D38" s="303" t="s">
        <v>76</v>
      </c>
      <c r="E38" s="301"/>
      <c r="F38" s="241"/>
      <c r="G38" s="267"/>
      <c r="H38" s="304" t="s">
        <v>76</v>
      </c>
      <c r="I38" s="304"/>
      <c r="J38" s="241"/>
      <c r="K38" s="267"/>
      <c r="L38" s="304" t="s">
        <v>76</v>
      </c>
      <c r="M38" s="304" t="s">
        <v>76</v>
      </c>
    </row>
    <row r="39" spans="1:13" ht="12.75">
      <c r="A39" s="232"/>
      <c r="B39" s="241"/>
      <c r="C39" s="301"/>
      <c r="D39" s="303" t="s">
        <v>80</v>
      </c>
      <c r="E39" s="301"/>
      <c r="F39" s="241"/>
      <c r="G39" s="267"/>
      <c r="H39" s="304" t="s">
        <v>80</v>
      </c>
      <c r="I39" s="304"/>
      <c r="J39" s="232"/>
      <c r="K39" s="267"/>
      <c r="L39" s="304" t="s">
        <v>80</v>
      </c>
      <c r="M39" s="304" t="s">
        <v>80</v>
      </c>
    </row>
    <row r="40" spans="1:13" ht="12.75">
      <c r="A40" s="232"/>
      <c r="C40" s="305"/>
      <c r="D40" s="305"/>
      <c r="E40" s="305"/>
      <c r="F40" s="306"/>
      <c r="G40" s="305"/>
      <c r="H40" s="303"/>
      <c r="I40" s="303"/>
      <c r="J40" s="241"/>
      <c r="K40" s="301"/>
      <c r="L40" s="303"/>
      <c r="M40" s="241"/>
    </row>
    <row r="41" spans="1:13" ht="12.75">
      <c r="A41" s="232"/>
      <c r="C41" s="301"/>
      <c r="D41" s="301"/>
      <c r="E41" s="301"/>
      <c r="F41" s="241"/>
      <c r="G41" s="301"/>
      <c r="H41" s="303"/>
      <c r="I41" s="303"/>
      <c r="J41" s="241"/>
      <c r="K41" s="301"/>
      <c r="L41" s="303"/>
      <c r="M41" s="241"/>
    </row>
    <row r="42" spans="1:13" ht="12.75">
      <c r="A42" s="232"/>
      <c r="B42" s="89" t="s">
        <v>538</v>
      </c>
      <c r="C42" s="301"/>
      <c r="D42" s="301"/>
      <c r="E42" s="301"/>
      <c r="F42" s="241"/>
      <c r="G42" s="301"/>
      <c r="H42" s="303"/>
      <c r="I42" s="303"/>
      <c r="J42" s="241"/>
      <c r="K42" s="301"/>
      <c r="L42" s="303"/>
      <c r="M42" s="241"/>
    </row>
    <row r="43" spans="1:13" ht="12.75">
      <c r="A43" s="232"/>
      <c r="B43" s="89" t="s">
        <v>351</v>
      </c>
      <c r="C43" s="301"/>
      <c r="D43" s="301"/>
      <c r="E43" s="301"/>
      <c r="F43" s="241"/>
      <c r="G43" s="301"/>
      <c r="H43" s="303"/>
      <c r="I43" s="303"/>
      <c r="J43" s="241"/>
      <c r="K43" s="301"/>
      <c r="L43" s="303"/>
      <c r="M43" s="241"/>
    </row>
    <row r="44" spans="1:12" ht="12.75">
      <c r="A44" s="232"/>
      <c r="C44" s="301"/>
      <c r="D44" s="301"/>
      <c r="E44" s="301"/>
      <c r="F44" s="241"/>
      <c r="G44" s="301"/>
      <c r="H44" s="301"/>
      <c r="I44" s="301"/>
      <c r="J44" s="241"/>
      <c r="K44" s="301"/>
      <c r="L44" s="301"/>
    </row>
    <row r="45" spans="2:6" ht="12.75">
      <c r="B45" s="89" t="s">
        <v>570</v>
      </c>
      <c r="C45" s="6"/>
      <c r="D45" s="6"/>
      <c r="E45" s="6"/>
      <c r="F45" s="1"/>
    </row>
    <row r="46" spans="2:6" ht="12.75">
      <c r="B46" s="89" t="s">
        <v>571</v>
      </c>
      <c r="C46" s="6"/>
      <c r="D46" s="6"/>
      <c r="E46" s="6"/>
      <c r="F46" s="1"/>
    </row>
    <row r="47" spans="3:6" ht="12.75">
      <c r="C47" s="6"/>
      <c r="D47" s="6"/>
      <c r="E47" s="6"/>
      <c r="F47" s="1"/>
    </row>
    <row r="48" spans="2:6" ht="12.75">
      <c r="B48" s="89" t="s">
        <v>554</v>
      </c>
      <c r="C48" s="6"/>
      <c r="D48" s="6"/>
      <c r="E48" s="6"/>
      <c r="F48" s="1"/>
    </row>
    <row r="49" spans="2:6" ht="12.75">
      <c r="B49" s="241" t="str">
        <f>CONCATENATE("N.b. Voor de kolom rekenstaat ",Blad1!B3-1," zie het productieafsprakenformulier ",Blad1!B3-1," aangevuld met eventuele latere aanvragen.")</f>
        <v>N.b. Voor de kolom rekenstaat 2005 zie het productieafsprakenformulier 2005 aangevuld met eventuele latere aanvragen.</v>
      </c>
      <c r="C49" s="6"/>
      <c r="D49" s="6"/>
      <c r="E49" s="6"/>
      <c r="F49" s="1"/>
    </row>
    <row r="50" spans="2:6" ht="12.75">
      <c r="B50" s="1"/>
      <c r="C50" s="6"/>
      <c r="D50" s="6"/>
      <c r="E50" s="6"/>
      <c r="F50" s="1"/>
    </row>
    <row r="51" spans="2:6" ht="12.75">
      <c r="B51" s="1"/>
      <c r="C51" s="6"/>
      <c r="D51" s="6"/>
      <c r="E51" s="6"/>
      <c r="F51" s="1"/>
    </row>
    <row r="52" spans="2:6" ht="12.75">
      <c r="B52" s="1"/>
      <c r="C52" s="6"/>
      <c r="D52" s="6"/>
      <c r="E52" s="6"/>
      <c r="F52" s="1"/>
    </row>
    <row r="53" spans="2:6" ht="12.75">
      <c r="B53" s="1"/>
      <c r="C53" s="6"/>
      <c r="D53" s="6"/>
      <c r="E53" s="6"/>
      <c r="F53" s="1"/>
    </row>
    <row r="54" spans="2:6" ht="12.75">
      <c r="B54" s="1"/>
      <c r="C54" s="6"/>
      <c r="D54" s="6"/>
      <c r="E54" s="6"/>
      <c r="F54" s="1"/>
    </row>
    <row r="55" spans="2:14" ht="12.75">
      <c r="B55" s="1"/>
      <c r="C55" s="6"/>
      <c r="D55" s="6"/>
      <c r="E55" s="6"/>
      <c r="F55" s="1"/>
      <c r="N55" s="241">
        <f>Blad11!E60+1</f>
        <v>12</v>
      </c>
    </row>
    <row r="56" spans="2:6" ht="12.75">
      <c r="B56" s="1"/>
      <c r="C56" s="6"/>
      <c r="D56" s="6"/>
      <c r="E56" s="6"/>
      <c r="F56" s="1"/>
    </row>
    <row r="57" spans="2:6" ht="12.75">
      <c r="B57" s="1"/>
      <c r="C57" s="6"/>
      <c r="D57" s="6"/>
      <c r="E57" s="6"/>
      <c r="F57" s="1"/>
    </row>
    <row r="58" spans="2:6" ht="12.75">
      <c r="B58" s="1"/>
      <c r="C58" s="6"/>
      <c r="D58" s="6"/>
      <c r="E58" s="6"/>
      <c r="F58" s="1"/>
    </row>
    <row r="59" spans="2:6" ht="12.75">
      <c r="B59" s="1"/>
      <c r="C59" s="6"/>
      <c r="D59" s="6"/>
      <c r="E59" s="6"/>
      <c r="F59" s="1"/>
    </row>
    <row r="60" spans="2:6" ht="12.75">
      <c r="B60" s="1"/>
      <c r="C60" s="6"/>
      <c r="D60" s="6"/>
      <c r="E60" s="6"/>
      <c r="F60" s="1"/>
    </row>
    <row r="61" spans="2:6" ht="12.75">
      <c r="B61" s="1"/>
      <c r="C61" s="6"/>
      <c r="D61" s="6"/>
      <c r="E61" s="6"/>
      <c r="F61" s="1"/>
    </row>
    <row r="62" spans="2:6" ht="12.75">
      <c r="B62" s="1"/>
      <c r="C62" s="6"/>
      <c r="D62" s="6"/>
      <c r="E62" s="6"/>
      <c r="F62" s="1"/>
    </row>
    <row r="63" spans="2:6" ht="12.75">
      <c r="B63" s="1"/>
      <c r="C63" s="6"/>
      <c r="D63" s="6"/>
      <c r="E63" s="6"/>
      <c r="F63" s="1"/>
    </row>
    <row r="64" spans="2:6" ht="12.75">
      <c r="B64" s="1"/>
      <c r="C64" s="6"/>
      <c r="D64" s="6"/>
      <c r="E64" s="6"/>
      <c r="F64" s="1"/>
    </row>
    <row r="65" spans="2:6" ht="12.75">
      <c r="B65" s="1"/>
      <c r="C65" s="6"/>
      <c r="D65" s="6"/>
      <c r="E65" s="6"/>
      <c r="F65" s="1"/>
    </row>
    <row r="66" spans="2:6" ht="12.75">
      <c r="B66" s="1"/>
      <c r="C66" s="6"/>
      <c r="D66" s="6"/>
      <c r="E66" s="6"/>
      <c r="F66" s="1"/>
    </row>
    <row r="67" spans="2:6" ht="12.75">
      <c r="B67" s="1"/>
      <c r="C67" s="6"/>
      <c r="D67" s="6"/>
      <c r="E67" s="6"/>
      <c r="F67" s="1"/>
    </row>
    <row r="68" spans="2:6" ht="12.75">
      <c r="B68" s="1"/>
      <c r="C68" s="6"/>
      <c r="D68" s="6"/>
      <c r="E68" s="6"/>
      <c r="F68" s="1"/>
    </row>
    <row r="69" spans="2:6" ht="12.75">
      <c r="B69" s="1"/>
      <c r="C69" s="6"/>
      <c r="D69" s="6"/>
      <c r="E69" s="6"/>
      <c r="F69" s="1"/>
    </row>
    <row r="70" spans="2:6" ht="12.75">
      <c r="B70" s="1"/>
      <c r="C70" s="6"/>
      <c r="D70" s="6"/>
      <c r="E70" s="6"/>
      <c r="F70" s="1"/>
    </row>
    <row r="71" spans="2:6" ht="12.75">
      <c r="B71" s="1"/>
      <c r="C71" s="6"/>
      <c r="D71" s="6"/>
      <c r="E71" s="6"/>
      <c r="F71" s="1"/>
    </row>
    <row r="72" spans="2:6" ht="12.75">
      <c r="B72" s="1"/>
      <c r="C72" s="6"/>
      <c r="D72" s="6"/>
      <c r="E72" s="6"/>
      <c r="F72" s="1"/>
    </row>
    <row r="73" spans="2:6" ht="12.75">
      <c r="B73" s="1"/>
      <c r="C73" s="6"/>
      <c r="D73" s="6"/>
      <c r="E73" s="6"/>
      <c r="F73" s="1"/>
    </row>
    <row r="74" spans="2:6" ht="12.75">
      <c r="B74" s="1"/>
      <c r="C74" s="6"/>
      <c r="D74" s="6"/>
      <c r="E74" s="6"/>
      <c r="F74" s="1"/>
    </row>
    <row r="75" spans="2:6" ht="12.75">
      <c r="B75" s="1"/>
      <c r="C75" s="6"/>
      <c r="D75" s="6"/>
      <c r="E75" s="6"/>
      <c r="F75" s="1"/>
    </row>
    <row r="76" spans="2:6" ht="12.75">
      <c r="B76" s="1"/>
      <c r="C76" s="6"/>
      <c r="D76" s="6"/>
      <c r="E76" s="6"/>
      <c r="F76" s="1"/>
    </row>
    <row r="77" spans="2:6" ht="12.75">
      <c r="B77" s="1"/>
      <c r="C77" s="6"/>
      <c r="D77" s="6"/>
      <c r="E77" s="6"/>
      <c r="F77" s="1"/>
    </row>
    <row r="78" spans="2:6" ht="12.75">
      <c r="B78" s="1"/>
      <c r="C78" s="6"/>
      <c r="D78" s="6"/>
      <c r="E78" s="6"/>
      <c r="F78" s="1"/>
    </row>
    <row r="79" spans="2:6" ht="12.75">
      <c r="B79" s="1"/>
      <c r="C79" s="6"/>
      <c r="D79" s="6"/>
      <c r="E79" s="6"/>
      <c r="F79" s="1"/>
    </row>
    <row r="80" spans="2:6" ht="12.75">
      <c r="B80" s="1"/>
      <c r="C80" s="6"/>
      <c r="D80" s="6"/>
      <c r="E80" s="6"/>
      <c r="F80" s="1"/>
    </row>
    <row r="81" spans="2:6" ht="12.75">
      <c r="B81" s="1"/>
      <c r="C81" s="6"/>
      <c r="D81" s="6"/>
      <c r="E81" s="6"/>
      <c r="F81" s="1"/>
    </row>
    <row r="82" spans="2:6" ht="12.75">
      <c r="B82" s="1"/>
      <c r="C82" s="6"/>
      <c r="D82" s="6"/>
      <c r="E82" s="6"/>
      <c r="F82" s="1"/>
    </row>
    <row r="83" spans="2:6" ht="12.75">
      <c r="B83" s="1"/>
      <c r="C83" s="6"/>
      <c r="D83" s="6"/>
      <c r="E83" s="6"/>
      <c r="F83" s="1"/>
    </row>
    <row r="84" spans="2:6" ht="12.75">
      <c r="B84" s="1"/>
      <c r="C84" s="6"/>
      <c r="D84" s="6"/>
      <c r="E84" s="6"/>
      <c r="F84" s="1"/>
    </row>
    <row r="85" spans="2:6" ht="12.75">
      <c r="B85" s="1"/>
      <c r="C85" s="6"/>
      <c r="D85" s="6"/>
      <c r="E85" s="6"/>
      <c r="F85" s="1"/>
    </row>
    <row r="86" spans="2:6" ht="12.75">
      <c r="B86" s="1"/>
      <c r="C86" s="6"/>
      <c r="D86" s="6"/>
      <c r="E86" s="6"/>
      <c r="F86" s="1"/>
    </row>
    <row r="87" spans="2:6" ht="12.75">
      <c r="B87" s="1"/>
      <c r="C87" s="6"/>
      <c r="D87" s="6"/>
      <c r="E87" s="6"/>
      <c r="F87" s="1"/>
    </row>
    <row r="88" spans="2:6" ht="12.75">
      <c r="B88" s="1"/>
      <c r="C88" s="6"/>
      <c r="D88" s="6"/>
      <c r="E88" s="6"/>
      <c r="F88" s="1"/>
    </row>
    <row r="89" spans="2:6" ht="12.75">
      <c r="B89" s="1"/>
      <c r="C89" s="6"/>
      <c r="D89" s="6"/>
      <c r="E89" s="6"/>
      <c r="F89" s="1"/>
    </row>
    <row r="90" spans="2:6" ht="12.75">
      <c r="B90" s="1"/>
      <c r="C90" s="6"/>
      <c r="D90" s="6"/>
      <c r="E90" s="6"/>
      <c r="F90" s="1"/>
    </row>
    <row r="91" spans="2:6" ht="12.75">
      <c r="B91" s="1"/>
      <c r="C91" s="6"/>
      <c r="D91" s="6"/>
      <c r="E91" s="6"/>
      <c r="F91" s="1"/>
    </row>
  </sheetData>
  <sheetProtection password="CCBC" sheet="1" objects="1" scenarios="1"/>
  <mergeCells count="3">
    <mergeCell ref="G4:I4"/>
    <mergeCell ref="C4:E4"/>
    <mergeCell ref="K3:M4"/>
  </mergeCells>
  <conditionalFormatting sqref="C33:E35 C8:E31 K8:M31 K33:M35">
    <cfRule type="expression" priority="1" dxfId="0" stopIfTrue="1">
      <formula>$B$2=TRUE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4" r:id="rId1"/>
  <headerFooter alignWithMargins="0">
    <oddHeader>&amp;L&amp;"Arial,Vet"Bijlage 1 bij circulaire JHYM/xxxx/CI/06/xxc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3">
    <tabColor indexed="50"/>
    <pageSetUpPr fitToPage="1"/>
  </sheetPr>
  <dimension ref="A1:Q88"/>
  <sheetViews>
    <sheetView showGridLines="0" showRowColHeaders="0" showZeros="0" showOutlineSymbols="0" view="pageBreakPreview" zoomScale="75" zoomScaleSheetLayoutView="75" workbookViewId="0" topLeftCell="A1">
      <selection activeCell="C8" sqref="C8"/>
    </sheetView>
  </sheetViews>
  <sheetFormatPr defaultColWidth="9.140625" defaultRowHeight="12.75"/>
  <cols>
    <col min="1" max="1" width="9.421875" style="129" customWidth="1"/>
    <col min="2" max="2" width="29.7109375" style="0" customWidth="1"/>
    <col min="3" max="3" width="9.7109375" style="5" bestFit="1" customWidth="1"/>
    <col min="4" max="4" width="11.28125" style="5" bestFit="1" customWidth="1"/>
    <col min="5" max="5" width="9.7109375" style="5" customWidth="1"/>
    <col min="6" max="6" width="8.28125" style="0" customWidth="1"/>
    <col min="7" max="7" width="9.7109375" style="5" customWidth="1"/>
    <col min="8" max="8" width="11.28125" style="5" customWidth="1"/>
    <col min="9" max="9" width="9.7109375" style="5" customWidth="1"/>
    <col min="10" max="10" width="1.7109375" style="0" customWidth="1"/>
    <col min="11" max="11" width="9.7109375" style="5" customWidth="1"/>
    <col min="12" max="12" width="11.28125" style="5" customWidth="1"/>
    <col min="14" max="14" width="10.28125" style="0" customWidth="1"/>
    <col min="15" max="15" width="11.7109375" style="0" customWidth="1"/>
  </cols>
  <sheetData>
    <row r="1" spans="2:16" ht="12.75">
      <c r="B1" s="2" t="s">
        <v>547</v>
      </c>
      <c r="C1" s="267"/>
      <c r="D1" s="267"/>
      <c r="E1" s="267"/>
      <c r="F1" s="232"/>
      <c r="G1" s="267"/>
      <c r="H1" s="267"/>
      <c r="I1" s="267"/>
      <c r="J1" s="232"/>
      <c r="K1" s="267"/>
      <c r="L1" s="267"/>
      <c r="M1" s="232"/>
      <c r="N1" s="232"/>
      <c r="O1" s="232"/>
      <c r="P1" s="232"/>
    </row>
    <row r="2" spans="2:16" ht="12.75">
      <c r="B2" s="232"/>
      <c r="C2" s="267"/>
      <c r="D2" s="267"/>
      <c r="E2" s="267"/>
      <c r="F2" s="232"/>
      <c r="G2" s="267"/>
      <c r="H2" s="267"/>
      <c r="I2" s="267"/>
      <c r="J2" s="232"/>
      <c r="K2" s="267"/>
      <c r="L2" s="267"/>
      <c r="M2" s="232"/>
      <c r="N2" s="232"/>
      <c r="O2" s="232"/>
      <c r="P2" s="232"/>
    </row>
    <row r="3" spans="2:16" ht="12.75">
      <c r="B3" s="232"/>
      <c r="C3" s="307" t="s">
        <v>318</v>
      </c>
      <c r="D3" s="308"/>
      <c r="E3" s="308"/>
      <c r="F3" s="309"/>
      <c r="G3" s="308"/>
      <c r="H3" s="308"/>
      <c r="I3" s="310"/>
      <c r="J3" s="241"/>
      <c r="K3" s="472" t="s">
        <v>264</v>
      </c>
      <c r="L3" s="473"/>
      <c r="M3" s="474"/>
      <c r="N3" s="478" t="s">
        <v>265</v>
      </c>
      <c r="O3" s="473"/>
      <c r="P3" s="474"/>
    </row>
    <row r="4" spans="2:16" ht="12.75">
      <c r="B4" s="7"/>
      <c r="C4" s="307" t="s">
        <v>155</v>
      </c>
      <c r="D4" s="308"/>
      <c r="E4" s="310"/>
      <c r="F4" s="311"/>
      <c r="G4" s="307" t="s">
        <v>154</v>
      </c>
      <c r="H4" s="308"/>
      <c r="I4" s="310"/>
      <c r="J4" s="241"/>
      <c r="K4" s="475" t="s">
        <v>263</v>
      </c>
      <c r="L4" s="476"/>
      <c r="M4" s="477"/>
      <c r="N4" s="479" t="s">
        <v>266</v>
      </c>
      <c r="O4" s="476"/>
      <c r="P4" s="477"/>
    </row>
    <row r="5" spans="2:16" ht="12.75">
      <c r="B5" s="232"/>
      <c r="C5" s="312" t="s">
        <v>537</v>
      </c>
      <c r="D5" s="312" t="s">
        <v>136</v>
      </c>
      <c r="E5" s="312" t="s">
        <v>71</v>
      </c>
      <c r="F5" s="313" t="s">
        <v>72</v>
      </c>
      <c r="G5" s="312" t="s">
        <v>70</v>
      </c>
      <c r="H5" s="314" t="s">
        <v>136</v>
      </c>
      <c r="I5" s="312" t="s">
        <v>71</v>
      </c>
      <c r="J5" s="232"/>
      <c r="K5" s="312" t="s">
        <v>537</v>
      </c>
      <c r="L5" s="312" t="s">
        <v>136</v>
      </c>
      <c r="M5" s="312" t="s">
        <v>71</v>
      </c>
      <c r="N5" s="312" t="s">
        <v>537</v>
      </c>
      <c r="O5" s="312" t="s">
        <v>136</v>
      </c>
      <c r="P5" s="312" t="s">
        <v>71</v>
      </c>
    </row>
    <row r="6" spans="2:16" ht="12.75">
      <c r="B6" s="232"/>
      <c r="C6" s="315">
        <f>Blad1!$B$3-1</f>
        <v>2005</v>
      </c>
      <c r="D6" s="315">
        <f>Blad1!$B$3-1</f>
        <v>2005</v>
      </c>
      <c r="E6" s="315">
        <f>Blad1!$B$3</f>
        <v>2006</v>
      </c>
      <c r="F6" s="316" t="s">
        <v>73</v>
      </c>
      <c r="G6" s="315">
        <f>Blad1!$B$3-1</f>
        <v>2005</v>
      </c>
      <c r="H6" s="315">
        <f>Blad1!$B$3-1</f>
        <v>2005</v>
      </c>
      <c r="I6" s="315">
        <f>Blad1!$B$3</f>
        <v>2006</v>
      </c>
      <c r="J6" s="317"/>
      <c r="K6" s="315">
        <f>Blad1!$B$3-1</f>
        <v>2005</v>
      </c>
      <c r="L6" s="315">
        <f>Blad1!$B$3-1</f>
        <v>2005</v>
      </c>
      <c r="M6" s="315">
        <f>Blad1!$B$3</f>
        <v>2006</v>
      </c>
      <c r="N6" s="315">
        <f>Blad1!$B$3-1</f>
        <v>2005</v>
      </c>
      <c r="O6" s="315">
        <f>Blad1!$B$3-1</f>
        <v>2005</v>
      </c>
      <c r="P6" s="315">
        <f>Blad1!$B$3</f>
        <v>2006</v>
      </c>
    </row>
    <row r="7" spans="1:16" s="1" customFormat="1" ht="12.75">
      <c r="A7" s="130"/>
      <c r="B7" s="241"/>
      <c r="C7" s="318"/>
      <c r="D7" s="318"/>
      <c r="E7" s="319"/>
      <c r="F7" s="320"/>
      <c r="G7" s="301"/>
      <c r="H7" s="301"/>
      <c r="I7" s="321"/>
      <c r="J7" s="241"/>
      <c r="K7" s="301"/>
      <c r="L7" s="301"/>
      <c r="M7" s="321"/>
      <c r="N7" s="241"/>
      <c r="O7" s="241"/>
      <c r="P7" s="321"/>
    </row>
    <row r="8" spans="1:16" ht="12.75">
      <c r="A8" s="356">
        <f>Q55*100+1</f>
        <v>1301</v>
      </c>
      <c r="B8" s="219" t="s">
        <v>44</v>
      </c>
      <c r="C8" s="322"/>
      <c r="D8" s="322"/>
      <c r="E8" s="322"/>
      <c r="F8" s="291">
        <v>1.26</v>
      </c>
      <c r="G8" s="292">
        <f>ROUND(C8*F8,0)</f>
        <v>0</v>
      </c>
      <c r="H8" s="292">
        <f>ROUND(D8*F8,0)</f>
        <v>0</v>
      </c>
      <c r="I8" s="292">
        <f>E8*F8</f>
        <v>0</v>
      </c>
      <c r="J8" s="267"/>
      <c r="K8" s="322"/>
      <c r="L8" s="322"/>
      <c r="M8" s="322"/>
      <c r="N8" s="322"/>
      <c r="O8" s="322"/>
      <c r="P8" s="322"/>
    </row>
    <row r="9" spans="1:16" ht="12.75">
      <c r="A9" s="356">
        <f>A8+1</f>
        <v>1302</v>
      </c>
      <c r="B9" s="219" t="s">
        <v>45</v>
      </c>
      <c r="C9" s="322"/>
      <c r="D9" s="322"/>
      <c r="E9" s="322"/>
      <c r="F9" s="291">
        <v>1.75</v>
      </c>
      <c r="G9" s="292">
        <f aca="true" t="shared" si="0" ref="G9:G29">ROUND(C9*F9,0)</f>
        <v>0</v>
      </c>
      <c r="H9" s="292">
        <f aca="true" t="shared" si="1" ref="H9:H29">ROUND(D9*F9,0)</f>
        <v>0</v>
      </c>
      <c r="I9" s="292">
        <f aca="true" t="shared" si="2" ref="I9:I29">E9*F9</f>
        <v>0</v>
      </c>
      <c r="J9" s="267"/>
      <c r="K9" s="322"/>
      <c r="L9" s="322"/>
      <c r="M9" s="322"/>
      <c r="N9" s="322"/>
      <c r="O9" s="322"/>
      <c r="P9" s="322"/>
    </row>
    <row r="10" spans="1:16" ht="12.75">
      <c r="A10" s="356">
        <f aca="true" t="shared" si="3" ref="A10:A34">A9+1</f>
        <v>1303</v>
      </c>
      <c r="B10" s="219" t="s">
        <v>46</v>
      </c>
      <c r="C10" s="322"/>
      <c r="D10" s="322"/>
      <c r="E10" s="322"/>
      <c r="F10" s="291">
        <v>1.52</v>
      </c>
      <c r="G10" s="292">
        <f t="shared" si="0"/>
        <v>0</v>
      </c>
      <c r="H10" s="292">
        <f t="shared" si="1"/>
        <v>0</v>
      </c>
      <c r="I10" s="292">
        <f t="shared" si="2"/>
        <v>0</v>
      </c>
      <c r="J10" s="267"/>
      <c r="K10" s="322"/>
      <c r="L10" s="322"/>
      <c r="M10" s="322"/>
      <c r="N10" s="322"/>
      <c r="O10" s="322"/>
      <c r="P10" s="322"/>
    </row>
    <row r="11" spans="1:16" ht="12.75">
      <c r="A11" s="356">
        <f t="shared" si="3"/>
        <v>1304</v>
      </c>
      <c r="B11" s="219" t="s">
        <v>47</v>
      </c>
      <c r="C11" s="322"/>
      <c r="D11" s="322"/>
      <c r="E11" s="322"/>
      <c r="F11" s="291">
        <v>1.23</v>
      </c>
      <c r="G11" s="292">
        <f t="shared" si="0"/>
        <v>0</v>
      </c>
      <c r="H11" s="292">
        <f t="shared" si="1"/>
        <v>0</v>
      </c>
      <c r="I11" s="292">
        <f t="shared" si="2"/>
        <v>0</v>
      </c>
      <c r="J11" s="267"/>
      <c r="K11" s="322"/>
      <c r="L11" s="322"/>
      <c r="M11" s="322"/>
      <c r="N11" s="322"/>
      <c r="O11" s="322"/>
      <c r="P11" s="322"/>
    </row>
    <row r="12" spans="1:16" ht="12.75">
      <c r="A12" s="356">
        <f t="shared" si="3"/>
        <v>1305</v>
      </c>
      <c r="B12" s="219" t="s">
        <v>48</v>
      </c>
      <c r="C12" s="322"/>
      <c r="D12" s="322"/>
      <c r="E12" s="322"/>
      <c r="F12" s="291">
        <v>0.88</v>
      </c>
      <c r="G12" s="292">
        <f t="shared" si="0"/>
        <v>0</v>
      </c>
      <c r="H12" s="292">
        <f t="shared" si="1"/>
        <v>0</v>
      </c>
      <c r="I12" s="292">
        <f t="shared" si="2"/>
        <v>0</v>
      </c>
      <c r="J12" s="267"/>
      <c r="K12" s="322"/>
      <c r="L12" s="322"/>
      <c r="M12" s="322"/>
      <c r="N12" s="322"/>
      <c r="O12" s="322"/>
      <c r="P12" s="322"/>
    </row>
    <row r="13" spans="1:16" ht="12.75">
      <c r="A13" s="356">
        <f t="shared" si="3"/>
        <v>1306</v>
      </c>
      <c r="B13" s="219" t="s">
        <v>49</v>
      </c>
      <c r="C13" s="322"/>
      <c r="D13" s="322"/>
      <c r="E13" s="322"/>
      <c r="F13" s="291">
        <v>1.26</v>
      </c>
      <c r="G13" s="292">
        <f t="shared" si="0"/>
        <v>0</v>
      </c>
      <c r="H13" s="292">
        <f t="shared" si="1"/>
        <v>0</v>
      </c>
      <c r="I13" s="292">
        <f t="shared" si="2"/>
        <v>0</v>
      </c>
      <c r="J13" s="267"/>
      <c r="K13" s="322"/>
      <c r="L13" s="322"/>
      <c r="M13" s="322"/>
      <c r="N13" s="322"/>
      <c r="O13" s="322"/>
      <c r="P13" s="322"/>
    </row>
    <row r="14" spans="1:16" ht="12.75">
      <c r="A14" s="356">
        <f t="shared" si="3"/>
        <v>1307</v>
      </c>
      <c r="B14" s="219" t="s">
        <v>50</v>
      </c>
      <c r="C14" s="322"/>
      <c r="D14" s="322"/>
      <c r="E14" s="322"/>
      <c r="F14" s="291">
        <v>0.2</v>
      </c>
      <c r="G14" s="292">
        <f t="shared" si="0"/>
        <v>0</v>
      </c>
      <c r="H14" s="292">
        <f t="shared" si="1"/>
        <v>0</v>
      </c>
      <c r="I14" s="292">
        <f t="shared" si="2"/>
        <v>0</v>
      </c>
      <c r="J14" s="267"/>
      <c r="K14" s="322"/>
      <c r="L14" s="322"/>
      <c r="M14" s="322"/>
      <c r="N14" s="322"/>
      <c r="O14" s="322"/>
      <c r="P14" s="322"/>
    </row>
    <row r="15" spans="1:16" ht="12.75">
      <c r="A15" s="356">
        <f t="shared" si="3"/>
        <v>1308</v>
      </c>
      <c r="B15" s="219" t="s">
        <v>51</v>
      </c>
      <c r="C15" s="322"/>
      <c r="D15" s="322"/>
      <c r="E15" s="322"/>
      <c r="F15" s="291">
        <v>0.73</v>
      </c>
      <c r="G15" s="292">
        <f t="shared" si="0"/>
        <v>0</v>
      </c>
      <c r="H15" s="292">
        <f t="shared" si="1"/>
        <v>0</v>
      </c>
      <c r="I15" s="292">
        <f t="shared" si="2"/>
        <v>0</v>
      </c>
      <c r="J15" s="267"/>
      <c r="K15" s="322"/>
      <c r="L15" s="322"/>
      <c r="M15" s="322"/>
      <c r="N15" s="322"/>
      <c r="O15" s="322"/>
      <c r="P15" s="322"/>
    </row>
    <row r="16" spans="1:16" ht="12.75">
      <c r="A16" s="356">
        <f t="shared" si="3"/>
        <v>1309</v>
      </c>
      <c r="B16" s="219" t="s">
        <v>52</v>
      </c>
      <c r="C16" s="322"/>
      <c r="D16" s="322"/>
      <c r="E16" s="322"/>
      <c r="F16" s="291">
        <v>1.47</v>
      </c>
      <c r="G16" s="292">
        <f t="shared" si="0"/>
        <v>0</v>
      </c>
      <c r="H16" s="292">
        <f t="shared" si="1"/>
        <v>0</v>
      </c>
      <c r="I16" s="292">
        <f t="shared" si="2"/>
        <v>0</v>
      </c>
      <c r="J16" s="267"/>
      <c r="K16" s="322"/>
      <c r="L16" s="322"/>
      <c r="M16" s="322"/>
      <c r="N16" s="322"/>
      <c r="O16" s="322"/>
      <c r="P16" s="322"/>
    </row>
    <row r="17" spans="1:16" ht="12.75">
      <c r="A17" s="356">
        <f t="shared" si="3"/>
        <v>1310</v>
      </c>
      <c r="B17" s="219" t="s">
        <v>53</v>
      </c>
      <c r="C17" s="322"/>
      <c r="D17" s="322"/>
      <c r="E17" s="322"/>
      <c r="F17" s="291">
        <v>1.45</v>
      </c>
      <c r="G17" s="292">
        <f t="shared" si="0"/>
        <v>0</v>
      </c>
      <c r="H17" s="292">
        <f t="shared" si="1"/>
        <v>0</v>
      </c>
      <c r="I17" s="292">
        <f t="shared" si="2"/>
        <v>0</v>
      </c>
      <c r="J17" s="267"/>
      <c r="K17" s="322"/>
      <c r="L17" s="322"/>
      <c r="M17" s="322"/>
      <c r="N17" s="322"/>
      <c r="O17" s="322"/>
      <c r="P17" s="322"/>
    </row>
    <row r="18" spans="1:16" ht="12.75">
      <c r="A18" s="356">
        <f t="shared" si="3"/>
        <v>1311</v>
      </c>
      <c r="B18" s="219" t="s">
        <v>54</v>
      </c>
      <c r="C18" s="322"/>
      <c r="D18" s="322"/>
      <c r="E18" s="322"/>
      <c r="F18" s="291">
        <v>0.93</v>
      </c>
      <c r="G18" s="292">
        <f t="shared" si="0"/>
        <v>0</v>
      </c>
      <c r="H18" s="292">
        <f t="shared" si="1"/>
        <v>0</v>
      </c>
      <c r="I18" s="292">
        <f t="shared" si="2"/>
        <v>0</v>
      </c>
      <c r="J18" s="267"/>
      <c r="K18" s="322"/>
      <c r="L18" s="322"/>
      <c r="M18" s="322"/>
      <c r="N18" s="322"/>
      <c r="O18" s="322"/>
      <c r="P18" s="322"/>
    </row>
    <row r="19" spans="1:16" ht="12.75">
      <c r="A19" s="356">
        <f t="shared" si="3"/>
        <v>1312</v>
      </c>
      <c r="B19" s="219" t="s">
        <v>55</v>
      </c>
      <c r="C19" s="322"/>
      <c r="D19" s="322"/>
      <c r="E19" s="322"/>
      <c r="F19" s="291">
        <v>0.66</v>
      </c>
      <c r="G19" s="292">
        <f t="shared" si="0"/>
        <v>0</v>
      </c>
      <c r="H19" s="292">
        <f t="shared" si="1"/>
        <v>0</v>
      </c>
      <c r="I19" s="292">
        <f t="shared" si="2"/>
        <v>0</v>
      </c>
      <c r="J19" s="267"/>
      <c r="K19" s="322"/>
      <c r="L19" s="322"/>
      <c r="M19" s="322"/>
      <c r="N19" s="322"/>
      <c r="O19" s="322"/>
      <c r="P19" s="322"/>
    </row>
    <row r="20" spans="1:16" ht="12.75">
      <c r="A20" s="356">
        <f t="shared" si="3"/>
        <v>1313</v>
      </c>
      <c r="B20" s="219" t="s">
        <v>56</v>
      </c>
      <c r="C20" s="322"/>
      <c r="D20" s="322"/>
      <c r="E20" s="322"/>
      <c r="F20" s="291">
        <v>1.09</v>
      </c>
      <c r="G20" s="292">
        <f t="shared" si="0"/>
        <v>0</v>
      </c>
      <c r="H20" s="292">
        <f t="shared" si="1"/>
        <v>0</v>
      </c>
      <c r="I20" s="292">
        <f t="shared" si="2"/>
        <v>0</v>
      </c>
      <c r="J20" s="267"/>
      <c r="K20" s="322"/>
      <c r="L20" s="322"/>
      <c r="M20" s="322"/>
      <c r="N20" s="322"/>
      <c r="O20" s="322"/>
      <c r="P20" s="322"/>
    </row>
    <row r="21" spans="1:16" ht="12.75">
      <c r="A21" s="356">
        <f t="shared" si="3"/>
        <v>1314</v>
      </c>
      <c r="B21" s="219" t="s">
        <v>57</v>
      </c>
      <c r="C21" s="322"/>
      <c r="D21" s="322"/>
      <c r="E21" s="322"/>
      <c r="F21" s="291">
        <v>2.14</v>
      </c>
      <c r="G21" s="292">
        <f t="shared" si="0"/>
        <v>0</v>
      </c>
      <c r="H21" s="292">
        <f t="shared" si="1"/>
        <v>0</v>
      </c>
      <c r="I21" s="292">
        <f t="shared" si="2"/>
        <v>0</v>
      </c>
      <c r="J21" s="267"/>
      <c r="K21" s="322"/>
      <c r="L21" s="322"/>
      <c r="M21" s="322"/>
      <c r="N21" s="322"/>
      <c r="O21" s="322"/>
      <c r="P21" s="322"/>
    </row>
    <row r="22" spans="1:16" ht="12.75">
      <c r="A22" s="356">
        <f t="shared" si="3"/>
        <v>1315</v>
      </c>
      <c r="B22" s="219" t="s">
        <v>58</v>
      </c>
      <c r="C22" s="322"/>
      <c r="D22" s="322"/>
      <c r="E22" s="322"/>
      <c r="F22" s="291">
        <v>0.73</v>
      </c>
      <c r="G22" s="292">
        <f t="shared" si="0"/>
        <v>0</v>
      </c>
      <c r="H22" s="292">
        <f t="shared" si="1"/>
        <v>0</v>
      </c>
      <c r="I22" s="292">
        <f t="shared" si="2"/>
        <v>0</v>
      </c>
      <c r="J22" s="267"/>
      <c r="K22" s="322"/>
      <c r="L22" s="322"/>
      <c r="M22" s="322"/>
      <c r="N22" s="322"/>
      <c r="O22" s="322"/>
      <c r="P22" s="322"/>
    </row>
    <row r="23" spans="1:16" ht="12.75">
      <c r="A23" s="356">
        <f t="shared" si="3"/>
        <v>1316</v>
      </c>
      <c r="B23" s="219" t="s">
        <v>59</v>
      </c>
      <c r="C23" s="322"/>
      <c r="D23" s="322"/>
      <c r="E23" s="322"/>
      <c r="F23" s="291">
        <v>0.18</v>
      </c>
      <c r="G23" s="292">
        <f t="shared" si="0"/>
        <v>0</v>
      </c>
      <c r="H23" s="292">
        <f t="shared" si="1"/>
        <v>0</v>
      </c>
      <c r="I23" s="292">
        <f t="shared" si="2"/>
        <v>0</v>
      </c>
      <c r="J23" s="267"/>
      <c r="K23" s="322"/>
      <c r="L23" s="322"/>
      <c r="M23" s="322"/>
      <c r="N23" s="322"/>
      <c r="O23" s="322"/>
      <c r="P23" s="322"/>
    </row>
    <row r="24" spans="1:16" ht="12.75">
      <c r="A24" s="356">
        <f t="shared" si="3"/>
        <v>1317</v>
      </c>
      <c r="B24" s="219" t="s">
        <v>60</v>
      </c>
      <c r="C24" s="322"/>
      <c r="D24" s="322"/>
      <c r="E24" s="322"/>
      <c r="F24" s="291">
        <v>0.25</v>
      </c>
      <c r="G24" s="292">
        <f t="shared" si="0"/>
        <v>0</v>
      </c>
      <c r="H24" s="292">
        <f t="shared" si="1"/>
        <v>0</v>
      </c>
      <c r="I24" s="292">
        <f t="shared" si="2"/>
        <v>0</v>
      </c>
      <c r="J24" s="267"/>
      <c r="K24" s="322"/>
      <c r="L24" s="322"/>
      <c r="M24" s="322"/>
      <c r="N24" s="322"/>
      <c r="O24" s="322"/>
      <c r="P24" s="322"/>
    </row>
    <row r="25" spans="1:16" ht="12.75">
      <c r="A25" s="356">
        <f t="shared" si="3"/>
        <v>1318</v>
      </c>
      <c r="B25" s="219" t="s">
        <v>61</v>
      </c>
      <c r="C25" s="322"/>
      <c r="D25" s="322"/>
      <c r="E25" s="322"/>
      <c r="F25" s="291">
        <v>0.37</v>
      </c>
      <c r="G25" s="292">
        <f t="shared" si="0"/>
        <v>0</v>
      </c>
      <c r="H25" s="292">
        <f t="shared" si="1"/>
        <v>0</v>
      </c>
      <c r="I25" s="292">
        <f t="shared" si="2"/>
        <v>0</v>
      </c>
      <c r="J25" s="267"/>
      <c r="K25" s="322"/>
      <c r="L25" s="322"/>
      <c r="M25" s="322"/>
      <c r="N25" s="322"/>
      <c r="O25" s="322"/>
      <c r="P25" s="322"/>
    </row>
    <row r="26" spans="1:16" ht="12.75">
      <c r="A26" s="356">
        <f t="shared" si="3"/>
        <v>1319</v>
      </c>
      <c r="B26" s="219" t="s">
        <v>62</v>
      </c>
      <c r="C26" s="322"/>
      <c r="D26" s="322"/>
      <c r="E26" s="322"/>
      <c r="F26" s="291">
        <v>1.24</v>
      </c>
      <c r="G26" s="292">
        <f t="shared" si="0"/>
        <v>0</v>
      </c>
      <c r="H26" s="292">
        <f t="shared" si="1"/>
        <v>0</v>
      </c>
      <c r="I26" s="292">
        <f t="shared" si="2"/>
        <v>0</v>
      </c>
      <c r="J26" s="267"/>
      <c r="K26" s="322"/>
      <c r="L26" s="322"/>
      <c r="M26" s="322"/>
      <c r="N26" s="322"/>
      <c r="O26" s="322"/>
      <c r="P26" s="322"/>
    </row>
    <row r="27" spans="1:16" ht="12.75">
      <c r="A27" s="356">
        <f t="shared" si="3"/>
        <v>1320</v>
      </c>
      <c r="B27" s="219" t="s">
        <v>63</v>
      </c>
      <c r="C27" s="322"/>
      <c r="D27" s="322"/>
      <c r="E27" s="322"/>
      <c r="F27" s="291">
        <v>0.9</v>
      </c>
      <c r="G27" s="292">
        <f t="shared" si="0"/>
        <v>0</v>
      </c>
      <c r="H27" s="292">
        <f t="shared" si="1"/>
        <v>0</v>
      </c>
      <c r="I27" s="292">
        <f t="shared" si="2"/>
        <v>0</v>
      </c>
      <c r="J27" s="267"/>
      <c r="K27" s="322"/>
      <c r="L27" s="322"/>
      <c r="M27" s="322"/>
      <c r="N27" s="322"/>
      <c r="O27" s="322"/>
      <c r="P27" s="322"/>
    </row>
    <row r="28" spans="1:16" ht="12.75">
      <c r="A28" s="356">
        <f t="shared" si="3"/>
        <v>1321</v>
      </c>
      <c r="B28" s="219" t="s">
        <v>414</v>
      </c>
      <c r="C28" s="322"/>
      <c r="D28" s="322"/>
      <c r="E28" s="322"/>
      <c r="F28" s="291">
        <v>1.07</v>
      </c>
      <c r="G28" s="292">
        <f t="shared" si="0"/>
        <v>0</v>
      </c>
      <c r="H28" s="292">
        <f t="shared" si="1"/>
        <v>0</v>
      </c>
      <c r="I28" s="292">
        <f t="shared" si="2"/>
        <v>0</v>
      </c>
      <c r="J28" s="267"/>
      <c r="K28" s="322"/>
      <c r="L28" s="322"/>
      <c r="M28" s="322"/>
      <c r="N28" s="322"/>
      <c r="O28" s="322"/>
      <c r="P28" s="322"/>
    </row>
    <row r="29" spans="1:16" ht="12.75">
      <c r="A29" s="356">
        <f t="shared" si="3"/>
        <v>1322</v>
      </c>
      <c r="B29" s="219" t="s">
        <v>546</v>
      </c>
      <c r="C29" s="322"/>
      <c r="D29" s="322"/>
      <c r="E29" s="322"/>
      <c r="F29" s="291">
        <v>1.07</v>
      </c>
      <c r="G29" s="292">
        <f t="shared" si="0"/>
        <v>0</v>
      </c>
      <c r="H29" s="292">
        <f t="shared" si="1"/>
        <v>0</v>
      </c>
      <c r="I29" s="292">
        <f t="shared" si="2"/>
        <v>0</v>
      </c>
      <c r="J29" s="267"/>
      <c r="K29" s="322"/>
      <c r="L29" s="322"/>
      <c r="M29" s="322"/>
      <c r="N29" s="322"/>
      <c r="O29" s="322"/>
      <c r="P29" s="322"/>
    </row>
    <row r="30" spans="1:16" ht="12.75">
      <c r="A30" s="356">
        <f t="shared" si="3"/>
        <v>1323</v>
      </c>
      <c r="B30" s="219" t="s">
        <v>64</v>
      </c>
      <c r="C30" s="322"/>
      <c r="D30" s="322"/>
      <c r="E30" s="322"/>
      <c r="F30" s="291">
        <v>0.66</v>
      </c>
      <c r="G30" s="292">
        <f>ROUND(C30*F30,0)</f>
        <v>0</v>
      </c>
      <c r="H30" s="292">
        <f>ROUND(D30*F30,0)</f>
        <v>0</v>
      </c>
      <c r="I30" s="292">
        <f>E30*F30</f>
        <v>0</v>
      </c>
      <c r="J30" s="267"/>
      <c r="K30" s="322"/>
      <c r="L30" s="322"/>
      <c r="M30" s="322"/>
      <c r="N30" s="322"/>
      <c r="O30" s="322"/>
      <c r="P30" s="322"/>
    </row>
    <row r="31" spans="1:16" ht="12.75">
      <c r="A31" s="357"/>
      <c r="B31" s="219" t="s">
        <v>66</v>
      </c>
      <c r="C31" s="301"/>
      <c r="D31" s="301"/>
      <c r="E31" s="301"/>
      <c r="F31" s="323"/>
      <c r="G31" s="301"/>
      <c r="H31" s="301"/>
      <c r="I31" s="301"/>
      <c r="J31" s="301"/>
      <c r="K31" s="301"/>
      <c r="L31" s="301"/>
      <c r="M31" s="267"/>
      <c r="N31" s="267"/>
      <c r="O31" s="267"/>
      <c r="P31" s="267"/>
    </row>
    <row r="32" spans="1:16" ht="12.75">
      <c r="A32" s="356">
        <f>A30+1</f>
        <v>1324</v>
      </c>
      <c r="B32" s="237" t="s">
        <v>67</v>
      </c>
      <c r="C32" s="322"/>
      <c r="D32" s="322"/>
      <c r="E32" s="322"/>
      <c r="F32" s="291">
        <v>0.53</v>
      </c>
      <c r="G32" s="292">
        <f>ROUND(C32*F32,0)</f>
        <v>0</v>
      </c>
      <c r="H32" s="292">
        <f>ROUND(D32*F32,0)</f>
        <v>0</v>
      </c>
      <c r="I32" s="292">
        <f>E32*F32</f>
        <v>0</v>
      </c>
      <c r="J32" s="267"/>
      <c r="K32" s="322"/>
      <c r="L32" s="322"/>
      <c r="M32" s="322"/>
      <c r="N32" s="322"/>
      <c r="O32" s="322"/>
      <c r="P32" s="322"/>
    </row>
    <row r="33" spans="1:16" ht="12.75">
      <c r="A33" s="356">
        <f t="shared" si="3"/>
        <v>1325</v>
      </c>
      <c r="B33" s="237" t="s">
        <v>68</v>
      </c>
      <c r="C33" s="322"/>
      <c r="D33" s="322"/>
      <c r="E33" s="322"/>
      <c r="F33" s="291">
        <v>0.37</v>
      </c>
      <c r="G33" s="292">
        <f>ROUND(C33*F33,0)</f>
        <v>0</v>
      </c>
      <c r="H33" s="292">
        <f>ROUND(D33*F33,0)</f>
        <v>0</v>
      </c>
      <c r="I33" s="292">
        <f>E33*F33</f>
        <v>0</v>
      </c>
      <c r="J33" s="267"/>
      <c r="K33" s="322"/>
      <c r="L33" s="322"/>
      <c r="M33" s="322"/>
      <c r="N33" s="322"/>
      <c r="O33" s="322"/>
      <c r="P33" s="322"/>
    </row>
    <row r="34" spans="1:16" ht="12.75">
      <c r="A34" s="356">
        <f t="shared" si="3"/>
        <v>1326</v>
      </c>
      <c r="B34" s="219" t="s">
        <v>69</v>
      </c>
      <c r="C34" s="322"/>
      <c r="D34" s="322"/>
      <c r="E34" s="322"/>
      <c r="F34" s="291">
        <v>1.64</v>
      </c>
      <c r="G34" s="292">
        <f>ROUND(C34*F34,0)</f>
        <v>0</v>
      </c>
      <c r="H34" s="292">
        <f>ROUND(D34*F34,0)</f>
        <v>0</v>
      </c>
      <c r="I34" s="292">
        <f>E34*F34</f>
        <v>0</v>
      </c>
      <c r="J34" s="267"/>
      <c r="K34" s="322"/>
      <c r="L34" s="322"/>
      <c r="M34" s="322"/>
      <c r="N34" s="322"/>
      <c r="O34" s="322"/>
      <c r="P34" s="322"/>
    </row>
    <row r="35" spans="1:16" s="1" customFormat="1" ht="12.75">
      <c r="A35" s="358"/>
      <c r="B35" s="324"/>
      <c r="C35" s="301"/>
      <c r="D35" s="301"/>
      <c r="E35" s="301"/>
      <c r="F35" s="241"/>
      <c r="G35" s="301"/>
      <c r="H35" s="301"/>
      <c r="I35" s="301"/>
      <c r="J35" s="301"/>
      <c r="K35" s="301"/>
      <c r="L35" s="301"/>
      <c r="M35" s="301"/>
      <c r="N35" s="301"/>
      <c r="O35" s="301"/>
      <c r="P35" s="301"/>
    </row>
    <row r="36" spans="1:16" ht="12.75">
      <c r="A36" s="356">
        <f>A34+1</f>
        <v>1327</v>
      </c>
      <c r="B36" s="219" t="s">
        <v>75</v>
      </c>
      <c r="C36" s="325">
        <f>SUM(C8:C34)</f>
        <v>0</v>
      </c>
      <c r="D36" s="325">
        <f>SUM(D8:D34)</f>
        <v>0</v>
      </c>
      <c r="E36" s="325">
        <f>SUM(E8:E34)</f>
        <v>0</v>
      </c>
      <c r="F36" s="219"/>
      <c r="G36" s="325">
        <f>SUM(G8:G34)</f>
        <v>0</v>
      </c>
      <c r="H36" s="325">
        <f>SUM(H8:H34)</f>
        <v>0</v>
      </c>
      <c r="I36" s="325">
        <f>SUM(I8:I34)</f>
        <v>0</v>
      </c>
      <c r="J36" s="393"/>
      <c r="K36" s="325">
        <f aca="true" t="shared" si="4" ref="K36:P36">SUM(K8:K34)</f>
        <v>0</v>
      </c>
      <c r="L36" s="325">
        <f t="shared" si="4"/>
        <v>0</v>
      </c>
      <c r="M36" s="325">
        <f t="shared" si="4"/>
        <v>0</v>
      </c>
      <c r="N36" s="325">
        <f t="shared" si="4"/>
        <v>0</v>
      </c>
      <c r="O36" s="325">
        <f t="shared" si="4"/>
        <v>0</v>
      </c>
      <c r="P36" s="325">
        <f t="shared" si="4"/>
        <v>0</v>
      </c>
    </row>
    <row r="37" spans="2:16" ht="12.75">
      <c r="B37" s="241"/>
      <c r="C37" s="301"/>
      <c r="D37" s="301"/>
      <c r="E37" s="301"/>
      <c r="F37" s="241"/>
      <c r="G37" s="267"/>
      <c r="H37" s="4" t="s">
        <v>76</v>
      </c>
      <c r="I37" s="4"/>
      <c r="J37" s="232"/>
      <c r="K37" s="267"/>
      <c r="L37" s="4" t="s">
        <v>76</v>
      </c>
      <c r="M37" s="232"/>
      <c r="N37" s="232"/>
      <c r="O37" s="232"/>
      <c r="P37" s="232"/>
    </row>
    <row r="38" spans="2:16" ht="12.75">
      <c r="B38" s="241"/>
      <c r="C38" s="301"/>
      <c r="D38" s="301"/>
      <c r="E38" s="301"/>
      <c r="F38" s="241"/>
      <c r="G38" s="267"/>
      <c r="H38" s="4" t="s">
        <v>80</v>
      </c>
      <c r="I38" s="4"/>
      <c r="J38" s="232"/>
      <c r="K38" s="267"/>
      <c r="L38" s="4" t="s">
        <v>80</v>
      </c>
      <c r="M38" s="232"/>
      <c r="N38" s="232"/>
      <c r="O38" s="232"/>
      <c r="P38" s="232"/>
    </row>
    <row r="39" spans="3:16" ht="12.75">
      <c r="C39" s="301"/>
      <c r="D39" s="301"/>
      <c r="E39" s="301"/>
      <c r="F39" s="241"/>
      <c r="G39" s="267"/>
      <c r="H39" s="4"/>
      <c r="I39" s="4"/>
      <c r="J39" s="232"/>
      <c r="K39" s="267"/>
      <c r="L39" s="4"/>
      <c r="M39" s="232"/>
      <c r="N39" s="232"/>
      <c r="O39" s="232"/>
      <c r="P39" s="232"/>
    </row>
    <row r="40" spans="3:16" ht="12.75">
      <c r="C40" s="301"/>
      <c r="D40" s="301"/>
      <c r="E40" s="301"/>
      <c r="F40" s="241"/>
      <c r="G40" s="267"/>
      <c r="H40" s="4"/>
      <c r="I40" s="4"/>
      <c r="J40" s="232"/>
      <c r="K40" s="267"/>
      <c r="L40" s="4"/>
      <c r="M40" s="232"/>
      <c r="N40" s="232"/>
      <c r="O40" s="232"/>
      <c r="P40" s="232"/>
    </row>
    <row r="41" spans="3:15" ht="12.75">
      <c r="C41" s="301"/>
      <c r="D41" s="301"/>
      <c r="E41" s="301"/>
      <c r="F41" s="241"/>
      <c r="G41" s="267"/>
      <c r="H41" s="267"/>
      <c r="I41" s="267"/>
      <c r="J41" s="232"/>
      <c r="K41" s="267"/>
      <c r="L41" s="267"/>
      <c r="M41" s="232"/>
      <c r="N41" s="232"/>
      <c r="O41" s="232"/>
    </row>
    <row r="42" spans="2:6" ht="14.25">
      <c r="B42" s="373" t="s">
        <v>568</v>
      </c>
      <c r="C42" s="6"/>
      <c r="D42" s="6"/>
      <c r="E42" s="6"/>
      <c r="F42" s="1"/>
    </row>
    <row r="43" spans="2:6" ht="12.75">
      <c r="B43" s="89" t="s">
        <v>341</v>
      </c>
      <c r="C43" s="6"/>
      <c r="D43" s="6"/>
      <c r="E43" s="6"/>
      <c r="F43" s="1"/>
    </row>
    <row r="44" spans="3:6" ht="12.75">
      <c r="C44" s="6"/>
      <c r="D44" s="6"/>
      <c r="E44" s="6"/>
      <c r="F44" s="1"/>
    </row>
    <row r="45" spans="2:6" ht="12.75">
      <c r="B45" s="89" t="s">
        <v>548</v>
      </c>
      <c r="C45" s="6"/>
      <c r="D45" s="6"/>
      <c r="E45" s="6"/>
      <c r="F45" s="1"/>
    </row>
    <row r="46" spans="3:6" ht="12.75">
      <c r="C46" s="6"/>
      <c r="D46" s="6"/>
      <c r="E46" s="6"/>
      <c r="F46" s="1"/>
    </row>
    <row r="47" spans="2:6" ht="12.75">
      <c r="B47" s="10" t="str">
        <f>CONCATENATE("N.b. Voor de kolom rekenstaat ",Blad1!B3-1," zie het productieafsprakenformulier ",Blad1!B3-1," aangevuld met eventuele latere aanvragen")</f>
        <v>N.b. Voor de kolom rekenstaat 2005 zie het productieafsprakenformulier 2005 aangevuld met eventuele latere aanvragen</v>
      </c>
      <c r="C47" s="6"/>
      <c r="D47" s="6"/>
      <c r="E47" s="6"/>
      <c r="F47" s="1"/>
    </row>
    <row r="48" spans="2:6" ht="12.75">
      <c r="B48" s="1"/>
      <c r="C48" s="6"/>
      <c r="D48" s="6"/>
      <c r="E48" s="6"/>
      <c r="F48" s="1"/>
    </row>
    <row r="49" spans="2:6" ht="12.75">
      <c r="B49" s="1"/>
      <c r="C49" s="6"/>
      <c r="D49" s="6"/>
      <c r="E49" s="6"/>
      <c r="F49" s="1"/>
    </row>
    <row r="50" spans="2:6" ht="12.75">
      <c r="B50" s="1"/>
      <c r="C50" s="6"/>
      <c r="D50" s="6"/>
      <c r="E50" s="6"/>
      <c r="F50" s="1"/>
    </row>
    <row r="51" spans="2:6" ht="12.75">
      <c r="B51" s="1"/>
      <c r="C51" s="6"/>
      <c r="D51" s="6"/>
      <c r="E51" s="6"/>
      <c r="F51" s="1"/>
    </row>
    <row r="52" spans="2:6" ht="12.75">
      <c r="B52" s="1"/>
      <c r="C52" s="6"/>
      <c r="D52" s="6"/>
      <c r="E52" s="6"/>
      <c r="F52" s="1"/>
    </row>
    <row r="53" spans="2:6" ht="12.75">
      <c r="B53" s="1"/>
      <c r="C53" s="6"/>
      <c r="D53" s="6"/>
      <c r="E53" s="6"/>
      <c r="F53" s="1"/>
    </row>
    <row r="54" spans="2:6" ht="12.75">
      <c r="B54" s="1"/>
      <c r="C54" s="6"/>
      <c r="D54" s="6"/>
      <c r="E54" s="6"/>
      <c r="F54" s="1"/>
    </row>
    <row r="55" spans="2:17" ht="12.75">
      <c r="B55" s="1"/>
      <c r="C55" s="6"/>
      <c r="D55" s="6"/>
      <c r="E55" s="6"/>
      <c r="F55" s="1"/>
      <c r="Q55" s="232">
        <f>Blad12!N55+1</f>
        <v>13</v>
      </c>
    </row>
    <row r="56" spans="2:6" ht="12.75">
      <c r="B56" s="1"/>
      <c r="C56" s="6"/>
      <c r="D56" s="6"/>
      <c r="E56" s="6"/>
      <c r="F56" s="1"/>
    </row>
    <row r="57" spans="2:6" ht="12.75">
      <c r="B57" s="1"/>
      <c r="C57" s="6"/>
      <c r="D57" s="6"/>
      <c r="E57" s="6"/>
      <c r="F57" s="1"/>
    </row>
    <row r="58" spans="2:6" ht="12.75">
      <c r="B58" s="1"/>
      <c r="C58" s="6"/>
      <c r="D58" s="6"/>
      <c r="E58" s="6"/>
      <c r="F58" s="1"/>
    </row>
    <row r="59" spans="2:6" ht="12.75">
      <c r="B59" s="1"/>
      <c r="C59" s="6"/>
      <c r="D59" s="6"/>
      <c r="E59" s="6"/>
      <c r="F59" s="1"/>
    </row>
    <row r="60" spans="2:6" ht="12.75">
      <c r="B60" s="1"/>
      <c r="C60" s="6"/>
      <c r="D60" s="6"/>
      <c r="E60" s="6"/>
      <c r="F60" s="1"/>
    </row>
    <row r="61" spans="2:6" ht="12.75">
      <c r="B61" s="1"/>
      <c r="C61" s="6"/>
      <c r="D61" s="6"/>
      <c r="E61" s="6"/>
      <c r="F61" s="1"/>
    </row>
    <row r="62" spans="2:6" ht="12.75">
      <c r="B62" s="1"/>
      <c r="C62" s="6"/>
      <c r="D62" s="6"/>
      <c r="E62" s="6"/>
      <c r="F62" s="1"/>
    </row>
    <row r="63" spans="2:6" ht="12.75">
      <c r="B63" s="1"/>
      <c r="C63" s="6"/>
      <c r="D63" s="6"/>
      <c r="E63" s="6"/>
      <c r="F63" s="1"/>
    </row>
    <row r="64" spans="2:6" ht="12.75">
      <c r="B64" s="1"/>
      <c r="C64" s="6"/>
      <c r="D64" s="6"/>
      <c r="E64" s="6"/>
      <c r="F64" s="1"/>
    </row>
    <row r="65" spans="2:6" ht="12.75">
      <c r="B65" s="1"/>
      <c r="C65" s="6"/>
      <c r="D65" s="6"/>
      <c r="E65" s="6"/>
      <c r="F65" s="1"/>
    </row>
    <row r="66" spans="2:6" ht="12.75">
      <c r="B66" s="1"/>
      <c r="C66" s="6"/>
      <c r="D66" s="6"/>
      <c r="E66" s="6"/>
      <c r="F66" s="1"/>
    </row>
    <row r="67" spans="2:6" ht="12.75">
      <c r="B67" s="1"/>
      <c r="C67" s="6"/>
      <c r="D67" s="6"/>
      <c r="E67" s="6"/>
      <c r="F67" s="1"/>
    </row>
    <row r="68" spans="2:6" ht="12.75">
      <c r="B68" s="1"/>
      <c r="C68" s="6"/>
      <c r="D68" s="6"/>
      <c r="E68" s="6"/>
      <c r="F68" s="1"/>
    </row>
    <row r="69" spans="2:6" ht="12.75">
      <c r="B69" s="1"/>
      <c r="C69" s="6"/>
      <c r="D69" s="6"/>
      <c r="E69" s="6"/>
      <c r="F69" s="1"/>
    </row>
    <row r="70" spans="2:6" ht="12.75">
      <c r="B70" s="1"/>
      <c r="C70" s="6"/>
      <c r="D70" s="6"/>
      <c r="E70" s="6"/>
      <c r="F70" s="1"/>
    </row>
    <row r="71" spans="2:6" ht="12.75">
      <c r="B71" s="1"/>
      <c r="C71" s="6"/>
      <c r="D71" s="6"/>
      <c r="E71" s="6"/>
      <c r="F71" s="1"/>
    </row>
    <row r="72" spans="2:6" ht="12.75">
      <c r="B72" s="1"/>
      <c r="C72" s="6"/>
      <c r="D72" s="6"/>
      <c r="E72" s="6"/>
      <c r="F72" s="1"/>
    </row>
    <row r="73" spans="2:6" ht="12.75">
      <c r="B73" s="1"/>
      <c r="C73" s="6"/>
      <c r="D73" s="6"/>
      <c r="E73" s="6"/>
      <c r="F73" s="1"/>
    </row>
    <row r="74" spans="2:6" ht="12.75">
      <c r="B74" s="1"/>
      <c r="C74" s="6"/>
      <c r="D74" s="6"/>
      <c r="E74" s="6"/>
      <c r="F74" s="1"/>
    </row>
    <row r="75" spans="2:6" ht="12.75">
      <c r="B75" s="1"/>
      <c r="C75" s="6"/>
      <c r="D75" s="6"/>
      <c r="E75" s="6"/>
      <c r="F75" s="1"/>
    </row>
    <row r="76" spans="2:6" ht="12.75">
      <c r="B76" s="1"/>
      <c r="C76" s="6"/>
      <c r="D76" s="6"/>
      <c r="E76" s="6"/>
      <c r="F76" s="1"/>
    </row>
    <row r="77" spans="2:6" ht="12.75">
      <c r="B77" s="1"/>
      <c r="C77" s="6"/>
      <c r="D77" s="6"/>
      <c r="E77" s="6"/>
      <c r="F77" s="1"/>
    </row>
    <row r="78" spans="2:6" ht="12.75">
      <c r="B78" s="1"/>
      <c r="C78" s="6"/>
      <c r="D78" s="6"/>
      <c r="E78" s="6"/>
      <c r="F78" s="1"/>
    </row>
    <row r="79" spans="2:6" ht="12.75">
      <c r="B79" s="1"/>
      <c r="C79" s="6"/>
      <c r="D79" s="6"/>
      <c r="E79" s="6"/>
      <c r="F79" s="1"/>
    </row>
    <row r="80" spans="2:6" ht="12.75">
      <c r="B80" s="1"/>
      <c r="C80" s="6"/>
      <c r="D80" s="6"/>
      <c r="E80" s="6"/>
      <c r="F80" s="1"/>
    </row>
    <row r="81" spans="2:6" ht="12.75">
      <c r="B81" s="1"/>
      <c r="C81" s="6"/>
      <c r="D81" s="6"/>
      <c r="E81" s="6"/>
      <c r="F81" s="1"/>
    </row>
    <row r="82" spans="2:6" ht="12.75">
      <c r="B82" s="1"/>
      <c r="C82" s="6"/>
      <c r="D82" s="6"/>
      <c r="E82" s="6"/>
      <c r="F82" s="1"/>
    </row>
    <row r="83" spans="2:6" ht="12.75">
      <c r="B83" s="1"/>
      <c r="C83" s="6"/>
      <c r="D83" s="6"/>
      <c r="E83" s="6"/>
      <c r="F83" s="1"/>
    </row>
    <row r="84" spans="2:6" ht="12.75">
      <c r="B84" s="1"/>
      <c r="C84" s="6"/>
      <c r="D84" s="6"/>
      <c r="E84" s="6"/>
      <c r="F84" s="1"/>
    </row>
    <row r="85" spans="2:6" ht="12.75">
      <c r="B85" s="1"/>
      <c r="C85" s="6"/>
      <c r="D85" s="6"/>
      <c r="E85" s="6"/>
      <c r="F85" s="1"/>
    </row>
    <row r="86" spans="2:6" ht="12.75">
      <c r="B86" s="1"/>
      <c r="C86" s="6"/>
      <c r="D86" s="6"/>
      <c r="E86" s="6"/>
      <c r="F86" s="1"/>
    </row>
    <row r="87" spans="2:6" ht="12.75">
      <c r="B87" s="1"/>
      <c r="C87" s="6"/>
      <c r="D87" s="6"/>
      <c r="E87" s="6"/>
      <c r="F87" s="1"/>
    </row>
    <row r="88" spans="2:6" ht="12.75">
      <c r="B88" s="1"/>
      <c r="C88" s="6"/>
      <c r="D88" s="6"/>
      <c r="E88" s="6"/>
      <c r="F88" s="1"/>
    </row>
  </sheetData>
  <sheetProtection password="CCBC" sheet="1" objects="1" scenarios="1"/>
  <mergeCells count="4">
    <mergeCell ref="K3:M3"/>
    <mergeCell ref="K4:M4"/>
    <mergeCell ref="N3:P3"/>
    <mergeCell ref="N4:P4"/>
  </mergeCells>
  <printOptions/>
  <pageMargins left="0.75" right="0.75" top="1" bottom="1" header="0.5" footer="0.5"/>
  <pageSetup fitToHeight="1" fitToWidth="1" horizontalDpi="600" verticalDpi="600" orientation="landscape" paperSize="9" scale="65" r:id="rId1"/>
  <headerFooter alignWithMargins="0">
    <oddHeader>&amp;L&amp;"Arial,Vet"Bijlage 1 bij circulaire JHYM/xxxx/CI/06/xxc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">
    <tabColor indexed="50"/>
    <pageSetUpPr fitToPage="1"/>
  </sheetPr>
  <dimension ref="A1:N135"/>
  <sheetViews>
    <sheetView showGridLines="0" showRowColHeaders="0" showZeros="0" showOutlineSymbols="0" view="pageBreakPreview" zoomScale="75" zoomScaleSheetLayoutView="75" workbookViewId="0" topLeftCell="A7">
      <selection activeCell="D59" sqref="D59"/>
    </sheetView>
  </sheetViews>
  <sheetFormatPr defaultColWidth="9.140625" defaultRowHeight="12.75"/>
  <cols>
    <col min="1" max="1" width="10.7109375" style="7" customWidth="1"/>
    <col min="2" max="2" width="37.7109375" style="7" customWidth="1"/>
    <col min="3" max="6" width="13.7109375" style="7" customWidth="1"/>
    <col min="7" max="8" width="10.7109375" style="7" customWidth="1"/>
    <col min="9" max="9" width="37.7109375" style="7" customWidth="1"/>
    <col min="10" max="13" width="13.7109375" style="7" customWidth="1"/>
    <col min="14" max="23" width="10.7109375" style="7" customWidth="1"/>
    <col min="24" max="16384" width="9.140625" style="7" customWidth="1"/>
  </cols>
  <sheetData>
    <row r="1" spans="2:9" ht="12.75">
      <c r="B1" s="2" t="s">
        <v>132</v>
      </c>
      <c r="I1" s="2" t="s">
        <v>132</v>
      </c>
    </row>
    <row r="2" spans="3:13" ht="12.75">
      <c r="C2" s="480" t="str">
        <f>CONCATENATE("productie afspraken ",Blad1!$B$3-1)</f>
        <v>productie afspraken 2005</v>
      </c>
      <c r="D2" s="481"/>
      <c r="E2" s="480" t="str">
        <f>CONCATENATE("productie afspraken ",Blad1!$B$3)</f>
        <v>productie afspraken 2006</v>
      </c>
      <c r="F2" s="481"/>
      <c r="J2" s="480" t="str">
        <f>CONCATENATE("productie afspraken ",Blad1!$B$3-1)</f>
        <v>productie afspraken 2005</v>
      </c>
      <c r="K2" s="481"/>
      <c r="L2" s="480" t="str">
        <f>CONCATENATE("productie afspraken ",Blad1!$B$3)</f>
        <v>productie afspraken 2006</v>
      </c>
      <c r="M2" s="481"/>
    </row>
    <row r="3" spans="3:13" ht="12.75">
      <c r="C3" s="480" t="str">
        <f>CONCATENATE("prijspeil ultimo ",Blad1!$B$3-2)</f>
        <v>prijspeil ultimo 2004</v>
      </c>
      <c r="D3" s="481"/>
      <c r="E3" s="480" t="str">
        <f>CONCATENATE("prijspeil ultimo ",Blad1!$B$3-1)</f>
        <v>prijspeil ultimo 2005</v>
      </c>
      <c r="F3" s="481"/>
      <c r="J3" s="480" t="str">
        <f>CONCATENATE("prijspeil ultimo ",Blad1!$B$3-2)</f>
        <v>prijspeil ultimo 2004</v>
      </c>
      <c r="K3" s="481"/>
      <c r="L3" s="480" t="str">
        <f>CONCATENATE("prijspeil ultimo ",Blad1!$B$3-1)</f>
        <v>prijspeil ultimo 2005</v>
      </c>
      <c r="M3" s="481"/>
    </row>
    <row r="4" spans="3:13" ht="12.75">
      <c r="C4" s="64" t="s">
        <v>85</v>
      </c>
      <c r="D4" s="64" t="s">
        <v>86</v>
      </c>
      <c r="E4" s="64" t="s">
        <v>85</v>
      </c>
      <c r="F4" s="64" t="s">
        <v>86</v>
      </c>
      <c r="J4" s="64" t="s">
        <v>85</v>
      </c>
      <c r="K4" s="64" t="s">
        <v>86</v>
      </c>
      <c r="L4" s="64" t="s">
        <v>85</v>
      </c>
      <c r="M4" s="64" t="s">
        <v>86</v>
      </c>
    </row>
    <row r="5" spans="2:13" ht="12.75">
      <c r="B5" s="10"/>
      <c r="C5" s="28">
        <v>1.0092</v>
      </c>
      <c r="D5" s="28">
        <v>1.0142</v>
      </c>
      <c r="E5" s="28">
        <v>1.0033</v>
      </c>
      <c r="F5" s="28">
        <v>1.01</v>
      </c>
      <c r="I5" s="10"/>
      <c r="J5" s="28">
        <v>1.0092</v>
      </c>
      <c r="K5" s="28">
        <v>1.0142</v>
      </c>
      <c r="L5" s="28">
        <v>1.0033</v>
      </c>
      <c r="M5" s="28">
        <v>1.01</v>
      </c>
    </row>
    <row r="6" spans="2:13" ht="12.75">
      <c r="B6" s="2" t="s">
        <v>83</v>
      </c>
      <c r="E6" s="15"/>
      <c r="F6" s="15"/>
      <c r="I6" s="2" t="s">
        <v>83</v>
      </c>
      <c r="L6" s="15"/>
      <c r="M6" s="15"/>
    </row>
    <row r="7" spans="1:13" ht="12.75">
      <c r="A7" s="356">
        <f>N70*100+1</f>
        <v>1401</v>
      </c>
      <c r="B7" s="99" t="s">
        <v>165</v>
      </c>
      <c r="C7" s="112">
        <v>24.98</v>
      </c>
      <c r="D7" s="112">
        <v>6.84</v>
      </c>
      <c r="E7" s="112">
        <v>25.21</v>
      </c>
      <c r="F7" s="112">
        <v>6.93</v>
      </c>
      <c r="H7" s="356">
        <f>A70+1</f>
        <v>1465</v>
      </c>
      <c r="I7" s="99" t="s">
        <v>424</v>
      </c>
      <c r="J7" s="112">
        <v>1941</v>
      </c>
      <c r="K7" s="112">
        <v>320.65</v>
      </c>
      <c r="L7" s="112">
        <v>1959.24</v>
      </c>
      <c r="M7" s="112">
        <v>325.2</v>
      </c>
    </row>
    <row r="8" spans="1:13" ht="12.75">
      <c r="A8" s="356">
        <f>A7+1</f>
        <v>1402</v>
      </c>
      <c r="B8" s="99" t="s">
        <v>166</v>
      </c>
      <c r="C8" s="112">
        <v>10.39</v>
      </c>
      <c r="D8" s="112">
        <v>2.84</v>
      </c>
      <c r="E8" s="112">
        <v>10.49</v>
      </c>
      <c r="F8" s="112">
        <v>2.87</v>
      </c>
      <c r="H8" s="356">
        <f aca="true" t="shared" si="0" ref="H8:H46">H7+1</f>
        <v>1466</v>
      </c>
      <c r="I8" s="99" t="s">
        <v>425</v>
      </c>
      <c r="J8" s="112">
        <v>1941</v>
      </c>
      <c r="K8" s="112">
        <v>4432</v>
      </c>
      <c r="L8" s="112">
        <v>1959.24</v>
      </c>
      <c r="M8" s="112">
        <v>4495.01</v>
      </c>
    </row>
    <row r="9" spans="1:13" ht="12.75">
      <c r="A9" s="356">
        <f aca="true" t="shared" si="1" ref="A9:A70">A8+1</f>
        <v>1403</v>
      </c>
      <c r="B9" s="99" t="s">
        <v>186</v>
      </c>
      <c r="C9" s="112">
        <v>181634</v>
      </c>
      <c r="D9" s="112">
        <v>6631</v>
      </c>
      <c r="E9" s="112">
        <v>183305</v>
      </c>
      <c r="F9" s="112">
        <v>6725</v>
      </c>
      <c r="H9" s="356">
        <f t="shared" si="0"/>
        <v>1467</v>
      </c>
      <c r="I9" s="99" t="s">
        <v>363</v>
      </c>
      <c r="J9" s="112"/>
      <c r="K9" s="112">
        <v>3150</v>
      </c>
      <c r="L9" s="112"/>
      <c r="M9" s="112">
        <v>3195</v>
      </c>
    </row>
    <row r="10" spans="1:13" ht="12.75">
      <c r="A10" s="356">
        <f t="shared" si="1"/>
        <v>1404</v>
      </c>
      <c r="B10" s="99" t="s">
        <v>164</v>
      </c>
      <c r="C10" s="112">
        <v>6711</v>
      </c>
      <c r="D10" s="112">
        <v>139</v>
      </c>
      <c r="E10" s="112">
        <v>6773</v>
      </c>
      <c r="F10" s="112">
        <v>141</v>
      </c>
      <c r="H10" s="356">
        <f t="shared" si="0"/>
        <v>1468</v>
      </c>
      <c r="I10" s="99" t="s">
        <v>364</v>
      </c>
      <c r="J10" s="112"/>
      <c r="K10" s="112"/>
      <c r="L10" s="112">
        <v>968</v>
      </c>
      <c r="M10" s="112">
        <v>72</v>
      </c>
    </row>
    <row r="11" spans="1:13" ht="12.75">
      <c r="A11" s="356">
        <f t="shared" si="1"/>
        <v>1405</v>
      </c>
      <c r="B11" s="99" t="s">
        <v>175</v>
      </c>
      <c r="C11" s="112">
        <v>50</v>
      </c>
      <c r="D11" s="112">
        <v>0</v>
      </c>
      <c r="E11" s="112">
        <v>50</v>
      </c>
      <c r="F11" s="112">
        <v>0</v>
      </c>
      <c r="H11" s="356">
        <f t="shared" si="0"/>
        <v>1469</v>
      </c>
      <c r="I11" s="99" t="s">
        <v>365</v>
      </c>
      <c r="J11" s="112"/>
      <c r="K11" s="112"/>
      <c r="L11" s="112">
        <v>3367</v>
      </c>
      <c r="M11" s="112">
        <v>1484</v>
      </c>
    </row>
    <row r="12" spans="1:13" ht="12.75">
      <c r="A12" s="356">
        <f t="shared" si="1"/>
        <v>1406</v>
      </c>
      <c r="B12" s="99" t="s">
        <v>176</v>
      </c>
      <c r="C12" s="112">
        <v>99</v>
      </c>
      <c r="D12" s="112">
        <v>0</v>
      </c>
      <c r="E12" s="112">
        <v>100</v>
      </c>
      <c r="F12" s="112">
        <v>0</v>
      </c>
      <c r="H12" s="356">
        <f t="shared" si="0"/>
        <v>1470</v>
      </c>
      <c r="I12" s="99" t="s">
        <v>367</v>
      </c>
      <c r="J12" s="112"/>
      <c r="K12" s="112"/>
      <c r="L12" s="112">
        <v>19181</v>
      </c>
      <c r="M12" s="112"/>
    </row>
    <row r="13" spans="1:13" ht="12.75">
      <c r="A13" s="356">
        <f t="shared" si="1"/>
        <v>1407</v>
      </c>
      <c r="B13" s="99" t="s">
        <v>177</v>
      </c>
      <c r="C13" s="112">
        <v>148</v>
      </c>
      <c r="D13" s="112">
        <v>0</v>
      </c>
      <c r="E13" s="112">
        <v>149</v>
      </c>
      <c r="F13" s="112">
        <v>0</v>
      </c>
      <c r="H13" s="356">
        <f t="shared" si="0"/>
        <v>1471</v>
      </c>
      <c r="I13" s="99" t="s">
        <v>368</v>
      </c>
      <c r="J13" s="112"/>
      <c r="K13" s="112"/>
      <c r="L13" s="112">
        <v>611.28</v>
      </c>
      <c r="M13" s="112"/>
    </row>
    <row r="14" spans="1:13" ht="12.75">
      <c r="A14" s="356">
        <f t="shared" si="1"/>
        <v>1408</v>
      </c>
      <c r="B14" s="99" t="s">
        <v>178</v>
      </c>
      <c r="C14" s="112">
        <v>197</v>
      </c>
      <c r="D14" s="112">
        <v>0</v>
      </c>
      <c r="E14" s="112">
        <v>199</v>
      </c>
      <c r="F14" s="112">
        <v>0</v>
      </c>
      <c r="H14" s="356">
        <f t="shared" si="0"/>
        <v>1472</v>
      </c>
      <c r="I14" s="99" t="s">
        <v>87</v>
      </c>
      <c r="J14" s="112">
        <v>408.71</v>
      </c>
      <c r="K14" s="112">
        <v>264.8</v>
      </c>
      <c r="L14" s="112">
        <v>412.47</v>
      </c>
      <c r="M14" s="112">
        <v>268.56</v>
      </c>
    </row>
    <row r="15" spans="1:13" ht="12.75">
      <c r="A15" s="356">
        <f t="shared" si="1"/>
        <v>1409</v>
      </c>
      <c r="B15" s="99" t="s">
        <v>179</v>
      </c>
      <c r="C15" s="112">
        <v>120784</v>
      </c>
      <c r="D15" s="112">
        <v>39213</v>
      </c>
      <c r="E15" s="112">
        <v>121895</v>
      </c>
      <c r="F15" s="112">
        <v>39770</v>
      </c>
      <c r="H15" s="356">
        <f t="shared" si="0"/>
        <v>1473</v>
      </c>
      <c r="I15" s="99" t="s">
        <v>137</v>
      </c>
      <c r="J15" s="112">
        <v>1046.79</v>
      </c>
      <c r="K15" s="112">
        <v>67.02</v>
      </c>
      <c r="L15" s="112">
        <v>1056.42</v>
      </c>
      <c r="M15" s="112">
        <v>67.97</v>
      </c>
    </row>
    <row r="16" spans="1:13" ht="12.75">
      <c r="A16" s="356">
        <f t="shared" si="1"/>
        <v>1410</v>
      </c>
      <c r="B16" s="99" t="s">
        <v>180</v>
      </c>
      <c r="C16" s="112">
        <v>73954</v>
      </c>
      <c r="D16" s="112">
        <v>1673</v>
      </c>
      <c r="E16" s="112">
        <v>74634</v>
      </c>
      <c r="F16" s="112">
        <v>1697</v>
      </c>
      <c r="H16" s="356">
        <f t="shared" si="0"/>
        <v>1474</v>
      </c>
      <c r="I16" s="99" t="s">
        <v>138</v>
      </c>
      <c r="J16" s="112">
        <v>35.48</v>
      </c>
      <c r="K16" s="112">
        <v>19.4</v>
      </c>
      <c r="L16" s="112">
        <v>35.81</v>
      </c>
      <c r="M16" s="112">
        <v>19.68</v>
      </c>
    </row>
    <row r="17" spans="1:13" ht="12.75">
      <c r="A17" s="356">
        <f t="shared" si="1"/>
        <v>1411</v>
      </c>
      <c r="B17" s="99" t="s">
        <v>174</v>
      </c>
      <c r="C17" s="112">
        <v>43931</v>
      </c>
      <c r="D17" s="112">
        <v>4141</v>
      </c>
      <c r="E17" s="112">
        <v>44335</v>
      </c>
      <c r="F17" s="112">
        <v>4200</v>
      </c>
      <c r="H17" s="356">
        <f t="shared" si="0"/>
        <v>1475</v>
      </c>
      <c r="I17" s="99" t="s">
        <v>139</v>
      </c>
      <c r="J17" s="112">
        <v>2325.44</v>
      </c>
      <c r="K17" s="112">
        <v>1082.17</v>
      </c>
      <c r="L17" s="112">
        <v>2346.84</v>
      </c>
      <c r="M17" s="112">
        <v>1097.54</v>
      </c>
    </row>
    <row r="18" spans="1:13" ht="12.75">
      <c r="A18" s="356">
        <f t="shared" si="1"/>
        <v>1412</v>
      </c>
      <c r="B18" s="99" t="s">
        <v>173</v>
      </c>
      <c r="C18" s="112">
        <v>9264</v>
      </c>
      <c r="D18" s="112">
        <v>16765</v>
      </c>
      <c r="E18" s="112">
        <v>9349</v>
      </c>
      <c r="F18" s="112">
        <v>17004</v>
      </c>
      <c r="H18" s="356">
        <f t="shared" si="0"/>
        <v>1476</v>
      </c>
      <c r="I18" s="99" t="s">
        <v>140</v>
      </c>
      <c r="J18" s="112">
        <v>586.94</v>
      </c>
      <c r="K18" s="112">
        <v>106.95</v>
      </c>
      <c r="L18" s="112">
        <v>592.34</v>
      </c>
      <c r="M18" s="112">
        <v>108.47</v>
      </c>
    </row>
    <row r="19" spans="1:13" ht="12.75">
      <c r="A19" s="356">
        <f t="shared" si="1"/>
        <v>1413</v>
      </c>
      <c r="B19" s="99" t="s">
        <v>14</v>
      </c>
      <c r="C19" s="112">
        <v>2739.31</v>
      </c>
      <c r="D19" s="112">
        <v>4227.23</v>
      </c>
      <c r="E19" s="112">
        <v>2764.5</v>
      </c>
      <c r="F19" s="112">
        <v>4287.26</v>
      </c>
      <c r="G19" s="14"/>
      <c r="H19" s="356">
        <f t="shared" si="0"/>
        <v>1477</v>
      </c>
      <c r="I19" s="99" t="s">
        <v>88</v>
      </c>
      <c r="J19" s="112">
        <v>174.32</v>
      </c>
      <c r="K19" s="112">
        <v>136.55</v>
      </c>
      <c r="L19" s="112">
        <v>175.92</v>
      </c>
      <c r="M19" s="112">
        <v>138.49</v>
      </c>
    </row>
    <row r="20" spans="1:13" ht="12.75">
      <c r="A20" s="356">
        <f t="shared" si="1"/>
        <v>1414</v>
      </c>
      <c r="B20" s="99" t="s">
        <v>113</v>
      </c>
      <c r="C20" s="112">
        <v>0</v>
      </c>
      <c r="D20" s="112">
        <v>4114.92</v>
      </c>
      <c r="E20" s="112">
        <v>0</v>
      </c>
      <c r="F20" s="112">
        <v>4173.35</v>
      </c>
      <c r="G20" s="14"/>
      <c r="H20" s="356">
        <f t="shared" si="0"/>
        <v>1478</v>
      </c>
      <c r="I20" s="99" t="s">
        <v>89</v>
      </c>
      <c r="J20" s="112">
        <v>17.8</v>
      </c>
      <c r="K20" s="112">
        <v>79.87</v>
      </c>
      <c r="L20" s="112">
        <v>17.96</v>
      </c>
      <c r="M20" s="112">
        <v>81.01</v>
      </c>
    </row>
    <row r="21" spans="1:13" ht="12.75">
      <c r="A21" s="356">
        <f t="shared" si="1"/>
        <v>1415</v>
      </c>
      <c r="B21" s="99" t="s">
        <v>16</v>
      </c>
      <c r="C21" s="112">
        <v>0</v>
      </c>
      <c r="D21" s="112">
        <v>839.19</v>
      </c>
      <c r="E21" s="112">
        <v>0</v>
      </c>
      <c r="F21" s="112">
        <v>851.12</v>
      </c>
      <c r="G21" s="14"/>
      <c r="H21" s="356">
        <f t="shared" si="0"/>
        <v>1479</v>
      </c>
      <c r="I21" s="99" t="s">
        <v>90</v>
      </c>
      <c r="J21" s="112">
        <v>174.32</v>
      </c>
      <c r="K21" s="112">
        <v>196.53</v>
      </c>
      <c r="L21" s="112">
        <v>175.92</v>
      </c>
      <c r="M21" s="112">
        <v>199.31</v>
      </c>
    </row>
    <row r="22" spans="1:13" ht="12.75">
      <c r="A22" s="356">
        <f t="shared" si="1"/>
        <v>1416</v>
      </c>
      <c r="B22" s="99" t="s">
        <v>114</v>
      </c>
      <c r="C22" s="112">
        <v>0</v>
      </c>
      <c r="D22" s="112">
        <v>35086.14</v>
      </c>
      <c r="E22" s="112">
        <v>0</v>
      </c>
      <c r="F22" s="112">
        <v>35584.35</v>
      </c>
      <c r="G22" s="14"/>
      <c r="H22" s="356">
        <f t="shared" si="0"/>
        <v>1480</v>
      </c>
      <c r="I22" s="99" t="s">
        <v>91</v>
      </c>
      <c r="J22" s="112">
        <v>17.8</v>
      </c>
      <c r="K22" s="112">
        <v>100.3</v>
      </c>
      <c r="L22" s="112">
        <v>17.96</v>
      </c>
      <c r="M22" s="112">
        <v>101.72</v>
      </c>
    </row>
    <row r="23" spans="1:13" ht="12.75">
      <c r="A23" s="356">
        <f t="shared" si="1"/>
        <v>1417</v>
      </c>
      <c r="B23" s="99" t="s">
        <v>115</v>
      </c>
      <c r="C23" s="112">
        <v>0</v>
      </c>
      <c r="D23" s="112">
        <v>3794.09</v>
      </c>
      <c r="E23" s="112">
        <v>0</v>
      </c>
      <c r="F23" s="112">
        <v>3847.97</v>
      </c>
      <c r="G23" s="14"/>
      <c r="H23" s="356">
        <f t="shared" si="0"/>
        <v>1481</v>
      </c>
      <c r="I23" s="99" t="s">
        <v>92</v>
      </c>
      <c r="J23" s="112">
        <v>106.07</v>
      </c>
      <c r="K23" s="112">
        <v>111.02</v>
      </c>
      <c r="L23" s="112">
        <v>107.05</v>
      </c>
      <c r="M23" s="112">
        <v>112.6</v>
      </c>
    </row>
    <row r="24" spans="1:13" ht="12.75">
      <c r="A24" s="356">
        <f t="shared" si="1"/>
        <v>1418</v>
      </c>
      <c r="B24" s="99" t="s">
        <v>366</v>
      </c>
      <c r="C24" s="112"/>
      <c r="D24" s="112"/>
      <c r="E24" s="112">
        <v>78147</v>
      </c>
      <c r="F24" s="112">
        <v>108626</v>
      </c>
      <c r="G24" s="14"/>
      <c r="H24" s="356">
        <f t="shared" si="0"/>
        <v>1482</v>
      </c>
      <c r="I24" s="99" t="s">
        <v>93</v>
      </c>
      <c r="J24" s="112">
        <v>106.07</v>
      </c>
      <c r="K24" s="112">
        <v>172.28</v>
      </c>
      <c r="L24" s="112">
        <v>107.05</v>
      </c>
      <c r="M24" s="112">
        <v>174.73</v>
      </c>
    </row>
    <row r="25" spans="1:13" ht="12.75">
      <c r="A25" s="356">
        <f t="shared" si="1"/>
        <v>1419</v>
      </c>
      <c r="B25" s="99" t="s">
        <v>526</v>
      </c>
      <c r="C25" s="326">
        <v>15231</v>
      </c>
      <c r="D25" s="326">
        <v>5548</v>
      </c>
      <c r="E25" s="326">
        <v>15370.67</v>
      </c>
      <c r="F25" s="326">
        <v>5626.76</v>
      </c>
      <c r="G25" s="14"/>
      <c r="H25" s="356">
        <f t="shared" si="0"/>
        <v>1483</v>
      </c>
      <c r="I25" s="99" t="s">
        <v>94</v>
      </c>
      <c r="J25" s="112">
        <v>248.7</v>
      </c>
      <c r="K25" s="112">
        <v>111.02</v>
      </c>
      <c r="L25" s="112">
        <v>250.99</v>
      </c>
      <c r="M25" s="112">
        <v>112.6</v>
      </c>
    </row>
    <row r="26" spans="1:13" ht="12.75">
      <c r="A26" s="356">
        <f t="shared" si="1"/>
        <v>1420</v>
      </c>
      <c r="B26" s="99" t="s">
        <v>527</v>
      </c>
      <c r="C26" s="326">
        <v>806</v>
      </c>
      <c r="D26" s="326">
        <v>417</v>
      </c>
      <c r="E26" s="326">
        <v>813.71</v>
      </c>
      <c r="F26" s="326">
        <v>423.07</v>
      </c>
      <c r="G26" s="14"/>
      <c r="H26" s="356">
        <f t="shared" si="0"/>
        <v>1484</v>
      </c>
      <c r="I26" s="99" t="s">
        <v>95</v>
      </c>
      <c r="J26" s="112">
        <v>248.7</v>
      </c>
      <c r="K26" s="112">
        <v>172.28</v>
      </c>
      <c r="L26" s="112">
        <v>250.99</v>
      </c>
      <c r="M26" s="112">
        <v>174.73</v>
      </c>
    </row>
    <row r="27" spans="1:13" ht="12.75">
      <c r="A27" s="356">
        <f t="shared" si="1"/>
        <v>1421</v>
      </c>
      <c r="B27" s="99" t="s">
        <v>369</v>
      </c>
      <c r="C27" s="112">
        <v>24421.57</v>
      </c>
      <c r="D27" s="112">
        <v>15723.07</v>
      </c>
      <c r="E27" s="112">
        <v>24646.26</v>
      </c>
      <c r="F27" s="112">
        <v>15946.34</v>
      </c>
      <c r="G27" s="14"/>
      <c r="H27" s="356">
        <f t="shared" si="0"/>
        <v>1485</v>
      </c>
      <c r="I27" s="99" t="s">
        <v>96</v>
      </c>
      <c r="J27" s="112">
        <v>17.8</v>
      </c>
      <c r="K27" s="112">
        <v>89.63</v>
      </c>
      <c r="L27" s="112">
        <v>17.96</v>
      </c>
      <c r="M27" s="112">
        <v>90.9</v>
      </c>
    </row>
    <row r="28" spans="1:13" ht="12.75">
      <c r="A28" s="356">
        <f t="shared" si="1"/>
        <v>1422</v>
      </c>
      <c r="B28" s="99" t="s">
        <v>371</v>
      </c>
      <c r="C28" s="112"/>
      <c r="D28" s="112"/>
      <c r="E28" s="112">
        <v>9021</v>
      </c>
      <c r="F28" s="112">
        <v>21277</v>
      </c>
      <c r="G28" s="14"/>
      <c r="H28" s="356">
        <f t="shared" si="0"/>
        <v>1486</v>
      </c>
      <c r="I28" s="99" t="s">
        <v>97</v>
      </c>
      <c r="J28" s="112">
        <v>17.8</v>
      </c>
      <c r="K28" s="112">
        <v>110.04</v>
      </c>
      <c r="L28" s="112">
        <v>17.96</v>
      </c>
      <c r="M28" s="112">
        <v>111.6</v>
      </c>
    </row>
    <row r="29" spans="1:13" ht="12.75">
      <c r="A29" s="356">
        <f t="shared" si="1"/>
        <v>1423</v>
      </c>
      <c r="B29" s="99" t="s">
        <v>370</v>
      </c>
      <c r="C29" s="112">
        <v>31928</v>
      </c>
      <c r="D29" s="112">
        <v>19680</v>
      </c>
      <c r="E29" s="112"/>
      <c r="F29" s="112"/>
      <c r="G29" s="14"/>
      <c r="H29" s="356">
        <f t="shared" si="0"/>
        <v>1487</v>
      </c>
      <c r="I29" s="99" t="s">
        <v>20</v>
      </c>
      <c r="J29" s="112">
        <v>63.74</v>
      </c>
      <c r="K29" s="112">
        <v>9.93</v>
      </c>
      <c r="L29" s="112">
        <v>64.33</v>
      </c>
      <c r="M29" s="112">
        <v>10.07</v>
      </c>
    </row>
    <row r="30" spans="1:13" ht="12.75">
      <c r="A30" s="356">
        <f t="shared" si="1"/>
        <v>1424</v>
      </c>
      <c r="B30" s="99" t="s">
        <v>372</v>
      </c>
      <c r="C30" s="112">
        <v>2418</v>
      </c>
      <c r="D30" s="112"/>
      <c r="E30" s="112">
        <v>12727</v>
      </c>
      <c r="F30" s="112">
        <v>27043</v>
      </c>
      <c r="G30" s="14"/>
      <c r="H30" s="356">
        <f t="shared" si="0"/>
        <v>1488</v>
      </c>
      <c r="I30" s="99" t="s">
        <v>352</v>
      </c>
      <c r="J30" s="127">
        <v>1.028</v>
      </c>
      <c r="K30" s="127">
        <v>0.243</v>
      </c>
      <c r="L30" s="127"/>
      <c r="M30" s="127"/>
    </row>
    <row r="31" spans="1:13" ht="12.75">
      <c r="A31" s="356">
        <f t="shared" si="1"/>
        <v>1425</v>
      </c>
      <c r="B31" s="99" t="s">
        <v>373</v>
      </c>
      <c r="C31" s="112">
        <v>9503</v>
      </c>
      <c r="D31" s="112">
        <v>632</v>
      </c>
      <c r="E31" s="112">
        <v>50846</v>
      </c>
      <c r="F31" s="112">
        <v>50275</v>
      </c>
      <c r="G31" s="14"/>
      <c r="H31" s="356">
        <f t="shared" si="0"/>
        <v>1489</v>
      </c>
      <c r="I31" s="99" t="s">
        <v>353</v>
      </c>
      <c r="J31" s="112">
        <v>176.3</v>
      </c>
      <c r="K31" s="112">
        <v>41.67</v>
      </c>
      <c r="L31" s="112">
        <v>177.92</v>
      </c>
      <c r="M31" s="112">
        <v>42.26</v>
      </c>
    </row>
    <row r="32" spans="1:13" ht="12.75">
      <c r="A32" s="356">
        <f t="shared" si="1"/>
        <v>1426</v>
      </c>
      <c r="B32" s="99" t="s">
        <v>374</v>
      </c>
      <c r="C32" s="112">
        <v>6459</v>
      </c>
      <c r="D32" s="112">
        <v>3800</v>
      </c>
      <c r="E32" s="112">
        <v>6518.86</v>
      </c>
      <c r="F32" s="112">
        <v>3853.63</v>
      </c>
      <c r="G32" s="14"/>
      <c r="H32" s="356">
        <f t="shared" si="0"/>
        <v>1490</v>
      </c>
      <c r="I32" s="99" t="s">
        <v>354</v>
      </c>
      <c r="J32" s="112">
        <v>95.81</v>
      </c>
      <c r="K32" s="112">
        <v>22.65</v>
      </c>
      <c r="L32" s="112">
        <v>96.69</v>
      </c>
      <c r="M32" s="112">
        <v>22.97</v>
      </c>
    </row>
    <row r="33" spans="1:13" ht="12.75">
      <c r="A33" s="356">
        <f t="shared" si="1"/>
        <v>1427</v>
      </c>
      <c r="B33" s="99" t="s">
        <v>375</v>
      </c>
      <c r="C33" s="326">
        <v>19316</v>
      </c>
      <c r="D33" s="326">
        <v>1747</v>
      </c>
      <c r="E33" s="326">
        <v>19493.26</v>
      </c>
      <c r="F33" s="326">
        <v>1771.89</v>
      </c>
      <c r="G33" s="14"/>
      <c r="H33" s="356">
        <f t="shared" si="0"/>
        <v>1491</v>
      </c>
      <c r="I33" s="99" t="s">
        <v>355</v>
      </c>
      <c r="J33" s="112">
        <v>221.02</v>
      </c>
      <c r="K33" s="112">
        <v>52.25</v>
      </c>
      <c r="L33" s="112">
        <v>223.05</v>
      </c>
      <c r="M33" s="112">
        <v>52.99</v>
      </c>
    </row>
    <row r="34" spans="1:13" ht="12.75">
      <c r="A34" s="356">
        <f t="shared" si="1"/>
        <v>1428</v>
      </c>
      <c r="B34" s="99" t="s">
        <v>376</v>
      </c>
      <c r="C34" s="326">
        <v>41246</v>
      </c>
      <c r="D34" s="326">
        <v>25621</v>
      </c>
      <c r="E34" s="326">
        <v>41625.46</v>
      </c>
      <c r="F34" s="326">
        <v>25984.91</v>
      </c>
      <c r="G34" s="14"/>
      <c r="H34" s="356">
        <f t="shared" si="0"/>
        <v>1492</v>
      </c>
      <c r="I34" s="99" t="s">
        <v>356</v>
      </c>
      <c r="J34" s="112">
        <v>440.5</v>
      </c>
      <c r="K34" s="112">
        <v>104.13</v>
      </c>
      <c r="L34" s="112">
        <v>444.55</v>
      </c>
      <c r="M34" s="112">
        <v>105.61</v>
      </c>
    </row>
    <row r="35" spans="1:13" ht="12.75">
      <c r="A35" s="356">
        <f t="shared" si="1"/>
        <v>1429</v>
      </c>
      <c r="B35" s="99" t="s">
        <v>377</v>
      </c>
      <c r="C35" s="326">
        <v>15097</v>
      </c>
      <c r="D35" s="326">
        <v>7358</v>
      </c>
      <c r="E35" s="326">
        <v>15236.15</v>
      </c>
      <c r="F35" s="326">
        <v>7462.13</v>
      </c>
      <c r="G35" s="14"/>
      <c r="H35" s="356">
        <f t="shared" si="0"/>
        <v>1493</v>
      </c>
      <c r="I35" s="99" t="s">
        <v>357</v>
      </c>
      <c r="J35" s="112">
        <v>797.73</v>
      </c>
      <c r="K35" s="112">
        <v>188.57</v>
      </c>
      <c r="L35" s="112">
        <v>805.07</v>
      </c>
      <c r="M35" s="112">
        <v>191.25</v>
      </c>
    </row>
    <row r="36" spans="1:13" ht="12.75">
      <c r="A36" s="356">
        <f t="shared" si="1"/>
        <v>1430</v>
      </c>
      <c r="B36" s="99" t="s">
        <v>378</v>
      </c>
      <c r="C36" s="326">
        <v>540</v>
      </c>
      <c r="D36" s="326">
        <v>2013</v>
      </c>
      <c r="E36" s="326">
        <v>544.67</v>
      </c>
      <c r="F36" s="326">
        <v>2041.91</v>
      </c>
      <c r="G36" s="14"/>
      <c r="H36" s="356">
        <f t="shared" si="0"/>
        <v>1494</v>
      </c>
      <c r="I36" s="99" t="s">
        <v>98</v>
      </c>
      <c r="J36" s="112">
        <v>411.95</v>
      </c>
      <c r="K36" s="112">
        <v>483.36</v>
      </c>
      <c r="L36" s="112">
        <v>415.74</v>
      </c>
      <c r="M36" s="112">
        <v>490.22</v>
      </c>
    </row>
    <row r="37" spans="1:13" ht="12.75">
      <c r="A37" s="356">
        <f t="shared" si="1"/>
        <v>1431</v>
      </c>
      <c r="B37" s="99" t="s">
        <v>379</v>
      </c>
      <c r="C37" s="326">
        <v>1047</v>
      </c>
      <c r="D37" s="326">
        <v>4489</v>
      </c>
      <c r="E37" s="326">
        <v>1056.36</v>
      </c>
      <c r="F37" s="326">
        <v>4552.92</v>
      </c>
      <c r="G37" s="14"/>
      <c r="H37" s="356">
        <f t="shared" si="0"/>
        <v>1495</v>
      </c>
      <c r="I37" s="99" t="s">
        <v>99</v>
      </c>
      <c r="J37" s="112">
        <v>427.84</v>
      </c>
      <c r="K37" s="112">
        <v>531.88</v>
      </c>
      <c r="L37" s="112">
        <v>431.77</v>
      </c>
      <c r="M37" s="112">
        <v>539.44</v>
      </c>
    </row>
    <row r="38" spans="1:13" ht="12.75">
      <c r="A38" s="356">
        <f t="shared" si="1"/>
        <v>1432</v>
      </c>
      <c r="B38" s="99" t="s">
        <v>380</v>
      </c>
      <c r="C38" s="326">
        <v>1305</v>
      </c>
      <c r="D38" s="326">
        <v>6571</v>
      </c>
      <c r="E38" s="326">
        <v>1317.48</v>
      </c>
      <c r="F38" s="326">
        <v>6664.52</v>
      </c>
      <c r="G38" s="14"/>
      <c r="H38" s="356">
        <f t="shared" si="0"/>
        <v>1496</v>
      </c>
      <c r="I38" s="99" t="s">
        <v>100</v>
      </c>
      <c r="J38" s="112">
        <v>38.55</v>
      </c>
      <c r="K38" s="112">
        <v>8.81</v>
      </c>
      <c r="L38" s="112">
        <v>38.91</v>
      </c>
      <c r="M38" s="112">
        <v>8.94</v>
      </c>
    </row>
    <row r="39" spans="1:13" ht="12.75">
      <c r="A39" s="356">
        <f t="shared" si="1"/>
        <v>1433</v>
      </c>
      <c r="B39" s="99" t="s">
        <v>381</v>
      </c>
      <c r="C39" s="326">
        <v>20337</v>
      </c>
      <c r="D39" s="326">
        <v>2147</v>
      </c>
      <c r="E39" s="326">
        <v>20524.56</v>
      </c>
      <c r="F39" s="326">
        <v>2177.55</v>
      </c>
      <c r="G39" s="14"/>
      <c r="H39" s="356">
        <f t="shared" si="0"/>
        <v>1497</v>
      </c>
      <c r="I39" s="99" t="s">
        <v>101</v>
      </c>
      <c r="J39" s="112">
        <v>39.82</v>
      </c>
      <c r="K39" s="112">
        <v>9.02</v>
      </c>
      <c r="L39" s="112">
        <v>40.19</v>
      </c>
      <c r="M39" s="112">
        <v>9.15</v>
      </c>
    </row>
    <row r="40" spans="1:13" ht="12.75">
      <c r="A40" s="356">
        <f t="shared" si="1"/>
        <v>1434</v>
      </c>
      <c r="B40" s="99" t="s">
        <v>382</v>
      </c>
      <c r="C40" s="326">
        <v>42852</v>
      </c>
      <c r="D40" s="326">
        <v>26691</v>
      </c>
      <c r="E40" s="326">
        <v>43246.28</v>
      </c>
      <c r="F40" s="326">
        <v>27069.95</v>
      </c>
      <c r="G40" s="14"/>
      <c r="H40" s="356">
        <f t="shared" si="0"/>
        <v>1498</v>
      </c>
      <c r="I40" s="99" t="s">
        <v>117</v>
      </c>
      <c r="J40" s="112">
        <v>76.38</v>
      </c>
      <c r="K40" s="112">
        <v>37.88</v>
      </c>
      <c r="L40" s="112">
        <v>77.08</v>
      </c>
      <c r="M40" s="112">
        <v>38.41</v>
      </c>
    </row>
    <row r="41" spans="1:13" ht="12.75">
      <c r="A41" s="356">
        <f t="shared" si="1"/>
        <v>1435</v>
      </c>
      <c r="B41" s="99" t="s">
        <v>383</v>
      </c>
      <c r="C41" s="326">
        <v>15936</v>
      </c>
      <c r="D41" s="326">
        <v>7915</v>
      </c>
      <c r="E41" s="326">
        <v>16082.84</v>
      </c>
      <c r="F41" s="326">
        <v>8027.04</v>
      </c>
      <c r="G41" s="14"/>
      <c r="H41" s="356">
        <f t="shared" si="0"/>
        <v>1499</v>
      </c>
      <c r="I41" s="99" t="s">
        <v>118</v>
      </c>
      <c r="J41" s="112">
        <v>79.52</v>
      </c>
      <c r="K41" s="112">
        <v>41.54</v>
      </c>
      <c r="L41" s="112">
        <v>80.25</v>
      </c>
      <c r="M41" s="112">
        <v>42.12</v>
      </c>
    </row>
    <row r="42" spans="1:13" ht="12.75">
      <c r="A42" s="356">
        <f t="shared" si="1"/>
        <v>1436</v>
      </c>
      <c r="B42" s="99" t="s">
        <v>384</v>
      </c>
      <c r="C42" s="326">
        <v>4706</v>
      </c>
      <c r="D42" s="326">
        <v>1208</v>
      </c>
      <c r="E42" s="326">
        <v>4749.02</v>
      </c>
      <c r="F42" s="326">
        <v>1225.64</v>
      </c>
      <c r="G42" s="14"/>
      <c r="H42" s="356">
        <f t="shared" si="0"/>
        <v>1500</v>
      </c>
      <c r="I42" s="99" t="s">
        <v>102</v>
      </c>
      <c r="J42" s="112">
        <v>214.96</v>
      </c>
      <c r="K42" s="112">
        <v>104.06</v>
      </c>
      <c r="L42" s="112">
        <v>216.94</v>
      </c>
      <c r="M42" s="112">
        <v>105.54</v>
      </c>
    </row>
    <row r="43" spans="1:13" ht="12.75">
      <c r="A43" s="356">
        <f t="shared" si="1"/>
        <v>1437</v>
      </c>
      <c r="B43" s="99" t="s">
        <v>385</v>
      </c>
      <c r="C43" s="326">
        <v>59639</v>
      </c>
      <c r="D43" s="326">
        <v>16167</v>
      </c>
      <c r="E43" s="326">
        <v>60187.65</v>
      </c>
      <c r="F43" s="326">
        <v>16396.26</v>
      </c>
      <c r="G43" s="14"/>
      <c r="H43" s="356">
        <f t="shared" si="0"/>
        <v>1501</v>
      </c>
      <c r="I43" s="99" t="s">
        <v>103</v>
      </c>
      <c r="J43" s="112">
        <v>219.11</v>
      </c>
      <c r="K43" s="112">
        <v>110.02</v>
      </c>
      <c r="L43" s="112">
        <v>221.13</v>
      </c>
      <c r="M43" s="112">
        <v>111.58</v>
      </c>
    </row>
    <row r="44" spans="1:13" ht="12.75">
      <c r="A44" s="356">
        <f t="shared" si="1"/>
        <v>1438</v>
      </c>
      <c r="B44" s="99" t="s">
        <v>386</v>
      </c>
      <c r="C44" s="326">
        <v>21919</v>
      </c>
      <c r="D44" s="326">
        <v>5461</v>
      </c>
      <c r="E44" s="326">
        <v>22120.33</v>
      </c>
      <c r="F44" s="326">
        <v>5538.42</v>
      </c>
      <c r="G44" s="14"/>
      <c r="H44" s="356">
        <f t="shared" si="0"/>
        <v>1502</v>
      </c>
      <c r="I44" s="99" t="s">
        <v>144</v>
      </c>
      <c r="J44" s="112">
        <v>489.05</v>
      </c>
      <c r="K44" s="112">
        <v>500.98</v>
      </c>
      <c r="L44" s="112">
        <v>493.55</v>
      </c>
      <c r="M44" s="112">
        <v>508.09</v>
      </c>
    </row>
    <row r="45" spans="1:13" ht="12.75">
      <c r="A45" s="356">
        <f t="shared" si="1"/>
        <v>1439</v>
      </c>
      <c r="B45" s="99" t="s">
        <v>387</v>
      </c>
      <c r="C45" s="326">
        <v>7611</v>
      </c>
      <c r="D45" s="326">
        <v>41282</v>
      </c>
      <c r="E45" s="326">
        <v>7680.73</v>
      </c>
      <c r="F45" s="326">
        <v>41868.51</v>
      </c>
      <c r="G45" s="14"/>
      <c r="H45" s="356">
        <f t="shared" si="0"/>
        <v>1503</v>
      </c>
      <c r="I45" s="99" t="s">
        <v>145</v>
      </c>
      <c r="J45" s="112">
        <v>507.48</v>
      </c>
      <c r="K45" s="112">
        <v>549.93</v>
      </c>
      <c r="L45" s="112">
        <v>512.15</v>
      </c>
      <c r="M45" s="112">
        <v>557.75</v>
      </c>
    </row>
    <row r="46" spans="1:13" ht="12.75">
      <c r="A46" s="356">
        <f t="shared" si="1"/>
        <v>1440</v>
      </c>
      <c r="B46" s="99" t="s">
        <v>388</v>
      </c>
      <c r="C46" s="326">
        <v>1731</v>
      </c>
      <c r="D46" s="326">
        <v>1286</v>
      </c>
      <c r="E46" s="326">
        <v>1747.42</v>
      </c>
      <c r="F46" s="326">
        <v>1304.03</v>
      </c>
      <c r="G46" s="14"/>
      <c r="H46" s="356">
        <f t="shared" si="0"/>
        <v>1504</v>
      </c>
      <c r="I46" s="99" t="s">
        <v>358</v>
      </c>
      <c r="J46" s="112">
        <v>214.96</v>
      </c>
      <c r="K46" s="112">
        <v>104.06</v>
      </c>
      <c r="L46" s="112">
        <v>216.94</v>
      </c>
      <c r="M46" s="112">
        <v>105.54</v>
      </c>
    </row>
    <row r="47" spans="1:13" ht="12.75">
      <c r="A47" s="356">
        <f t="shared" si="1"/>
        <v>1441</v>
      </c>
      <c r="B47" s="99" t="s">
        <v>389</v>
      </c>
      <c r="C47" s="326">
        <v>6249</v>
      </c>
      <c r="D47" s="326">
        <v>33979</v>
      </c>
      <c r="E47" s="326">
        <v>6306.53</v>
      </c>
      <c r="F47" s="326">
        <v>34461.15</v>
      </c>
      <c r="G47" s="14"/>
      <c r="H47" s="356">
        <f aca="true" t="shared" si="2" ref="H47:H69">H46+1</f>
        <v>1505</v>
      </c>
      <c r="I47" s="99" t="s">
        <v>359</v>
      </c>
      <c r="J47" s="112">
        <v>219.11</v>
      </c>
      <c r="K47" s="112">
        <v>110.02</v>
      </c>
      <c r="L47" s="112">
        <v>221.13</v>
      </c>
      <c r="M47" s="112">
        <v>111.58</v>
      </c>
    </row>
    <row r="48" spans="1:13" ht="12.75">
      <c r="A48" s="356">
        <f t="shared" si="1"/>
        <v>1442</v>
      </c>
      <c r="B48" s="99" t="s">
        <v>390</v>
      </c>
      <c r="C48" s="326">
        <v>1138</v>
      </c>
      <c r="D48" s="326">
        <v>1686</v>
      </c>
      <c r="E48" s="326">
        <v>1148.68</v>
      </c>
      <c r="F48" s="326">
        <v>1709.69</v>
      </c>
      <c r="G48" s="14"/>
      <c r="H48" s="356">
        <f t="shared" si="2"/>
        <v>1506</v>
      </c>
      <c r="I48" s="99" t="s">
        <v>119</v>
      </c>
      <c r="J48" s="112">
        <v>214.96</v>
      </c>
      <c r="K48" s="112">
        <v>104.06</v>
      </c>
      <c r="L48" s="112">
        <v>216.94</v>
      </c>
      <c r="M48" s="112">
        <v>105.54</v>
      </c>
    </row>
    <row r="49" spans="1:13" ht="12.75">
      <c r="A49" s="356">
        <f t="shared" si="1"/>
        <v>1443</v>
      </c>
      <c r="B49" s="99" t="s">
        <v>148</v>
      </c>
      <c r="C49" s="112">
        <v>0</v>
      </c>
      <c r="D49" s="112">
        <v>14346</v>
      </c>
      <c r="E49" s="112">
        <v>0</v>
      </c>
      <c r="F49" s="112">
        <v>14550</v>
      </c>
      <c r="G49" s="14"/>
      <c r="H49" s="356">
        <f t="shared" si="2"/>
        <v>1507</v>
      </c>
      <c r="I49" s="99" t="s">
        <v>120</v>
      </c>
      <c r="J49" s="112">
        <v>219.11</v>
      </c>
      <c r="K49" s="112">
        <v>110.02</v>
      </c>
      <c r="L49" s="112">
        <v>221.13</v>
      </c>
      <c r="M49" s="112">
        <v>111.58</v>
      </c>
    </row>
    <row r="50" spans="1:13" ht="12.75">
      <c r="A50" s="356">
        <f t="shared" si="1"/>
        <v>1444</v>
      </c>
      <c r="B50" s="99" t="s">
        <v>149</v>
      </c>
      <c r="C50" s="112">
        <v>0</v>
      </c>
      <c r="D50" s="112">
        <v>12268</v>
      </c>
      <c r="E50" s="112">
        <v>0</v>
      </c>
      <c r="F50" s="112">
        <v>12443.18</v>
      </c>
      <c r="G50" s="14"/>
      <c r="H50" s="356">
        <f t="shared" si="2"/>
        <v>1508</v>
      </c>
      <c r="I50" s="99" t="s">
        <v>104</v>
      </c>
      <c r="J50" s="112">
        <v>9.71</v>
      </c>
      <c r="K50" s="112">
        <v>5.31</v>
      </c>
      <c r="L50" s="112">
        <v>9.8</v>
      </c>
      <c r="M50" s="112">
        <v>5.39</v>
      </c>
    </row>
    <row r="51" spans="1:13" ht="12.75">
      <c r="A51" s="356">
        <f t="shared" si="1"/>
        <v>1445</v>
      </c>
      <c r="B51" s="99" t="s">
        <v>150</v>
      </c>
      <c r="C51" s="112">
        <v>0</v>
      </c>
      <c r="D51" s="112">
        <v>20489</v>
      </c>
      <c r="E51" s="112">
        <v>0</v>
      </c>
      <c r="F51" s="112">
        <v>20780.53</v>
      </c>
      <c r="G51" s="14"/>
      <c r="H51" s="356">
        <f t="shared" si="2"/>
        <v>1509</v>
      </c>
      <c r="I51" s="99" t="s">
        <v>105</v>
      </c>
      <c r="J51" s="112">
        <v>5.94</v>
      </c>
      <c r="K51" s="112">
        <v>2.17</v>
      </c>
      <c r="L51" s="112">
        <v>5.99</v>
      </c>
      <c r="M51" s="112">
        <v>2.2</v>
      </c>
    </row>
    <row r="52" spans="1:13" ht="12.75">
      <c r="A52" s="356">
        <f t="shared" si="1"/>
        <v>1446</v>
      </c>
      <c r="B52" s="99" t="s">
        <v>151</v>
      </c>
      <c r="C52" s="112">
        <v>0</v>
      </c>
      <c r="D52" s="112">
        <v>9815</v>
      </c>
      <c r="E52" s="112">
        <v>0</v>
      </c>
      <c r="F52" s="112">
        <v>9954.33</v>
      </c>
      <c r="G52" s="14"/>
      <c r="H52" s="356">
        <f t="shared" si="2"/>
        <v>1510</v>
      </c>
      <c r="I52" s="99" t="s">
        <v>106</v>
      </c>
      <c r="J52" s="112">
        <v>3.73</v>
      </c>
      <c r="K52" s="112">
        <v>1.36</v>
      </c>
      <c r="L52" s="112">
        <v>3.76</v>
      </c>
      <c r="M52" s="112">
        <v>1.39</v>
      </c>
    </row>
    <row r="53" spans="1:13" ht="12.75">
      <c r="A53" s="356">
        <f t="shared" si="1"/>
        <v>1447</v>
      </c>
      <c r="B53" s="99" t="s">
        <v>152</v>
      </c>
      <c r="C53" s="112">
        <v>0</v>
      </c>
      <c r="D53" s="112">
        <v>15458.64</v>
      </c>
      <c r="E53" s="112">
        <v>0</v>
      </c>
      <c r="F53" s="112">
        <v>15678.15</v>
      </c>
      <c r="G53" s="14"/>
      <c r="H53" s="356">
        <f t="shared" si="2"/>
        <v>1511</v>
      </c>
      <c r="I53" s="99" t="s">
        <v>107</v>
      </c>
      <c r="J53" s="112">
        <v>9.27</v>
      </c>
      <c r="K53" s="112">
        <v>3.39</v>
      </c>
      <c r="L53" s="112">
        <v>9.36</v>
      </c>
      <c r="M53" s="112">
        <v>3.44</v>
      </c>
    </row>
    <row r="54" spans="1:13" ht="12.75">
      <c r="A54" s="356">
        <f t="shared" si="1"/>
        <v>1448</v>
      </c>
      <c r="B54" s="99" t="s">
        <v>200</v>
      </c>
      <c r="C54" s="112">
        <v>0</v>
      </c>
      <c r="D54" s="112">
        <v>11979.9</v>
      </c>
      <c r="E54" s="112">
        <v>0</v>
      </c>
      <c r="F54" s="112">
        <v>12150.01</v>
      </c>
      <c r="G54" s="14"/>
      <c r="H54" s="356">
        <f t="shared" si="2"/>
        <v>1512</v>
      </c>
      <c r="I54" s="99" t="s">
        <v>108</v>
      </c>
      <c r="J54" s="112">
        <v>0.63</v>
      </c>
      <c r="K54" s="127">
        <v>0.561</v>
      </c>
      <c r="L54" s="112">
        <v>0.65</v>
      </c>
      <c r="M54" s="127">
        <v>0.58</v>
      </c>
    </row>
    <row r="55" spans="1:13" ht="12.75">
      <c r="A55" s="356">
        <f t="shared" si="1"/>
        <v>1449</v>
      </c>
      <c r="B55" s="99" t="s">
        <v>201</v>
      </c>
      <c r="C55" s="112">
        <v>0</v>
      </c>
      <c r="D55" s="112">
        <v>9664.46</v>
      </c>
      <c r="E55" s="112">
        <v>0</v>
      </c>
      <c r="F55" s="112">
        <v>9801.7</v>
      </c>
      <c r="G55" s="14"/>
      <c r="H55" s="356">
        <f t="shared" si="2"/>
        <v>1513</v>
      </c>
      <c r="I55" s="99" t="s">
        <v>109</v>
      </c>
      <c r="J55" s="112">
        <v>7.03</v>
      </c>
      <c r="K55" s="112">
        <v>1.97</v>
      </c>
      <c r="L55" s="112">
        <v>7.09</v>
      </c>
      <c r="M55" s="112">
        <v>2</v>
      </c>
    </row>
    <row r="56" spans="1:13" ht="12.75">
      <c r="A56" s="356">
        <f t="shared" si="1"/>
        <v>1450</v>
      </c>
      <c r="B56" s="99" t="s">
        <v>146</v>
      </c>
      <c r="C56" s="112">
        <v>9736</v>
      </c>
      <c r="D56" s="112">
        <v>5392</v>
      </c>
      <c r="E56" s="112">
        <v>9825.61</v>
      </c>
      <c r="F56" s="112">
        <v>5469.32</v>
      </c>
      <c r="G56" s="14"/>
      <c r="H56" s="356">
        <f t="shared" si="2"/>
        <v>1514</v>
      </c>
      <c r="I56" s="99" t="s">
        <v>142</v>
      </c>
      <c r="J56" s="112">
        <v>238.13</v>
      </c>
      <c r="K56" s="112">
        <v>200.43</v>
      </c>
      <c r="L56" s="112">
        <v>240.32</v>
      </c>
      <c r="M56" s="112">
        <v>203.28</v>
      </c>
    </row>
    <row r="57" spans="1:13" ht="12.75">
      <c r="A57" s="356">
        <f>A56+1</f>
        <v>1451</v>
      </c>
      <c r="B57" s="99" t="s">
        <v>146</v>
      </c>
      <c r="C57" s="330">
        <v>3062</v>
      </c>
      <c r="D57" s="330">
        <v>1864</v>
      </c>
      <c r="E57" s="112">
        <v>3089.96</v>
      </c>
      <c r="F57" s="112">
        <v>1890.1</v>
      </c>
      <c r="G57" s="14"/>
      <c r="H57" s="356">
        <f t="shared" si="2"/>
        <v>1515</v>
      </c>
      <c r="I57" s="99" t="s">
        <v>143</v>
      </c>
      <c r="J57" s="112">
        <v>202.47</v>
      </c>
      <c r="K57" s="112">
        <v>632.13</v>
      </c>
      <c r="L57" s="112">
        <v>204.33</v>
      </c>
      <c r="M57" s="112">
        <v>641.11</v>
      </c>
    </row>
    <row r="58" spans="1:13" ht="12.75">
      <c r="A58" s="356">
        <f>A57+1</f>
        <v>1452</v>
      </c>
      <c r="B58" s="99" t="s">
        <v>147</v>
      </c>
      <c r="C58" s="112">
        <v>651.77</v>
      </c>
      <c r="D58" s="112">
        <v>67.99</v>
      </c>
      <c r="E58" s="112">
        <v>859</v>
      </c>
      <c r="F58" s="112">
        <v>91</v>
      </c>
      <c r="G58" s="14"/>
      <c r="H58" s="356">
        <f t="shared" si="2"/>
        <v>1516</v>
      </c>
      <c r="I58" s="99" t="s">
        <v>110</v>
      </c>
      <c r="J58" s="128">
        <v>0.413</v>
      </c>
      <c r="K58" s="128">
        <v>0.085</v>
      </c>
      <c r="L58" s="128">
        <v>0.413</v>
      </c>
      <c r="M58" s="128">
        <v>0.085</v>
      </c>
    </row>
    <row r="59" spans="1:13" ht="12.75">
      <c r="A59" s="356">
        <f t="shared" si="1"/>
        <v>1453</v>
      </c>
      <c r="B59" s="99" t="s">
        <v>360</v>
      </c>
      <c r="C59" s="112"/>
      <c r="D59" s="112"/>
      <c r="E59" s="112">
        <v>8510</v>
      </c>
      <c r="F59" s="112">
        <v>12624</v>
      </c>
      <c r="G59" s="14"/>
      <c r="H59" s="356">
        <f t="shared" si="2"/>
        <v>1517</v>
      </c>
      <c r="I59" s="99" t="s">
        <v>111</v>
      </c>
      <c r="J59" s="128">
        <v>0.464</v>
      </c>
      <c r="K59" s="128">
        <v>0.108</v>
      </c>
      <c r="L59" s="128">
        <v>0.464</v>
      </c>
      <c r="M59" s="128">
        <v>0.108</v>
      </c>
    </row>
    <row r="60" spans="1:13" ht="12.75">
      <c r="A60" s="356">
        <f t="shared" si="1"/>
        <v>1454</v>
      </c>
      <c r="B60" s="99" t="s">
        <v>116</v>
      </c>
      <c r="C60" s="112">
        <v>0</v>
      </c>
      <c r="D60" s="112">
        <v>4805.31</v>
      </c>
      <c r="E60" s="112">
        <v>0</v>
      </c>
      <c r="F60" s="112">
        <v>4873.54</v>
      </c>
      <c r="G60" s="14"/>
      <c r="H60" s="356">
        <f t="shared" si="2"/>
        <v>1518</v>
      </c>
      <c r="I60" s="99" t="s">
        <v>133</v>
      </c>
      <c r="J60" s="128">
        <v>0.849</v>
      </c>
      <c r="K60" s="128">
        <v>0.17</v>
      </c>
      <c r="L60" s="128">
        <v>0.849</v>
      </c>
      <c r="M60" s="128">
        <v>0.17</v>
      </c>
    </row>
    <row r="61" spans="1:13" ht="12.75">
      <c r="A61" s="356">
        <f t="shared" si="1"/>
        <v>1455</v>
      </c>
      <c r="B61" s="99" t="s">
        <v>79</v>
      </c>
      <c r="C61" s="112">
        <v>0</v>
      </c>
      <c r="D61" s="112">
        <v>2967.47</v>
      </c>
      <c r="E61" s="112">
        <v>0</v>
      </c>
      <c r="F61" s="112">
        <v>3009.61</v>
      </c>
      <c r="G61" s="14"/>
      <c r="H61" s="356">
        <f t="shared" si="2"/>
        <v>1519</v>
      </c>
      <c r="I61" s="99" t="s">
        <v>112</v>
      </c>
      <c r="J61" s="128">
        <v>0.849</v>
      </c>
      <c r="K61" s="128">
        <v>0.17</v>
      </c>
      <c r="L61" s="128">
        <v>0.849</v>
      </c>
      <c r="M61" s="128">
        <v>0.17</v>
      </c>
    </row>
    <row r="62" spans="1:13" ht="12.75">
      <c r="A62" s="356">
        <f t="shared" si="1"/>
        <v>1456</v>
      </c>
      <c r="B62" s="99" t="s">
        <v>361</v>
      </c>
      <c r="C62" s="112"/>
      <c r="D62" s="112"/>
      <c r="E62" s="112">
        <v>14260</v>
      </c>
      <c r="F62" s="112">
        <v>5953</v>
      </c>
      <c r="G62" s="14"/>
      <c r="H62" s="356">
        <f t="shared" si="2"/>
        <v>1520</v>
      </c>
      <c r="I62" s="99" t="s">
        <v>488</v>
      </c>
      <c r="J62" s="99"/>
      <c r="K62" s="99"/>
      <c r="L62" s="99"/>
      <c r="M62" s="161">
        <v>38477</v>
      </c>
    </row>
    <row r="63" spans="1:13" ht="12.75">
      <c r="A63" s="356">
        <f t="shared" si="1"/>
        <v>1457</v>
      </c>
      <c r="B63" s="99" t="s">
        <v>362</v>
      </c>
      <c r="C63" s="112"/>
      <c r="D63" s="112"/>
      <c r="E63" s="112">
        <v>20242</v>
      </c>
      <c r="F63" s="112">
        <v>7686</v>
      </c>
      <c r="G63" s="14"/>
      <c r="H63" s="356">
        <f t="shared" si="2"/>
        <v>1521</v>
      </c>
      <c r="I63" s="99" t="s">
        <v>489</v>
      </c>
      <c r="J63" s="99"/>
      <c r="K63" s="99"/>
      <c r="L63" s="99"/>
      <c r="M63" s="161">
        <v>33442</v>
      </c>
    </row>
    <row r="64" spans="1:13" ht="12.75">
      <c r="A64" s="356">
        <f t="shared" si="1"/>
        <v>1458</v>
      </c>
      <c r="B64" s="99" t="s">
        <v>417</v>
      </c>
      <c r="C64" s="112">
        <v>323.96</v>
      </c>
      <c r="D64" s="112">
        <v>53.87</v>
      </c>
      <c r="E64" s="112">
        <v>326.94</v>
      </c>
      <c r="F64" s="112">
        <v>54.63</v>
      </c>
      <c r="G64" s="14"/>
      <c r="H64" s="356">
        <f t="shared" si="2"/>
        <v>1522</v>
      </c>
      <c r="I64" s="99" t="s">
        <v>493</v>
      </c>
      <c r="J64" s="99">
        <v>60279</v>
      </c>
      <c r="K64" s="99"/>
      <c r="L64" s="99">
        <v>60834</v>
      </c>
      <c r="M64" s="161"/>
    </row>
    <row r="65" spans="1:13" ht="12.75">
      <c r="A65" s="356">
        <f t="shared" si="1"/>
        <v>1459</v>
      </c>
      <c r="B65" s="99" t="s">
        <v>418</v>
      </c>
      <c r="C65" s="112">
        <v>1037.72</v>
      </c>
      <c r="D65" s="112">
        <v>171.34</v>
      </c>
      <c r="E65" s="112">
        <v>1047.27</v>
      </c>
      <c r="F65" s="112">
        <v>173.78</v>
      </c>
      <c r="G65" s="14"/>
      <c r="H65" s="356">
        <f t="shared" si="2"/>
        <v>1523</v>
      </c>
      <c r="I65" s="99" t="s">
        <v>494</v>
      </c>
      <c r="J65" s="99">
        <v>42195</v>
      </c>
      <c r="K65" s="99"/>
      <c r="L65" s="99">
        <v>42584</v>
      </c>
      <c r="M65" s="161"/>
    </row>
    <row r="66" spans="1:13" ht="12.75">
      <c r="A66" s="356">
        <f t="shared" si="1"/>
        <v>1460</v>
      </c>
      <c r="B66" s="99" t="s">
        <v>419</v>
      </c>
      <c r="C66" s="112">
        <v>1777.93</v>
      </c>
      <c r="D66" s="112">
        <v>293.45</v>
      </c>
      <c r="E66" s="112">
        <v>1794.29</v>
      </c>
      <c r="F66" s="112">
        <v>297.62</v>
      </c>
      <c r="G66" s="14"/>
      <c r="H66" s="356">
        <f t="shared" si="2"/>
        <v>1524</v>
      </c>
      <c r="I66" s="99" t="s">
        <v>495</v>
      </c>
      <c r="J66" s="99">
        <v>18084</v>
      </c>
      <c r="K66" s="99"/>
      <c r="L66" s="99">
        <v>18250</v>
      </c>
      <c r="M66" s="161"/>
    </row>
    <row r="67" spans="1:13" ht="12.75">
      <c r="A67" s="356">
        <f t="shared" si="1"/>
        <v>1461</v>
      </c>
      <c r="B67" s="99" t="s">
        <v>420</v>
      </c>
      <c r="C67" s="112">
        <v>2986.75</v>
      </c>
      <c r="D67" s="112">
        <v>492.51</v>
      </c>
      <c r="E67" s="112">
        <v>3014.23</v>
      </c>
      <c r="F67" s="112">
        <v>499.5</v>
      </c>
      <c r="G67" s="14"/>
      <c r="H67" s="356">
        <f t="shared" si="2"/>
        <v>1525</v>
      </c>
      <c r="I67" s="99" t="s">
        <v>485</v>
      </c>
      <c r="J67" s="99"/>
      <c r="K67" s="99"/>
      <c r="L67" s="99">
        <v>145000</v>
      </c>
      <c r="M67" s="99"/>
    </row>
    <row r="68" spans="1:13" ht="12.75">
      <c r="A68" s="356">
        <f t="shared" si="1"/>
        <v>1462</v>
      </c>
      <c r="B68" s="99" t="s">
        <v>421</v>
      </c>
      <c r="C68" s="112">
        <v>157.56</v>
      </c>
      <c r="D68" s="112">
        <v>26.16</v>
      </c>
      <c r="E68" s="112">
        <v>159.02</v>
      </c>
      <c r="F68" s="112">
        <v>26.53</v>
      </c>
      <c r="G68" s="14"/>
      <c r="H68" s="356">
        <f t="shared" si="2"/>
        <v>1526</v>
      </c>
      <c r="I68" s="99" t="s">
        <v>486</v>
      </c>
      <c r="J68" s="99"/>
      <c r="K68" s="99"/>
      <c r="L68" s="99">
        <v>135000</v>
      </c>
      <c r="M68" s="99"/>
    </row>
    <row r="69" spans="1:13" ht="12.75">
      <c r="A69" s="356">
        <f t="shared" si="1"/>
        <v>1463</v>
      </c>
      <c r="B69" s="99" t="s">
        <v>422</v>
      </c>
      <c r="C69" s="112">
        <v>269.45</v>
      </c>
      <c r="D69" s="112">
        <v>39.51</v>
      </c>
      <c r="E69" s="112">
        <v>271.93</v>
      </c>
      <c r="F69" s="112">
        <v>40.07</v>
      </c>
      <c r="G69" s="14"/>
      <c r="H69" s="356">
        <f t="shared" si="2"/>
        <v>1527</v>
      </c>
      <c r="I69" s="99" t="s">
        <v>487</v>
      </c>
      <c r="J69" s="99"/>
      <c r="K69" s="99"/>
      <c r="L69" s="99">
        <v>108000</v>
      </c>
      <c r="M69" s="99"/>
    </row>
    <row r="70" spans="1:14" ht="12.75">
      <c r="A70" s="356">
        <f t="shared" si="1"/>
        <v>1464</v>
      </c>
      <c r="B70" s="99" t="s">
        <v>423</v>
      </c>
      <c r="C70" s="112">
        <v>548.55</v>
      </c>
      <c r="D70" s="112">
        <v>90.29</v>
      </c>
      <c r="E70" s="112">
        <v>553.59</v>
      </c>
      <c r="F70" s="112">
        <v>91.57</v>
      </c>
      <c r="G70" s="14"/>
      <c r="N70" s="7">
        <f>Blad13!Q55+1</f>
        <v>14</v>
      </c>
    </row>
    <row r="71" spans="8:11" ht="12.75">
      <c r="H71" s="14"/>
      <c r="J71" s="14"/>
      <c r="K71" s="14"/>
    </row>
    <row r="72" spans="7:11" ht="12.75">
      <c r="G72" s="14"/>
      <c r="H72" s="14"/>
      <c r="J72" s="14"/>
      <c r="K72" s="14"/>
    </row>
    <row r="73" spans="7:11" ht="12.75">
      <c r="G73" s="14"/>
      <c r="H73" s="14"/>
      <c r="J73" s="14"/>
      <c r="K73" s="14"/>
    </row>
    <row r="74" spans="7:11" ht="12.75">
      <c r="G74" s="14"/>
      <c r="H74" s="14"/>
      <c r="J74" s="14"/>
      <c r="K74" s="14"/>
    </row>
    <row r="75" spans="7:11" ht="12.75">
      <c r="G75" s="14"/>
      <c r="H75" s="14"/>
      <c r="J75" s="14"/>
      <c r="K75" s="14"/>
    </row>
    <row r="76" spans="7:11" ht="12.75">
      <c r="G76" s="14"/>
      <c r="H76" s="14"/>
      <c r="J76" s="14"/>
      <c r="K76" s="14"/>
    </row>
    <row r="77" spans="7:11" ht="12.75">
      <c r="G77" s="14"/>
      <c r="H77" s="14"/>
      <c r="J77" s="14"/>
      <c r="K77" s="14"/>
    </row>
    <row r="78" spans="7:11" ht="12.75">
      <c r="G78" s="14"/>
      <c r="H78" s="14"/>
      <c r="J78" s="14"/>
      <c r="K78" s="14"/>
    </row>
    <row r="79" spans="7:11" ht="12.75">
      <c r="G79" s="14"/>
      <c r="H79" s="14"/>
      <c r="J79" s="14"/>
      <c r="K79" s="14"/>
    </row>
    <row r="80" spans="7:11" ht="12.75">
      <c r="G80" s="14"/>
      <c r="H80" s="14"/>
      <c r="J80" s="14"/>
      <c r="K80" s="14"/>
    </row>
    <row r="81" spans="7:11" ht="12.75">
      <c r="G81" s="14"/>
      <c r="H81" s="14"/>
      <c r="J81" s="14"/>
      <c r="K81" s="14"/>
    </row>
    <row r="82" spans="7:11" ht="12.75">
      <c r="G82" s="14"/>
      <c r="H82" s="14"/>
      <c r="J82" s="14"/>
      <c r="K82" s="14"/>
    </row>
    <row r="83" spans="7:11" ht="12.75">
      <c r="G83" s="14"/>
      <c r="H83" s="14"/>
      <c r="J83" s="14"/>
      <c r="K83" s="14"/>
    </row>
    <row r="84" spans="7:11" ht="12.75">
      <c r="G84" s="14"/>
      <c r="H84" s="14"/>
      <c r="J84" s="14"/>
      <c r="K84" s="14"/>
    </row>
    <row r="85" spans="7:11" ht="12.75">
      <c r="G85" s="14"/>
      <c r="H85" s="14"/>
      <c r="J85" s="14"/>
      <c r="K85" s="14"/>
    </row>
    <row r="86" spans="7:11" ht="12.75">
      <c r="G86" s="14"/>
      <c r="H86" s="14"/>
      <c r="J86" s="14"/>
      <c r="K86" s="14"/>
    </row>
    <row r="87" spans="7:11" ht="12.75">
      <c r="G87" s="14"/>
      <c r="H87" s="14"/>
      <c r="J87" s="14"/>
      <c r="K87" s="14"/>
    </row>
    <row r="88" spans="7:11" ht="12.75">
      <c r="G88" s="14"/>
      <c r="H88" s="14"/>
      <c r="J88" s="14"/>
      <c r="K88" s="14"/>
    </row>
    <row r="89" spans="7:11" ht="12.75">
      <c r="G89" s="14"/>
      <c r="H89" s="14"/>
      <c r="J89" s="14"/>
      <c r="K89" s="14"/>
    </row>
    <row r="90" spans="7:11" ht="12.75">
      <c r="G90" s="14"/>
      <c r="H90" s="14"/>
      <c r="I90" s="14"/>
      <c r="J90" s="14"/>
      <c r="K90" s="14"/>
    </row>
    <row r="91" spans="7:11" ht="12.75">
      <c r="G91" s="14"/>
      <c r="H91" s="14"/>
      <c r="I91" s="14"/>
      <c r="J91" s="14"/>
      <c r="K91" s="14"/>
    </row>
    <row r="92" spans="7:10" ht="12.75">
      <c r="G92" s="14"/>
      <c r="J92" s="14"/>
    </row>
    <row r="93" spans="7:9" ht="12.75">
      <c r="G93" s="14"/>
      <c r="I93" s="14"/>
    </row>
    <row r="94" spans="7:9" ht="12.75">
      <c r="G94" s="34"/>
      <c r="I94" s="14"/>
    </row>
    <row r="95" spans="7:9" ht="12.75">
      <c r="G95" s="34"/>
      <c r="I95" s="14"/>
    </row>
    <row r="96" spans="7:9" ht="12.75">
      <c r="G96" s="34"/>
      <c r="I96" s="14"/>
    </row>
    <row r="97" spans="7:9" ht="12.75">
      <c r="G97" s="34"/>
      <c r="I97" s="14"/>
    </row>
    <row r="98" spans="7:9" ht="12.75">
      <c r="G98" s="34"/>
      <c r="I98" s="14"/>
    </row>
    <row r="99" spans="7:9" ht="12.75">
      <c r="G99" s="34"/>
      <c r="I99" s="14"/>
    </row>
    <row r="100" ht="12.75">
      <c r="I100" s="14"/>
    </row>
    <row r="101" spans="7:9" ht="12.75">
      <c r="G101" s="33">
        <f>483.359196+48.525045</f>
        <v>531.884241</v>
      </c>
      <c r="I101" s="14"/>
    </row>
    <row r="102" spans="7:11" ht="12.75">
      <c r="G102" s="14"/>
      <c r="H102" s="14"/>
      <c r="J102" s="14"/>
      <c r="K102" s="14"/>
    </row>
    <row r="103" spans="7:11" ht="12.75">
      <c r="G103" s="30">
        <f>8.808719+0.21585</f>
        <v>9.024569</v>
      </c>
      <c r="H103" s="14"/>
      <c r="K103" s="14"/>
    </row>
    <row r="104" spans="7:11" ht="12.75">
      <c r="G104" s="14"/>
      <c r="H104" s="14"/>
      <c r="J104" s="14"/>
      <c r="K104" s="14"/>
    </row>
    <row r="105" spans="7:11" ht="12.75">
      <c r="G105" s="31">
        <f>37.876465+3.659165</f>
        <v>41.535630000000005</v>
      </c>
      <c r="H105" s="14"/>
      <c r="J105" s="14"/>
      <c r="K105" s="14"/>
    </row>
    <row r="106" spans="7:11" ht="12.75">
      <c r="G106" s="14"/>
      <c r="H106" s="14"/>
      <c r="I106" s="14"/>
      <c r="J106" s="14"/>
      <c r="K106" s="14"/>
    </row>
    <row r="107" spans="7:11" ht="12.75">
      <c r="G107" s="32">
        <f>104.060062+5.96156</f>
        <v>110.02162200000001</v>
      </c>
      <c r="H107" s="14"/>
      <c r="I107" s="14"/>
      <c r="J107" s="14"/>
      <c r="K107" s="14"/>
    </row>
    <row r="108" spans="7:11" ht="12.75">
      <c r="G108" s="14"/>
      <c r="H108" s="14"/>
      <c r="I108" s="14"/>
      <c r="J108" s="14"/>
      <c r="K108" s="14"/>
    </row>
    <row r="109" spans="7:11" ht="12.75">
      <c r="G109" s="32">
        <f>500.976634+48.956744</f>
        <v>549.933378</v>
      </c>
      <c r="H109" s="14"/>
      <c r="I109" s="14"/>
      <c r="J109" s="14"/>
      <c r="K109" s="14"/>
    </row>
    <row r="110" spans="7:11" ht="12.75">
      <c r="G110" s="14"/>
      <c r="H110" s="14"/>
      <c r="I110" s="14"/>
      <c r="J110" s="14"/>
      <c r="K110" s="14"/>
    </row>
    <row r="111" spans="7:11" ht="12.75">
      <c r="G111" s="32">
        <f>104.060062+5.96156</f>
        <v>110.02162200000001</v>
      </c>
      <c r="H111" s="14"/>
      <c r="I111" s="14"/>
      <c r="J111" s="14"/>
      <c r="K111" s="14"/>
    </row>
    <row r="112" spans="7:11" ht="12.75">
      <c r="G112" s="14"/>
      <c r="H112" s="14"/>
      <c r="I112" s="14"/>
      <c r="J112" s="14"/>
      <c r="K112" s="14"/>
    </row>
    <row r="113" spans="7:11" ht="12.75">
      <c r="G113" s="32">
        <f>104.060062+5.96156</f>
        <v>110.02162200000001</v>
      </c>
      <c r="H113" s="14"/>
      <c r="I113" s="14"/>
      <c r="J113" s="14"/>
      <c r="K113" s="14"/>
    </row>
    <row r="114" spans="7:11" ht="12.75">
      <c r="G114" s="14"/>
      <c r="H114" s="14"/>
      <c r="I114" s="14"/>
      <c r="J114" s="14"/>
      <c r="K114" s="14"/>
    </row>
    <row r="115" spans="7:11" ht="12.75">
      <c r="G115" s="14"/>
      <c r="H115" s="14"/>
      <c r="I115" s="14"/>
      <c r="J115" s="14"/>
      <c r="K115" s="14"/>
    </row>
    <row r="116" spans="7:11" ht="12.75">
      <c r="G116" s="14"/>
      <c r="H116" s="14"/>
      <c r="I116" s="14"/>
      <c r="J116" s="14"/>
      <c r="K116" s="14"/>
    </row>
    <row r="117" spans="7:11" ht="12.75">
      <c r="G117" s="14"/>
      <c r="H117" s="14"/>
      <c r="I117" s="14"/>
      <c r="J117" s="14"/>
      <c r="K117" s="14"/>
    </row>
    <row r="135" ht="12.75">
      <c r="B135" s="11"/>
    </row>
  </sheetData>
  <sheetProtection password="CCBC" sheet="1" objects="1" scenarios="1"/>
  <mergeCells count="8">
    <mergeCell ref="E3:F3"/>
    <mergeCell ref="C3:D3"/>
    <mergeCell ref="C2:D2"/>
    <mergeCell ref="E2:F2"/>
    <mergeCell ref="J2:K2"/>
    <mergeCell ref="L2:M2"/>
    <mergeCell ref="J3:K3"/>
    <mergeCell ref="L3:M3"/>
  </mergeCells>
  <printOptions/>
  <pageMargins left="0.75" right="0.75" top="1" bottom="1" header="0.5" footer="0.5"/>
  <pageSetup fitToHeight="1" fitToWidth="1" horizontalDpi="600" verticalDpi="600" orientation="landscape" paperSize="9" scale="50" r:id="rId1"/>
  <headerFooter alignWithMargins="0">
    <oddHeader>&amp;L&amp;"Arial,Vet"Bijlage 1 bij circulaire JHYM/xxxx/CI/06/xxc</oddHeader>
  </headerFooter>
  <colBreaks count="2" manualBreakCount="2">
    <brk id="7" max="69" man="1"/>
    <brk id="14" max="7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G90"/>
  <sheetViews>
    <sheetView showGridLines="0" showRowColHeaders="0" showZeros="0" showOutlineSymbols="0" view="pageBreakPreview" zoomScale="75" zoomScaleSheetLayoutView="75" workbookViewId="0" topLeftCell="A1">
      <selection activeCell="C13" sqref="C13"/>
    </sheetView>
  </sheetViews>
  <sheetFormatPr defaultColWidth="9.140625" defaultRowHeight="12.75"/>
  <cols>
    <col min="1" max="1" width="5.8515625" style="0" bestFit="1" customWidth="1"/>
    <col min="2" max="2" width="74.00390625" style="0" customWidth="1"/>
    <col min="3" max="5" width="9.28125" style="0" bestFit="1" customWidth="1"/>
  </cols>
  <sheetData>
    <row r="1" ht="12.75">
      <c r="B1" s="2" t="s">
        <v>555</v>
      </c>
    </row>
    <row r="2" spans="1:6" ht="12.75">
      <c r="A2" s="154"/>
      <c r="B2" s="233" t="str">
        <f>CONCATENATE("Voorlopige budgetaanpassingen / Opbrengstverrekening ",Blad1!B3-1)</f>
        <v>Voorlopige budgetaanpassingen / Opbrengstverrekening 2005</v>
      </c>
      <c r="C2" s="232"/>
      <c r="D2" s="232"/>
      <c r="E2" s="232"/>
      <c r="F2" s="232"/>
    </row>
    <row r="3" spans="1:6" ht="12.75">
      <c r="A3" s="232"/>
      <c r="B3" s="26" t="b">
        <f>Blad1!A25</f>
        <v>1</v>
      </c>
      <c r="C3" s="232"/>
      <c r="D3" s="232"/>
      <c r="E3" s="232"/>
      <c r="F3" s="232"/>
    </row>
    <row r="4" spans="1:6" ht="12.75">
      <c r="A4" s="232"/>
      <c r="B4" s="327" t="s">
        <v>524</v>
      </c>
      <c r="C4" s="232"/>
      <c r="D4" s="232"/>
      <c r="E4" s="232"/>
      <c r="F4" s="232"/>
    </row>
    <row r="5" spans="1:6" ht="12.75">
      <c r="A5" s="232"/>
      <c r="B5" s="232"/>
      <c r="C5" s="232"/>
      <c r="D5" s="232"/>
      <c r="E5" s="232"/>
      <c r="F5" s="232"/>
    </row>
    <row r="6" spans="1:6" ht="12.75">
      <c r="A6" s="232"/>
      <c r="B6" s="232" t="s">
        <v>278</v>
      </c>
      <c r="C6" s="232"/>
      <c r="D6" s="232"/>
      <c r="E6" s="232"/>
      <c r="F6" s="232"/>
    </row>
    <row r="7" spans="1:6" ht="12.75">
      <c r="A7" s="232"/>
      <c r="B7" s="232" t="s">
        <v>279</v>
      </c>
      <c r="C7" s="232"/>
      <c r="D7" s="232"/>
      <c r="E7" s="232"/>
      <c r="F7" s="232"/>
    </row>
    <row r="8" spans="1:7" ht="12.75">
      <c r="A8" s="232"/>
      <c r="B8" s="241" t="str">
        <f>CONCATENATE("vooruitlopend op de reguliere overeenkomst inzake de nacalculatie ",Blad1!B3-1,", in de tarieven verrekend zullen worden.")</f>
        <v>vooruitlopend op de reguliere overeenkomst inzake de nacalculatie 2005, in de tarieven verrekend zullen worden.</v>
      </c>
      <c r="C8" s="232"/>
      <c r="D8" s="232"/>
      <c r="E8" s="232"/>
      <c r="F8" s="232"/>
      <c r="G8" s="19"/>
    </row>
    <row r="9" spans="1:6" ht="12.75">
      <c r="A9" s="232"/>
      <c r="B9" s="241"/>
      <c r="C9" s="232"/>
      <c r="D9" s="232"/>
      <c r="E9" s="232"/>
      <c r="F9" s="232"/>
    </row>
    <row r="10" spans="1:6" ht="12.75">
      <c r="A10" s="232"/>
      <c r="B10" s="241" t="str">
        <f>CONCATENATE("Voorbeeld: u verwacht voor ",Blad1!B3-1," een mutatie van € 500.000 op de rente en u komt met verzekeraars overeen € 400.000 vast in de ")</f>
        <v>Voorbeeld: u verwacht voor 2005 een mutatie van € 500.000 op de rente en u komt met verzekeraars overeen € 400.000 vast in de </v>
      </c>
      <c r="C10" s="232"/>
      <c r="D10" s="232"/>
      <c r="E10" s="232"/>
      <c r="F10" s="232"/>
    </row>
    <row r="11" spans="1:6" ht="12.75">
      <c r="A11" s="232"/>
      <c r="B11" s="241" t="s">
        <v>311</v>
      </c>
      <c r="C11" s="232"/>
      <c r="D11" s="232"/>
      <c r="E11" s="232"/>
      <c r="F11" s="232"/>
    </row>
    <row r="12" spans="1:6" ht="12.75">
      <c r="A12" s="232"/>
      <c r="B12" s="241"/>
      <c r="C12" s="233">
        <f>Blad1!$B$3-3</f>
        <v>2003</v>
      </c>
      <c r="D12" s="233">
        <f>Blad1!$B$3-2</f>
        <v>2004</v>
      </c>
      <c r="E12" s="233">
        <f>Blad1!$B$3-1</f>
        <v>2005</v>
      </c>
      <c r="F12" s="232"/>
    </row>
    <row r="13" spans="1:6" ht="12.75">
      <c r="A13" s="372">
        <f>F70*100+1</f>
        <v>1501</v>
      </c>
      <c r="B13" s="234" t="s">
        <v>275</v>
      </c>
      <c r="C13" s="236"/>
      <c r="D13" s="236"/>
      <c r="E13" s="236"/>
      <c r="F13" s="328" t="s">
        <v>218</v>
      </c>
    </row>
    <row r="14" spans="1:6" ht="12.75">
      <c r="A14" s="372">
        <f>A13+1</f>
        <v>1502</v>
      </c>
      <c r="B14" s="234" t="s">
        <v>276</v>
      </c>
      <c r="C14" s="236"/>
      <c r="D14" s="236"/>
      <c r="E14" s="236"/>
      <c r="F14" s="328" t="s">
        <v>219</v>
      </c>
    </row>
    <row r="15" spans="1:6" ht="12.75">
      <c r="A15" s="372">
        <f>A14+1</f>
        <v>1503</v>
      </c>
      <c r="B15" s="234" t="s">
        <v>277</v>
      </c>
      <c r="C15" s="292">
        <f>C13+C14</f>
        <v>0</v>
      </c>
      <c r="D15" s="292">
        <f>D13+D14</f>
        <v>0</v>
      </c>
      <c r="E15" s="292">
        <f>E13+E14</f>
        <v>0</v>
      </c>
      <c r="F15" s="232"/>
    </row>
    <row r="16" spans="1:5" ht="12.75">
      <c r="A16" s="232"/>
      <c r="B16" s="241"/>
      <c r="C16" s="232"/>
      <c r="D16" s="232"/>
      <c r="E16" s="232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spans="2:6" ht="12.75">
      <c r="B70" s="1"/>
      <c r="F70" s="232">
        <f>Blad14!N70+1</f>
        <v>15</v>
      </c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</sheetData>
  <sheetProtection password="CCBC" sheet="1" objects="1" scenarios="1"/>
  <conditionalFormatting sqref="C13:E14">
    <cfRule type="expression" priority="1" dxfId="0" stopIfTrue="1">
      <formula>$B$3=TRUE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4" r:id="rId1"/>
  <headerFooter alignWithMargins="0">
    <oddHeader>&amp;L&amp;"Arial,Vet"Bijlage 1 bij circulaire JHYM/xxxx/CI/06/xxc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452"/>
  <sheetViews>
    <sheetView showGridLines="0" showRowColHeaders="0" showZeros="0" showOutlineSymbols="0" view="pageBreakPreview" zoomScale="75" zoomScaleSheetLayoutView="75" workbookViewId="0" topLeftCell="A1">
      <selection activeCell="A1" sqref="A1"/>
    </sheetView>
  </sheetViews>
  <sheetFormatPr defaultColWidth="9.140625" defaultRowHeight="12.75" customHeight="1"/>
  <cols>
    <col min="1" max="1" width="9.8515625" style="132" customWidth="1"/>
    <col min="2" max="3" width="9.140625" style="44" customWidth="1"/>
    <col min="4" max="4" width="57.7109375" style="44" customWidth="1"/>
    <col min="5" max="7" width="15.7109375" style="44" customWidth="1"/>
    <col min="8" max="16384" width="9.140625" style="44" customWidth="1"/>
  </cols>
  <sheetData>
    <row r="1" ht="12.75" customHeight="1">
      <c r="B1" s="36" t="s">
        <v>556</v>
      </c>
    </row>
    <row r="2" spans="2:7" ht="12.75" customHeight="1">
      <c r="B2" s="36" t="s">
        <v>281</v>
      </c>
      <c r="C2" s="39"/>
      <c r="D2" s="39"/>
      <c r="E2" s="39"/>
      <c r="F2" s="39"/>
      <c r="G2" s="39"/>
    </row>
    <row r="3" spans="2:7" ht="12.75" customHeight="1">
      <c r="B3" s="133" t="b">
        <f>Blad1!A25</f>
        <v>1</v>
      </c>
      <c r="C3" s="39"/>
      <c r="D3" s="39"/>
      <c r="F3" s="39"/>
      <c r="G3" s="39"/>
    </row>
    <row r="4" spans="2:7" ht="12.75" customHeight="1">
      <c r="B4" s="36" t="s">
        <v>314</v>
      </c>
      <c r="C4" s="39"/>
      <c r="D4" s="39"/>
      <c r="E4" s="39"/>
      <c r="F4" s="39"/>
      <c r="G4" s="39"/>
    </row>
    <row r="5" spans="2:7" ht="12.75" customHeight="1">
      <c r="B5" s="49" t="s">
        <v>324</v>
      </c>
      <c r="C5" s="39"/>
      <c r="D5" s="39"/>
      <c r="E5" s="39"/>
      <c r="F5" s="39"/>
      <c r="G5" s="39"/>
    </row>
    <row r="6" spans="2:7" ht="12.75" customHeight="1">
      <c r="B6" s="49" t="s">
        <v>349</v>
      </c>
      <c r="C6" s="39"/>
      <c r="D6" s="39"/>
      <c r="E6" s="39"/>
      <c r="F6" s="39"/>
      <c r="G6" s="39"/>
    </row>
    <row r="7" spans="2:7" ht="12.75" customHeight="1">
      <c r="B7" s="49" t="s">
        <v>350</v>
      </c>
      <c r="C7" s="39"/>
      <c r="D7" s="39"/>
      <c r="E7" s="39"/>
      <c r="F7" s="39"/>
      <c r="G7" s="39"/>
    </row>
    <row r="8" spans="2:7" ht="12.75" customHeight="1">
      <c r="B8" s="85" t="s">
        <v>280</v>
      </c>
      <c r="C8" s="88"/>
      <c r="D8" s="88"/>
      <c r="E8" s="88"/>
      <c r="F8" s="88"/>
      <c r="G8" s="88"/>
    </row>
    <row r="9" spans="2:7" ht="12.75" customHeight="1">
      <c r="B9" s="88"/>
      <c r="C9" s="88"/>
      <c r="D9" s="88"/>
      <c r="E9" s="88"/>
      <c r="F9" s="88"/>
      <c r="G9" s="88"/>
    </row>
    <row r="10" spans="2:7" ht="12.75" customHeight="1">
      <c r="B10" s="61"/>
      <c r="C10" s="88"/>
      <c r="D10" s="88"/>
      <c r="E10" s="88"/>
      <c r="F10" s="88"/>
      <c r="G10" s="88"/>
    </row>
    <row r="11" spans="2:7" ht="12.75" customHeight="1">
      <c r="B11" s="88"/>
      <c r="C11" s="88"/>
      <c r="D11" s="88"/>
      <c r="E11" s="88"/>
      <c r="F11" s="88"/>
      <c r="G11" s="88"/>
    </row>
    <row r="12" spans="2:7" ht="12.75" customHeight="1">
      <c r="B12" s="88"/>
      <c r="C12" s="88"/>
      <c r="D12" s="88"/>
      <c r="E12" s="88"/>
      <c r="F12" s="88"/>
      <c r="G12" s="88"/>
    </row>
    <row r="13" spans="2:7" ht="12.75" customHeight="1">
      <c r="B13" s="88"/>
      <c r="C13" s="88"/>
      <c r="D13" s="88"/>
      <c r="E13" s="61">
        <f>Blad1!$B$3-3</f>
        <v>2003</v>
      </c>
      <c r="F13" s="61">
        <f>Blad1!$B$3-2</f>
        <v>2004</v>
      </c>
      <c r="G13" s="61">
        <f>Blad1!$B$3-1</f>
        <v>2005</v>
      </c>
    </row>
    <row r="14" spans="1:7" ht="12.75" customHeight="1">
      <c r="A14" s="359">
        <f>H74*100+1</f>
        <v>1601</v>
      </c>
      <c r="B14" s="85" t="s">
        <v>285</v>
      </c>
      <c r="C14" s="85"/>
      <c r="D14" s="85"/>
      <c r="E14" s="329" t="str">
        <f>CONCATENATE(Blad1!$B$3-3,"-")</f>
        <v>2003-</v>
      </c>
      <c r="F14" s="329" t="str">
        <f>CONCATENATE(Blad1!$B$3-2,"-")</f>
        <v>2004-</v>
      </c>
      <c r="G14" s="329" t="str">
        <f>CONCATENATE(Blad1!$B$3-1,"-")</f>
        <v>2005-</v>
      </c>
    </row>
    <row r="15" spans="1:7" ht="12.75" customHeight="1">
      <c r="A15" s="359">
        <f>A14+1</f>
        <v>1602</v>
      </c>
      <c r="C15" s="85"/>
      <c r="D15" s="85"/>
      <c r="E15" s="85" t="s">
        <v>282</v>
      </c>
      <c r="F15" s="85" t="s">
        <v>282</v>
      </c>
      <c r="G15" s="85" t="s">
        <v>282</v>
      </c>
    </row>
    <row r="16" spans="1:7" ht="12.75" customHeight="1">
      <c r="A16" s="359">
        <f>A15+1</f>
        <v>1603</v>
      </c>
      <c r="B16" s="85" t="s">
        <v>530</v>
      </c>
      <c r="C16" s="85"/>
      <c r="D16" s="85"/>
      <c r="E16" s="394"/>
      <c r="F16" s="394"/>
      <c r="G16" s="394"/>
    </row>
    <row r="17" spans="1:7" ht="12.75" customHeight="1">
      <c r="A17" s="359">
        <f>A16+1</f>
        <v>1604</v>
      </c>
      <c r="B17" s="85" t="s">
        <v>283</v>
      </c>
      <c r="C17" s="85"/>
      <c r="D17" s="85"/>
      <c r="E17" s="255"/>
      <c r="F17" s="255"/>
      <c r="G17" s="255"/>
    </row>
    <row r="18" spans="1:7" ht="12.75" customHeight="1">
      <c r="A18" s="359">
        <f>A17+1</f>
        <v>1605</v>
      </c>
      <c r="B18" s="85" t="s">
        <v>284</v>
      </c>
      <c r="C18" s="85"/>
      <c r="D18" s="85"/>
      <c r="E18" s="255"/>
      <c r="F18" s="255"/>
      <c r="G18" s="255"/>
    </row>
    <row r="19" spans="1:7" ht="12.75" customHeight="1">
      <c r="A19" s="360"/>
      <c r="B19" s="85"/>
      <c r="C19" s="85"/>
      <c r="D19" s="85"/>
      <c r="E19" s="85"/>
      <c r="F19" s="85"/>
      <c r="G19" s="85"/>
    </row>
    <row r="20" spans="1:7" ht="12.75" customHeight="1">
      <c r="A20" s="360"/>
      <c r="B20" s="62" t="s">
        <v>286</v>
      </c>
      <c r="C20" s="62"/>
      <c r="D20" s="62"/>
      <c r="E20" s="85">
        <f>E17-E18</f>
        <v>0</v>
      </c>
      <c r="F20" s="85">
        <f>F17-F18</f>
        <v>0</v>
      </c>
      <c r="G20" s="85">
        <f>G17-G18</f>
        <v>0</v>
      </c>
    </row>
    <row r="21" spans="1:7" ht="12.75" customHeight="1">
      <c r="A21" s="360"/>
      <c r="B21" s="85"/>
      <c r="C21" s="85"/>
      <c r="D21" s="85"/>
      <c r="E21" s="85"/>
      <c r="F21" s="85"/>
      <c r="G21" s="85"/>
    </row>
    <row r="22" spans="1:7" ht="12.75" customHeight="1">
      <c r="A22" s="361"/>
      <c r="B22" s="62" t="s">
        <v>287</v>
      </c>
      <c r="C22" s="85"/>
      <c r="D22" s="85"/>
      <c r="E22" s="85"/>
      <c r="F22" s="85"/>
      <c r="G22" s="85"/>
    </row>
    <row r="23" spans="1:7" ht="12.75" customHeight="1">
      <c r="A23" s="359">
        <f>A18+1</f>
        <v>1606</v>
      </c>
      <c r="B23" s="85" t="s">
        <v>288</v>
      </c>
      <c r="C23" s="85"/>
      <c r="D23" s="85"/>
      <c r="E23" s="255"/>
      <c r="F23" s="255"/>
      <c r="G23" s="103">
        <f>Blad11!C8</f>
        <v>0</v>
      </c>
    </row>
    <row r="24" spans="1:7" ht="12.75" customHeight="1">
      <c r="A24" s="359">
        <f aca="true" t="shared" si="0" ref="A24:A32">A23+1</f>
        <v>1607</v>
      </c>
      <c r="B24" s="85" t="s">
        <v>289</v>
      </c>
      <c r="C24" s="85"/>
      <c r="D24" s="85"/>
      <c r="E24" s="255"/>
      <c r="F24" s="255"/>
      <c r="G24" s="255"/>
    </row>
    <row r="25" spans="1:7" ht="12.75" customHeight="1">
      <c r="A25" s="359">
        <f t="shared" si="0"/>
        <v>1608</v>
      </c>
      <c r="B25" s="85" t="s">
        <v>290</v>
      </c>
      <c r="C25" s="85"/>
      <c r="D25" s="85"/>
      <c r="E25" s="255"/>
      <c r="F25" s="255"/>
      <c r="G25" s="255"/>
    </row>
    <row r="26" spans="1:7" ht="12.75" customHeight="1">
      <c r="A26" s="359">
        <f t="shared" si="0"/>
        <v>1609</v>
      </c>
      <c r="B26" s="85" t="s">
        <v>347</v>
      </c>
      <c r="C26" s="85"/>
      <c r="D26" s="85"/>
      <c r="E26" s="255"/>
      <c r="F26" s="395"/>
      <c r="G26" s="103">
        <f>Blad10!C34</f>
        <v>0</v>
      </c>
    </row>
    <row r="27" spans="1:7" ht="12.75" customHeight="1">
      <c r="A27" s="359">
        <f t="shared" si="0"/>
        <v>1610</v>
      </c>
      <c r="B27" s="85" t="s">
        <v>348</v>
      </c>
      <c r="C27" s="85"/>
      <c r="D27" s="85"/>
      <c r="E27" s="255"/>
      <c r="F27" s="395"/>
      <c r="G27" s="103">
        <f>Blad7!H35</f>
        <v>0</v>
      </c>
    </row>
    <row r="28" spans="1:7" ht="12.75" customHeight="1">
      <c r="A28" s="359">
        <f>A27+1</f>
        <v>1611</v>
      </c>
      <c r="B28" s="85" t="s">
        <v>307</v>
      </c>
      <c r="C28" s="85"/>
      <c r="D28" s="85"/>
      <c r="E28" s="255"/>
      <c r="F28" s="255"/>
      <c r="G28" s="255"/>
    </row>
    <row r="29" spans="1:7" ht="12.75" customHeight="1">
      <c r="A29" s="359">
        <f t="shared" si="0"/>
        <v>1612</v>
      </c>
      <c r="B29" s="62" t="s">
        <v>308</v>
      </c>
      <c r="C29" s="85"/>
      <c r="D29" s="85"/>
      <c r="E29" s="103">
        <f>SUM(E23:E28)</f>
        <v>0</v>
      </c>
      <c r="F29" s="103">
        <f>SUM(F23:F28)</f>
        <v>0</v>
      </c>
      <c r="G29" s="103">
        <f>SUM(G23:G28)</f>
        <v>0</v>
      </c>
    </row>
    <row r="30" spans="1:7" ht="12.75" customHeight="1">
      <c r="A30" s="359">
        <f t="shared" si="0"/>
        <v>1613</v>
      </c>
      <c r="B30" s="85" t="s">
        <v>291</v>
      </c>
      <c r="C30" s="85"/>
      <c r="D30" s="85"/>
      <c r="E30" s="255"/>
      <c r="F30" s="255"/>
      <c r="G30" s="255"/>
    </row>
    <row r="31" spans="1:7" ht="12.75" customHeight="1">
      <c r="A31" s="359">
        <f t="shared" si="0"/>
        <v>1614</v>
      </c>
      <c r="B31" s="85" t="s">
        <v>292</v>
      </c>
      <c r="C31" s="85"/>
      <c r="D31" s="85"/>
      <c r="E31" s="255"/>
      <c r="F31" s="255"/>
      <c r="G31" s="255"/>
    </row>
    <row r="32" spans="1:7" ht="12.75" customHeight="1">
      <c r="A32" s="359">
        <f t="shared" si="0"/>
        <v>1615</v>
      </c>
      <c r="B32" s="62" t="s">
        <v>293</v>
      </c>
      <c r="C32" s="85"/>
      <c r="D32" s="85"/>
      <c r="E32" s="103">
        <f>E17-E18+E29+E30+E31</f>
        <v>0</v>
      </c>
      <c r="F32" s="103">
        <f>F17-F18+F29+F30+F31</f>
        <v>0</v>
      </c>
      <c r="G32" s="103">
        <f>G17-G18+G29+G30+G31</f>
        <v>0</v>
      </c>
    </row>
    <row r="33" spans="1:7" ht="12.75" customHeight="1">
      <c r="A33" s="360"/>
      <c r="B33" s="85"/>
      <c r="C33" s="85"/>
      <c r="D33" s="85"/>
      <c r="E33" s="85"/>
      <c r="F33" s="85"/>
      <c r="G33" s="85"/>
    </row>
    <row r="34" spans="1:7" ht="12.75" customHeight="1">
      <c r="A34" s="360"/>
      <c r="B34" s="85" t="s">
        <v>294</v>
      </c>
      <c r="C34" s="85"/>
      <c r="D34" s="85"/>
      <c r="E34" s="85"/>
      <c r="F34" s="85"/>
      <c r="G34" s="85"/>
    </row>
    <row r="35" spans="1:7" ht="12.75" customHeight="1">
      <c r="A35" s="360"/>
      <c r="B35" s="85" t="s">
        <v>83</v>
      </c>
      <c r="C35" s="85"/>
      <c r="D35" s="85"/>
      <c r="E35" s="62">
        <f>Blad1!$B$3-3</f>
        <v>2003</v>
      </c>
      <c r="F35" s="62">
        <f>Blad1!$B$3-2</f>
        <v>2004</v>
      </c>
      <c r="G35" s="62">
        <f>Blad1!$B$3-1</f>
        <v>2005</v>
      </c>
    </row>
    <row r="36" spans="1:7" ht="12.75" customHeight="1">
      <c r="A36" s="359">
        <f>A32+1</f>
        <v>1616</v>
      </c>
      <c r="B36" s="486"/>
      <c r="C36" s="487"/>
      <c r="D36" s="488"/>
      <c r="E36" s="255"/>
      <c r="F36" s="255"/>
      <c r="G36" s="255"/>
    </row>
    <row r="37" spans="1:7" ht="12.75" customHeight="1">
      <c r="A37" s="359">
        <f>A36+1</f>
        <v>1617</v>
      </c>
      <c r="B37" s="486"/>
      <c r="C37" s="487"/>
      <c r="D37" s="488"/>
      <c r="E37" s="255"/>
      <c r="F37" s="255"/>
      <c r="G37" s="255"/>
    </row>
    <row r="38" spans="1:7" ht="12.75" customHeight="1">
      <c r="A38" s="359">
        <f>A37+1</f>
        <v>1618</v>
      </c>
      <c r="B38" s="486"/>
      <c r="C38" s="487"/>
      <c r="D38" s="488"/>
      <c r="E38" s="255"/>
      <c r="F38" s="255"/>
      <c r="G38" s="255"/>
    </row>
    <row r="39" spans="1:7" ht="12.75" customHeight="1">
      <c r="A39" s="359">
        <f>A38+1</f>
        <v>1619</v>
      </c>
      <c r="B39" s="486"/>
      <c r="C39" s="487"/>
      <c r="D39" s="488"/>
      <c r="E39" s="255"/>
      <c r="F39" s="255"/>
      <c r="G39" s="255"/>
    </row>
    <row r="40" spans="1:7" s="47" customFormat="1" ht="12.75" customHeight="1">
      <c r="A40" s="362"/>
      <c r="B40" s="85"/>
      <c r="C40" s="85"/>
      <c r="D40" s="85"/>
      <c r="E40" s="85"/>
      <c r="F40" s="85"/>
      <c r="G40" s="85"/>
    </row>
    <row r="41" spans="1:7" ht="12.75" customHeight="1">
      <c r="A41" s="360"/>
      <c r="B41" s="62" t="s">
        <v>295</v>
      </c>
      <c r="C41" s="85"/>
      <c r="D41" s="85"/>
      <c r="E41" s="85"/>
      <c r="F41" s="85"/>
      <c r="G41" s="85"/>
    </row>
    <row r="42" spans="1:7" ht="12.75" customHeight="1">
      <c r="A42" s="360"/>
      <c r="B42" s="85"/>
      <c r="C42" s="85"/>
      <c r="D42" s="85"/>
      <c r="E42" s="85"/>
      <c r="F42" s="85"/>
      <c r="G42" s="85"/>
    </row>
    <row r="43" spans="1:7" ht="12.75" customHeight="1">
      <c r="A43" s="360"/>
      <c r="B43" s="85"/>
      <c r="C43" s="85"/>
      <c r="D43" s="85"/>
      <c r="E43" s="62">
        <f>Blad1!$B$3-3</f>
        <v>2003</v>
      </c>
      <c r="F43" s="62">
        <f>Blad1!$B$3-2</f>
        <v>2004</v>
      </c>
      <c r="G43" s="62">
        <f>Blad1!$B$3-1</f>
        <v>2005</v>
      </c>
    </row>
    <row r="44" spans="1:7" ht="12.75" customHeight="1">
      <c r="A44" s="359">
        <f>A39+1</f>
        <v>1620</v>
      </c>
      <c r="B44" s="85" t="s">
        <v>285</v>
      </c>
      <c r="C44" s="85"/>
      <c r="D44" s="85"/>
      <c r="E44" s="329" t="str">
        <f>CONCATENATE(Blad1!$B$3,"-")</f>
        <v>2006-</v>
      </c>
      <c r="F44" s="329" t="str">
        <f>CONCATENATE(Blad1!$B$3,"-")</f>
        <v>2006-</v>
      </c>
      <c r="G44" s="329" t="str">
        <f>CONCATENATE(Blad1!$B$3,"-")</f>
        <v>2006-</v>
      </c>
    </row>
    <row r="45" spans="1:7" ht="12.75" customHeight="1">
      <c r="A45" s="359">
        <f>A44+1</f>
        <v>1621</v>
      </c>
      <c r="C45" s="85"/>
      <c r="D45" s="85"/>
      <c r="E45" s="85" t="s">
        <v>282</v>
      </c>
      <c r="F45" s="85" t="s">
        <v>282</v>
      </c>
      <c r="G45" s="85" t="s">
        <v>282</v>
      </c>
    </row>
    <row r="46" spans="1:7" ht="12.75" customHeight="1">
      <c r="A46" s="359">
        <f>A45+1</f>
        <v>1622</v>
      </c>
      <c r="B46" s="85" t="s">
        <v>530</v>
      </c>
      <c r="C46" s="85"/>
      <c r="D46" s="85"/>
      <c r="E46" s="394"/>
      <c r="F46" s="394"/>
      <c r="G46" s="394"/>
    </row>
    <row r="47" spans="1:7" ht="12.75" customHeight="1">
      <c r="A47" s="359">
        <f>A46+1</f>
        <v>1623</v>
      </c>
      <c r="B47" s="85" t="s">
        <v>296</v>
      </c>
      <c r="C47" s="85"/>
      <c r="D47" s="85"/>
      <c r="E47" s="255"/>
      <c r="F47" s="255"/>
      <c r="G47" s="255"/>
    </row>
    <row r="48" spans="1:7" ht="12.75" customHeight="1">
      <c r="A48" s="360"/>
      <c r="B48" s="85"/>
      <c r="C48" s="85"/>
      <c r="D48" s="85"/>
      <c r="E48" s="29"/>
      <c r="F48" s="29"/>
      <c r="G48" s="29"/>
    </row>
    <row r="49" spans="1:7" ht="12.75" customHeight="1">
      <c r="A49" s="359">
        <f>A47+1</f>
        <v>1624</v>
      </c>
      <c r="B49" s="85" t="s">
        <v>344</v>
      </c>
      <c r="C49" s="85"/>
      <c r="D49" s="85"/>
      <c r="E49" s="255"/>
      <c r="F49" s="255"/>
      <c r="G49" s="255"/>
    </row>
    <row r="50" spans="1:7" ht="12.75" customHeight="1">
      <c r="A50" s="359">
        <f aca="true" t="shared" si="1" ref="A50:A59">A49+1</f>
        <v>1625</v>
      </c>
      <c r="B50" s="85" t="s">
        <v>345</v>
      </c>
      <c r="C50" s="85"/>
      <c r="D50" s="85"/>
      <c r="E50" s="255"/>
      <c r="F50" s="255"/>
      <c r="G50" s="255"/>
    </row>
    <row r="51" spans="1:7" ht="12.75" customHeight="1">
      <c r="A51" s="359">
        <f t="shared" si="1"/>
        <v>1626</v>
      </c>
      <c r="B51" s="85" t="s">
        <v>585</v>
      </c>
      <c r="C51" s="85"/>
      <c r="D51" s="85"/>
      <c r="E51" s="85"/>
      <c r="F51" s="85"/>
      <c r="G51" s="85"/>
    </row>
    <row r="52" spans="1:7" ht="12.75" customHeight="1">
      <c r="A52" s="359">
        <f t="shared" si="1"/>
        <v>1627</v>
      </c>
      <c r="B52" s="85" t="s">
        <v>584</v>
      </c>
      <c r="C52" s="85"/>
      <c r="D52" s="85"/>
      <c r="E52" s="255"/>
      <c r="F52" s="255"/>
      <c r="G52" s="85"/>
    </row>
    <row r="53" spans="1:7" ht="12.75" customHeight="1">
      <c r="A53" s="359">
        <f t="shared" si="1"/>
        <v>1628</v>
      </c>
      <c r="B53" s="484" t="s">
        <v>577</v>
      </c>
      <c r="C53" s="485"/>
      <c r="D53" s="485"/>
      <c r="E53" s="85"/>
      <c r="F53" s="85"/>
      <c r="G53" s="255"/>
    </row>
    <row r="54" spans="1:7" ht="12.75" customHeight="1">
      <c r="A54" s="359">
        <f t="shared" si="1"/>
        <v>1629</v>
      </c>
      <c r="B54" s="484" t="s">
        <v>578</v>
      </c>
      <c r="C54" s="485"/>
      <c r="D54" s="485"/>
      <c r="E54" s="85"/>
      <c r="F54" s="85"/>
      <c r="G54" s="255"/>
    </row>
    <row r="55" spans="1:7" ht="12.75" customHeight="1">
      <c r="A55" s="359">
        <f t="shared" si="1"/>
        <v>1630</v>
      </c>
      <c r="B55" s="484" t="s">
        <v>579</v>
      </c>
      <c r="C55" s="485"/>
      <c r="D55" s="485"/>
      <c r="E55" s="85"/>
      <c r="F55" s="85"/>
      <c r="G55" s="255"/>
    </row>
    <row r="56" spans="1:7" ht="12.75" customHeight="1">
      <c r="A56" s="359">
        <f t="shared" si="1"/>
        <v>1631</v>
      </c>
      <c r="B56" s="482" t="s">
        <v>580</v>
      </c>
      <c r="C56" s="483"/>
      <c r="D56" s="483"/>
      <c r="E56" s="85"/>
      <c r="F56" s="85"/>
      <c r="G56" s="255"/>
    </row>
    <row r="57" spans="1:7" ht="12.75" customHeight="1">
      <c r="A57" s="359">
        <f t="shared" si="1"/>
        <v>1632</v>
      </c>
      <c r="B57" s="482" t="s">
        <v>581</v>
      </c>
      <c r="C57" s="483"/>
      <c r="D57" s="483"/>
      <c r="E57" s="85"/>
      <c r="F57" s="85"/>
      <c r="G57" s="255"/>
    </row>
    <row r="58" spans="1:7" ht="12.75" customHeight="1">
      <c r="A58" s="359">
        <f t="shared" si="1"/>
        <v>1633</v>
      </c>
      <c r="B58" s="482" t="s">
        <v>582</v>
      </c>
      <c r="C58" s="483"/>
      <c r="D58" s="483"/>
      <c r="E58" s="85"/>
      <c r="F58" s="85"/>
      <c r="G58" s="255"/>
    </row>
    <row r="59" spans="1:7" ht="12.75" customHeight="1">
      <c r="A59" s="359">
        <f t="shared" si="1"/>
        <v>1634</v>
      </c>
      <c r="B59" s="482" t="s">
        <v>583</v>
      </c>
      <c r="C59" s="483"/>
      <c r="D59" s="483"/>
      <c r="E59" s="85"/>
      <c r="F59" s="85"/>
      <c r="G59" s="255"/>
    </row>
    <row r="60" spans="1:7" ht="12.75" customHeight="1">
      <c r="A60" s="360"/>
      <c r="E60" s="29"/>
      <c r="F60" s="29"/>
      <c r="G60" s="29"/>
    </row>
    <row r="61" spans="1:7" ht="12.75" customHeight="1">
      <c r="A61" s="359">
        <f>A59+1</f>
        <v>1635</v>
      </c>
      <c r="B61" s="85" t="s">
        <v>316</v>
      </c>
      <c r="C61" s="85"/>
      <c r="D61" s="85"/>
      <c r="E61" s="103">
        <f>SUM(E49:E59)</f>
        <v>0</v>
      </c>
      <c r="F61" s="103">
        <f>SUM(F49:F59)</f>
        <v>0</v>
      </c>
      <c r="G61" s="103">
        <f>SUM(G49:G59)</f>
        <v>0</v>
      </c>
    </row>
    <row r="62" spans="1:7" ht="12.75" customHeight="1">
      <c r="A62" s="360"/>
      <c r="B62" s="49"/>
      <c r="C62" s="85"/>
      <c r="D62" s="85"/>
      <c r="E62" s="29"/>
      <c r="F62" s="29"/>
      <c r="G62" s="29"/>
    </row>
    <row r="63" spans="1:7" ht="12.75" customHeight="1">
      <c r="A63" s="359">
        <f>A61+1</f>
        <v>1636</v>
      </c>
      <c r="B63" s="85" t="s">
        <v>317</v>
      </c>
      <c r="C63" s="85"/>
      <c r="D63" s="85"/>
      <c r="E63" s="103">
        <f>E47-E61</f>
        <v>0</v>
      </c>
      <c r="F63" s="103">
        <f>F47-F61</f>
        <v>0</v>
      </c>
      <c r="G63" s="103">
        <f>G47-G61</f>
        <v>0</v>
      </c>
    </row>
    <row r="64" spans="1:7" ht="12.75" customHeight="1">
      <c r="A64" s="360"/>
      <c r="B64" s="85"/>
      <c r="C64" s="85"/>
      <c r="D64" s="85"/>
      <c r="E64" s="85"/>
      <c r="F64" s="85"/>
      <c r="G64" s="85"/>
    </row>
    <row r="65" spans="1:7" ht="12.75" customHeight="1">
      <c r="A65" s="360"/>
      <c r="B65" s="62" t="s">
        <v>576</v>
      </c>
      <c r="C65" s="62"/>
      <c r="D65" s="62"/>
      <c r="E65" s="62"/>
      <c r="F65" s="62"/>
      <c r="G65" s="85"/>
    </row>
    <row r="66" spans="1:7" ht="12.75" customHeight="1">
      <c r="A66" s="360"/>
      <c r="B66" s="85"/>
      <c r="C66" s="85"/>
      <c r="D66" s="85"/>
      <c r="E66" s="85"/>
      <c r="F66" s="85"/>
      <c r="G66" s="85"/>
    </row>
    <row r="67" spans="1:7" ht="12.75" customHeight="1">
      <c r="A67" s="363"/>
      <c r="B67" s="85" t="s">
        <v>297</v>
      </c>
      <c r="C67" s="85"/>
      <c r="D67" s="85"/>
      <c r="E67" s="85"/>
      <c r="F67" s="85"/>
      <c r="G67" s="85" t="s">
        <v>310</v>
      </c>
    </row>
    <row r="68" spans="1:7" ht="12.75" customHeight="1">
      <c r="A68" s="361"/>
      <c r="B68" s="85" t="s">
        <v>298</v>
      </c>
      <c r="C68" s="85"/>
      <c r="D68" s="85"/>
      <c r="E68" s="85"/>
      <c r="F68" s="85"/>
      <c r="G68" s="85" t="str">
        <f>CONCATENATE("aantal ",Blad1!B3-1)</f>
        <v>aantal 2005</v>
      </c>
    </row>
    <row r="69" spans="1:7" ht="12.75" customHeight="1">
      <c r="A69" s="359">
        <f>A63+1</f>
        <v>1637</v>
      </c>
      <c r="B69" s="85" t="s">
        <v>342</v>
      </c>
      <c r="C69" s="85"/>
      <c r="D69" s="85"/>
      <c r="E69" s="85"/>
      <c r="F69" s="85"/>
      <c r="G69" s="255"/>
    </row>
    <row r="70" spans="1:7" ht="12.75" customHeight="1">
      <c r="A70" s="359">
        <f>A69+1</f>
        <v>1638</v>
      </c>
      <c r="B70" s="85" t="s">
        <v>346</v>
      </c>
      <c r="C70" s="85"/>
      <c r="D70" s="85"/>
      <c r="E70" s="85"/>
      <c r="F70" s="85"/>
      <c r="G70" s="255"/>
    </row>
    <row r="71" spans="1:7" ht="12.75" customHeight="1">
      <c r="A71" s="359">
        <f>A70+1</f>
        <v>1639</v>
      </c>
      <c r="B71" s="85" t="s">
        <v>343</v>
      </c>
      <c r="C71" s="85"/>
      <c r="D71" s="85"/>
      <c r="E71" s="85"/>
      <c r="F71" s="85"/>
      <c r="G71" s="255"/>
    </row>
    <row r="72" spans="1:7" ht="12.75" customHeight="1">
      <c r="A72" s="359">
        <f>A71+1</f>
        <v>1640</v>
      </c>
      <c r="B72" s="85" t="s">
        <v>299</v>
      </c>
      <c r="C72" s="85"/>
      <c r="D72" s="85"/>
      <c r="E72" s="85"/>
      <c r="F72" s="85"/>
      <c r="G72" s="255"/>
    </row>
    <row r="73" spans="2:6" ht="12.75" customHeight="1">
      <c r="B73" s="88"/>
      <c r="C73" s="88"/>
      <c r="D73" s="88"/>
      <c r="E73" s="88"/>
      <c r="F73" s="88"/>
    </row>
    <row r="74" spans="2:8" ht="12.75" customHeight="1">
      <c r="B74" s="85" t="s">
        <v>586</v>
      </c>
      <c r="C74" s="48"/>
      <c r="D74" s="48"/>
      <c r="E74" s="48"/>
      <c r="F74" s="48"/>
      <c r="G74" s="48"/>
      <c r="H74" s="39">
        <f>BladA!F70+1</f>
        <v>16</v>
      </c>
    </row>
    <row r="75" spans="2:7" ht="12.75" customHeight="1">
      <c r="B75" s="131"/>
      <c r="C75" s="48"/>
      <c r="D75" s="48"/>
      <c r="E75" s="48"/>
      <c r="F75" s="48"/>
      <c r="G75" s="48"/>
    </row>
    <row r="76" spans="2:7" ht="12.75" customHeight="1">
      <c r="B76" s="48"/>
      <c r="C76" s="48"/>
      <c r="D76" s="48"/>
      <c r="E76" s="48"/>
      <c r="F76" s="48"/>
      <c r="G76" s="48"/>
    </row>
    <row r="77" spans="2:7" ht="12.75" customHeight="1">
      <c r="B77" s="48"/>
      <c r="C77" s="48"/>
      <c r="D77" s="48"/>
      <c r="E77" s="48"/>
      <c r="F77" s="48"/>
      <c r="G77" s="48"/>
    </row>
    <row r="78" spans="2:7" ht="12.75" customHeight="1">
      <c r="B78" s="48"/>
      <c r="C78" s="48"/>
      <c r="D78" s="48"/>
      <c r="E78" s="48"/>
      <c r="F78" s="48"/>
      <c r="G78" s="48"/>
    </row>
    <row r="79" spans="2:7" ht="12.75" customHeight="1">
      <c r="B79" s="48"/>
      <c r="C79" s="48"/>
      <c r="D79" s="48"/>
      <c r="E79" s="48"/>
      <c r="F79" s="48"/>
      <c r="G79" s="48"/>
    </row>
    <row r="80" spans="2:7" ht="12.75" customHeight="1">
      <c r="B80" s="48"/>
      <c r="C80" s="48"/>
      <c r="D80" s="48"/>
      <c r="E80" s="48"/>
      <c r="F80" s="48"/>
      <c r="G80" s="48"/>
    </row>
    <row r="81" spans="2:7" ht="12.75" customHeight="1">
      <c r="B81" s="48"/>
      <c r="C81" s="48"/>
      <c r="D81" s="48"/>
      <c r="E81" s="48"/>
      <c r="F81" s="48"/>
      <c r="G81" s="48"/>
    </row>
    <row r="82" spans="2:7" ht="12.75" customHeight="1">
      <c r="B82" s="48"/>
      <c r="C82" s="48"/>
      <c r="D82" s="48"/>
      <c r="E82" s="48"/>
      <c r="F82" s="48"/>
      <c r="G82" s="48"/>
    </row>
    <row r="83" spans="2:7" ht="12.75" customHeight="1">
      <c r="B83" s="48"/>
      <c r="C83" s="48"/>
      <c r="D83" s="48"/>
      <c r="E83" s="48"/>
      <c r="F83" s="48"/>
      <c r="G83" s="48"/>
    </row>
    <row r="84" spans="2:7" ht="12.75" customHeight="1">
      <c r="B84" s="48"/>
      <c r="C84" s="48"/>
      <c r="D84" s="48"/>
      <c r="E84" s="48"/>
      <c r="F84" s="48"/>
      <c r="G84" s="48"/>
    </row>
    <row r="85" spans="2:7" ht="12.75" customHeight="1">
      <c r="B85" s="48"/>
      <c r="C85" s="48"/>
      <c r="D85" s="48"/>
      <c r="E85" s="48"/>
      <c r="F85" s="48"/>
      <c r="G85" s="48"/>
    </row>
    <row r="86" spans="2:7" ht="12.75" customHeight="1">
      <c r="B86" s="48"/>
      <c r="C86" s="48"/>
      <c r="D86" s="48"/>
      <c r="E86" s="48"/>
      <c r="F86" s="48"/>
      <c r="G86" s="48"/>
    </row>
    <row r="87" spans="2:7" ht="12.75" customHeight="1">
      <c r="B87" s="48"/>
      <c r="C87" s="48"/>
      <c r="D87" s="48"/>
      <c r="E87" s="48"/>
      <c r="F87" s="48"/>
      <c r="G87" s="48"/>
    </row>
    <row r="88" spans="2:7" ht="12.75" customHeight="1">
      <c r="B88" s="48"/>
      <c r="C88" s="48"/>
      <c r="D88" s="48"/>
      <c r="E88" s="48"/>
      <c r="F88" s="48"/>
      <c r="G88" s="48"/>
    </row>
    <row r="89" spans="2:7" ht="12.75" customHeight="1">
      <c r="B89" s="48"/>
      <c r="C89" s="48"/>
      <c r="D89" s="48"/>
      <c r="E89" s="48"/>
      <c r="F89" s="48"/>
      <c r="G89" s="48"/>
    </row>
    <row r="90" spans="2:7" ht="12.75" customHeight="1">
      <c r="B90" s="48"/>
      <c r="C90" s="48"/>
      <c r="D90" s="48"/>
      <c r="E90" s="48"/>
      <c r="F90" s="48"/>
      <c r="G90" s="48"/>
    </row>
    <row r="91" spans="2:7" ht="12.75" customHeight="1">
      <c r="B91" s="48"/>
      <c r="C91" s="48"/>
      <c r="D91" s="48"/>
      <c r="E91" s="48"/>
      <c r="F91" s="48"/>
      <c r="G91" s="48"/>
    </row>
    <row r="92" spans="2:7" ht="12.75" customHeight="1">
      <c r="B92" s="48"/>
      <c r="C92" s="48"/>
      <c r="D92" s="48"/>
      <c r="E92" s="48"/>
      <c r="F92" s="48"/>
      <c r="G92" s="48"/>
    </row>
    <row r="93" spans="2:7" ht="12.75" customHeight="1">
      <c r="B93" s="48"/>
      <c r="C93" s="48"/>
      <c r="D93" s="48"/>
      <c r="E93" s="48"/>
      <c r="F93" s="48"/>
      <c r="G93" s="48"/>
    </row>
    <row r="94" spans="2:7" ht="12.75" customHeight="1">
      <c r="B94" s="48"/>
      <c r="C94" s="48"/>
      <c r="D94" s="48"/>
      <c r="E94" s="48"/>
      <c r="F94" s="48"/>
      <c r="G94" s="48"/>
    </row>
    <row r="95" spans="2:7" ht="12.75" customHeight="1">
      <c r="B95" s="48"/>
      <c r="C95" s="48"/>
      <c r="D95" s="48"/>
      <c r="E95" s="48"/>
      <c r="F95" s="48"/>
      <c r="G95" s="48"/>
    </row>
    <row r="96" spans="2:7" ht="12.75" customHeight="1">
      <c r="B96" s="48"/>
      <c r="C96" s="48"/>
      <c r="D96" s="48"/>
      <c r="E96" s="48"/>
      <c r="F96" s="48"/>
      <c r="G96" s="48"/>
    </row>
    <row r="97" spans="2:7" ht="12.75" customHeight="1">
      <c r="B97" s="48"/>
      <c r="C97" s="48"/>
      <c r="D97" s="48"/>
      <c r="E97" s="48"/>
      <c r="F97" s="48"/>
      <c r="G97" s="48"/>
    </row>
    <row r="98" spans="2:7" ht="12.75" customHeight="1">
      <c r="B98" s="48"/>
      <c r="C98" s="48"/>
      <c r="D98" s="48"/>
      <c r="E98" s="48"/>
      <c r="F98" s="48"/>
      <c r="G98" s="48"/>
    </row>
    <row r="99" spans="2:7" ht="12.75" customHeight="1">
      <c r="B99" s="48"/>
      <c r="C99" s="48"/>
      <c r="D99" s="48"/>
      <c r="E99" s="48"/>
      <c r="F99" s="48"/>
      <c r="G99" s="48"/>
    </row>
    <row r="100" spans="2:7" ht="12.75" customHeight="1">
      <c r="B100" s="48"/>
      <c r="C100" s="48"/>
      <c r="D100" s="48"/>
      <c r="E100" s="48"/>
      <c r="F100" s="48"/>
      <c r="G100" s="48"/>
    </row>
    <row r="101" spans="2:7" ht="12.75" customHeight="1">
      <c r="B101" s="48"/>
      <c r="C101" s="48"/>
      <c r="D101" s="48"/>
      <c r="E101" s="48"/>
      <c r="F101" s="48"/>
      <c r="G101" s="48"/>
    </row>
    <row r="102" spans="2:7" ht="12.75" customHeight="1">
      <c r="B102" s="48"/>
      <c r="C102" s="48"/>
      <c r="D102" s="48"/>
      <c r="E102" s="48"/>
      <c r="F102" s="48"/>
      <c r="G102" s="48"/>
    </row>
    <row r="103" spans="2:7" ht="12.75" customHeight="1">
      <c r="B103" s="48"/>
      <c r="C103" s="48"/>
      <c r="D103" s="48"/>
      <c r="E103" s="48"/>
      <c r="F103" s="48"/>
      <c r="G103" s="48"/>
    </row>
    <row r="104" spans="2:7" ht="12.75" customHeight="1">
      <c r="B104" s="48"/>
      <c r="C104" s="48"/>
      <c r="D104" s="48"/>
      <c r="E104" s="48"/>
      <c r="F104" s="48"/>
      <c r="G104" s="48"/>
    </row>
    <row r="105" spans="2:7" ht="12.75" customHeight="1">
      <c r="B105" s="48"/>
      <c r="C105" s="48"/>
      <c r="D105" s="48"/>
      <c r="E105" s="48"/>
      <c r="F105" s="48"/>
      <c r="G105" s="48"/>
    </row>
    <row r="106" spans="2:7" ht="12.75" customHeight="1">
      <c r="B106" s="48"/>
      <c r="C106" s="48"/>
      <c r="D106" s="48"/>
      <c r="E106" s="48"/>
      <c r="F106" s="48"/>
      <c r="G106" s="48"/>
    </row>
    <row r="107" spans="2:7" ht="12.75" customHeight="1">
      <c r="B107" s="48"/>
      <c r="C107" s="48"/>
      <c r="D107" s="48"/>
      <c r="E107" s="48"/>
      <c r="F107" s="48"/>
      <c r="G107" s="48"/>
    </row>
    <row r="108" spans="2:7" ht="12.75" customHeight="1">
      <c r="B108" s="48"/>
      <c r="C108" s="48"/>
      <c r="D108" s="48"/>
      <c r="E108" s="48"/>
      <c r="F108" s="48"/>
      <c r="G108" s="48"/>
    </row>
    <row r="109" spans="2:7" ht="12.75" customHeight="1">
      <c r="B109" s="48"/>
      <c r="C109" s="48"/>
      <c r="D109" s="48"/>
      <c r="E109" s="48"/>
      <c r="F109" s="48"/>
      <c r="G109" s="48"/>
    </row>
    <row r="110" spans="2:7" ht="12.75" customHeight="1">
      <c r="B110" s="48"/>
      <c r="C110" s="48"/>
      <c r="D110" s="48"/>
      <c r="E110" s="48"/>
      <c r="F110" s="48"/>
      <c r="G110" s="48"/>
    </row>
    <row r="111" spans="2:7" ht="12.75" customHeight="1">
      <c r="B111" s="48"/>
      <c r="C111" s="48"/>
      <c r="D111" s="48"/>
      <c r="E111" s="48"/>
      <c r="F111" s="48"/>
      <c r="G111" s="48"/>
    </row>
    <row r="112" spans="2:7" ht="12.75" customHeight="1">
      <c r="B112" s="48"/>
      <c r="C112" s="48"/>
      <c r="D112" s="48"/>
      <c r="E112" s="48"/>
      <c r="F112" s="48"/>
      <c r="G112" s="48"/>
    </row>
    <row r="113" spans="2:7" ht="12.75" customHeight="1">
      <c r="B113" s="48"/>
      <c r="C113" s="48"/>
      <c r="D113" s="48"/>
      <c r="E113" s="48"/>
      <c r="F113" s="48"/>
      <c r="G113" s="48"/>
    </row>
    <row r="114" spans="2:7" ht="12.75" customHeight="1">
      <c r="B114" s="48"/>
      <c r="C114" s="48"/>
      <c r="D114" s="48"/>
      <c r="E114" s="48"/>
      <c r="F114" s="48"/>
      <c r="G114" s="48"/>
    </row>
    <row r="115" spans="2:7" ht="12.75" customHeight="1">
      <c r="B115" s="48"/>
      <c r="C115" s="48"/>
      <c r="D115" s="48"/>
      <c r="E115" s="48"/>
      <c r="F115" s="48"/>
      <c r="G115" s="48"/>
    </row>
    <row r="116" spans="2:7" ht="12.75" customHeight="1">
      <c r="B116" s="48"/>
      <c r="C116" s="48"/>
      <c r="D116" s="48"/>
      <c r="E116" s="48"/>
      <c r="F116" s="48"/>
      <c r="G116" s="48"/>
    </row>
    <row r="117" spans="2:7" ht="12.75" customHeight="1">
      <c r="B117" s="48"/>
      <c r="C117" s="48"/>
      <c r="D117" s="48"/>
      <c r="E117" s="48"/>
      <c r="F117" s="48"/>
      <c r="G117" s="48"/>
    </row>
    <row r="118" spans="2:7" ht="12.75" customHeight="1">
      <c r="B118" s="48"/>
      <c r="C118" s="48"/>
      <c r="D118" s="48"/>
      <c r="E118" s="48"/>
      <c r="F118" s="48"/>
      <c r="G118" s="48"/>
    </row>
    <row r="119" spans="2:7" ht="12.75" customHeight="1">
      <c r="B119" s="48"/>
      <c r="C119" s="48"/>
      <c r="D119" s="48"/>
      <c r="E119" s="48"/>
      <c r="F119" s="48"/>
      <c r="G119" s="48"/>
    </row>
    <row r="120" spans="2:7" ht="12.75" customHeight="1">
      <c r="B120" s="48"/>
      <c r="C120" s="48"/>
      <c r="D120" s="48"/>
      <c r="E120" s="48"/>
      <c r="F120" s="48"/>
      <c r="G120" s="48"/>
    </row>
    <row r="121" spans="2:7" ht="12.75" customHeight="1">
      <c r="B121" s="48"/>
      <c r="C121" s="48"/>
      <c r="D121" s="48"/>
      <c r="E121" s="48"/>
      <c r="F121" s="48"/>
      <c r="G121" s="48"/>
    </row>
    <row r="122" spans="2:7" ht="12.75" customHeight="1">
      <c r="B122" s="48"/>
      <c r="C122" s="48"/>
      <c r="D122" s="48"/>
      <c r="E122" s="48"/>
      <c r="F122" s="48"/>
      <c r="G122" s="48"/>
    </row>
    <row r="123" spans="2:7" ht="12.75" customHeight="1">
      <c r="B123" s="48"/>
      <c r="C123" s="48"/>
      <c r="D123" s="48"/>
      <c r="E123" s="48"/>
      <c r="F123" s="48"/>
      <c r="G123" s="48"/>
    </row>
    <row r="124" spans="2:7" ht="12.75" customHeight="1">
      <c r="B124" s="48"/>
      <c r="C124" s="48"/>
      <c r="D124" s="48"/>
      <c r="E124" s="48"/>
      <c r="F124" s="48"/>
      <c r="G124" s="48"/>
    </row>
    <row r="125" spans="2:7" ht="12.75" customHeight="1">
      <c r="B125" s="48"/>
      <c r="C125" s="48"/>
      <c r="D125" s="48"/>
      <c r="E125" s="48"/>
      <c r="F125" s="48"/>
      <c r="G125" s="48"/>
    </row>
    <row r="126" spans="2:7" ht="12.75" customHeight="1">
      <c r="B126" s="48"/>
      <c r="C126" s="48"/>
      <c r="D126" s="48"/>
      <c r="E126" s="48"/>
      <c r="F126" s="48"/>
      <c r="G126" s="48"/>
    </row>
    <row r="127" spans="2:7" ht="12.75" customHeight="1">
      <c r="B127" s="48"/>
      <c r="C127" s="48"/>
      <c r="D127" s="48"/>
      <c r="E127" s="48"/>
      <c r="F127" s="48"/>
      <c r="G127" s="48"/>
    </row>
    <row r="128" spans="2:7" ht="12.75" customHeight="1">
      <c r="B128" s="48"/>
      <c r="C128" s="48"/>
      <c r="D128" s="48"/>
      <c r="E128" s="48"/>
      <c r="F128" s="48"/>
      <c r="G128" s="48"/>
    </row>
    <row r="129" spans="2:7" ht="12.75" customHeight="1">
      <c r="B129" s="48"/>
      <c r="C129" s="48"/>
      <c r="D129" s="48"/>
      <c r="E129" s="48"/>
      <c r="F129" s="48"/>
      <c r="G129" s="48"/>
    </row>
    <row r="130" spans="2:7" ht="12.75" customHeight="1">
      <c r="B130" s="48"/>
      <c r="C130" s="48"/>
      <c r="D130" s="48"/>
      <c r="E130" s="48"/>
      <c r="F130" s="48"/>
      <c r="G130" s="48"/>
    </row>
    <row r="131" spans="2:7" ht="12.75" customHeight="1">
      <c r="B131" s="48"/>
      <c r="C131" s="48"/>
      <c r="D131" s="48"/>
      <c r="E131" s="48"/>
      <c r="F131" s="48"/>
      <c r="G131" s="48"/>
    </row>
    <row r="132" spans="2:7" ht="12.75" customHeight="1">
      <c r="B132" s="48"/>
      <c r="C132" s="48"/>
      <c r="D132" s="48"/>
      <c r="E132" s="48"/>
      <c r="F132" s="48"/>
      <c r="G132" s="48"/>
    </row>
    <row r="133" spans="2:7" ht="12.75" customHeight="1">
      <c r="B133" s="48"/>
      <c r="C133" s="48"/>
      <c r="D133" s="48"/>
      <c r="E133" s="48"/>
      <c r="F133" s="48"/>
      <c r="G133" s="48"/>
    </row>
    <row r="134" spans="2:7" ht="12.75" customHeight="1">
      <c r="B134" s="48"/>
      <c r="C134" s="48"/>
      <c r="D134" s="48"/>
      <c r="E134" s="48"/>
      <c r="F134" s="48"/>
      <c r="G134" s="48"/>
    </row>
    <row r="135" spans="2:7" ht="12.75" customHeight="1">
      <c r="B135" s="48"/>
      <c r="C135" s="48"/>
      <c r="D135" s="48"/>
      <c r="E135" s="48"/>
      <c r="F135" s="48"/>
      <c r="G135" s="48"/>
    </row>
    <row r="136" spans="2:7" ht="12.75" customHeight="1">
      <c r="B136" s="48"/>
      <c r="C136" s="48"/>
      <c r="D136" s="48"/>
      <c r="E136" s="48"/>
      <c r="F136" s="48"/>
      <c r="G136" s="48"/>
    </row>
    <row r="137" spans="2:7" ht="12.75" customHeight="1">
      <c r="B137" s="48"/>
      <c r="C137" s="48"/>
      <c r="D137" s="48"/>
      <c r="E137" s="48"/>
      <c r="F137" s="48"/>
      <c r="G137" s="48"/>
    </row>
    <row r="138" spans="2:7" ht="12.75" customHeight="1">
      <c r="B138" s="48"/>
      <c r="C138" s="48"/>
      <c r="D138" s="48"/>
      <c r="E138" s="48"/>
      <c r="F138" s="48"/>
      <c r="G138" s="48"/>
    </row>
    <row r="139" spans="2:7" ht="12.75" customHeight="1">
      <c r="B139" s="48"/>
      <c r="C139" s="48"/>
      <c r="D139" s="48"/>
      <c r="E139" s="48"/>
      <c r="F139" s="48"/>
      <c r="G139" s="48"/>
    </row>
    <row r="140" spans="2:7" ht="12.75" customHeight="1">
      <c r="B140" s="48"/>
      <c r="C140" s="48"/>
      <c r="D140" s="48"/>
      <c r="E140" s="48"/>
      <c r="F140" s="48"/>
      <c r="G140" s="48"/>
    </row>
    <row r="141" spans="2:7" ht="12.75" customHeight="1">
      <c r="B141" s="48"/>
      <c r="C141" s="48"/>
      <c r="D141" s="48"/>
      <c r="E141" s="48"/>
      <c r="F141" s="48"/>
      <c r="G141" s="48"/>
    </row>
    <row r="142" spans="2:7" ht="12.75" customHeight="1">
      <c r="B142" s="48"/>
      <c r="C142" s="48"/>
      <c r="D142" s="48"/>
      <c r="E142" s="48"/>
      <c r="F142" s="48"/>
      <c r="G142" s="48"/>
    </row>
    <row r="143" spans="2:7" ht="12.75" customHeight="1">
      <c r="B143" s="48"/>
      <c r="C143" s="48"/>
      <c r="D143" s="48"/>
      <c r="E143" s="48"/>
      <c r="F143" s="48"/>
      <c r="G143" s="48"/>
    </row>
    <row r="144" spans="2:7" ht="12.75" customHeight="1">
      <c r="B144" s="48"/>
      <c r="C144" s="48"/>
      <c r="D144" s="48"/>
      <c r="E144" s="48"/>
      <c r="F144" s="48"/>
      <c r="G144" s="48"/>
    </row>
    <row r="145" spans="2:7" ht="12.75" customHeight="1">
      <c r="B145" s="48"/>
      <c r="C145" s="48"/>
      <c r="D145" s="48"/>
      <c r="E145" s="48"/>
      <c r="F145" s="48"/>
      <c r="G145" s="48"/>
    </row>
    <row r="146" spans="2:7" ht="12.75" customHeight="1">
      <c r="B146" s="48"/>
      <c r="C146" s="48"/>
      <c r="D146" s="48"/>
      <c r="E146" s="48"/>
      <c r="F146" s="48"/>
      <c r="G146" s="48"/>
    </row>
    <row r="147" spans="2:7" ht="12.75" customHeight="1">
      <c r="B147" s="48"/>
      <c r="C147" s="48"/>
      <c r="D147" s="48"/>
      <c r="E147" s="48"/>
      <c r="F147" s="48"/>
      <c r="G147" s="48"/>
    </row>
    <row r="148" spans="2:7" ht="12.75" customHeight="1">
      <c r="B148" s="48"/>
      <c r="C148" s="48"/>
      <c r="D148" s="48"/>
      <c r="E148" s="48"/>
      <c r="F148" s="48"/>
      <c r="G148" s="48"/>
    </row>
    <row r="149" spans="2:7" ht="12.75" customHeight="1">
      <c r="B149" s="48"/>
      <c r="C149" s="48"/>
      <c r="D149" s="48"/>
      <c r="E149" s="48"/>
      <c r="F149" s="48"/>
      <c r="G149" s="48"/>
    </row>
    <row r="150" spans="2:7" ht="12.75" customHeight="1">
      <c r="B150" s="48"/>
      <c r="C150" s="48"/>
      <c r="D150" s="48"/>
      <c r="E150" s="48"/>
      <c r="F150" s="48"/>
      <c r="G150" s="48"/>
    </row>
    <row r="151" spans="2:7" ht="12.75" customHeight="1">
      <c r="B151" s="48"/>
      <c r="C151" s="48"/>
      <c r="D151" s="48"/>
      <c r="E151" s="48"/>
      <c r="F151" s="48"/>
      <c r="G151" s="48"/>
    </row>
    <row r="152" spans="2:7" ht="12.75" customHeight="1">
      <c r="B152" s="48"/>
      <c r="C152" s="48"/>
      <c r="D152" s="48"/>
      <c r="E152" s="48"/>
      <c r="F152" s="48"/>
      <c r="G152" s="48"/>
    </row>
    <row r="153" spans="2:7" ht="12.75" customHeight="1">
      <c r="B153" s="48"/>
      <c r="C153" s="48"/>
      <c r="D153" s="48"/>
      <c r="E153" s="48"/>
      <c r="F153" s="48"/>
      <c r="G153" s="48"/>
    </row>
    <row r="154" spans="2:7" ht="12.75" customHeight="1">
      <c r="B154" s="48"/>
      <c r="C154" s="48"/>
      <c r="D154" s="48"/>
      <c r="E154" s="48"/>
      <c r="F154" s="48"/>
      <c r="G154" s="48"/>
    </row>
    <row r="155" spans="2:7" ht="12.75" customHeight="1">
      <c r="B155" s="48"/>
      <c r="C155" s="48"/>
      <c r="D155" s="48"/>
      <c r="E155" s="48"/>
      <c r="F155" s="48"/>
      <c r="G155" s="48"/>
    </row>
    <row r="156" spans="2:7" ht="12.75" customHeight="1">
      <c r="B156" s="48"/>
      <c r="C156" s="48"/>
      <c r="D156" s="48"/>
      <c r="E156" s="48"/>
      <c r="F156" s="48"/>
      <c r="G156" s="48"/>
    </row>
    <row r="157" spans="2:7" ht="12.75" customHeight="1">
      <c r="B157" s="48"/>
      <c r="C157" s="48"/>
      <c r="D157" s="48"/>
      <c r="E157" s="48"/>
      <c r="F157" s="48"/>
      <c r="G157" s="48"/>
    </row>
    <row r="158" spans="2:7" ht="12.75" customHeight="1">
      <c r="B158" s="48"/>
      <c r="C158" s="48"/>
      <c r="D158" s="48"/>
      <c r="E158" s="48"/>
      <c r="F158" s="48"/>
      <c r="G158" s="48"/>
    </row>
    <row r="159" spans="2:7" ht="12.75" customHeight="1">
      <c r="B159" s="48"/>
      <c r="C159" s="48"/>
      <c r="D159" s="48"/>
      <c r="E159" s="48"/>
      <c r="F159" s="48"/>
      <c r="G159" s="48"/>
    </row>
    <row r="160" spans="2:7" ht="12.75" customHeight="1">
      <c r="B160" s="48"/>
      <c r="C160" s="48"/>
      <c r="D160" s="48"/>
      <c r="E160" s="48"/>
      <c r="F160" s="48"/>
      <c r="G160" s="48"/>
    </row>
    <row r="161" spans="2:7" ht="12.75" customHeight="1">
      <c r="B161" s="48"/>
      <c r="C161" s="48"/>
      <c r="D161" s="48"/>
      <c r="E161" s="48"/>
      <c r="F161" s="48"/>
      <c r="G161" s="48"/>
    </row>
    <row r="162" spans="2:7" ht="12.75" customHeight="1">
      <c r="B162" s="48"/>
      <c r="C162" s="48"/>
      <c r="D162" s="48"/>
      <c r="E162" s="48"/>
      <c r="F162" s="48"/>
      <c r="G162" s="48"/>
    </row>
    <row r="163" spans="2:7" ht="12.75" customHeight="1">
      <c r="B163" s="48"/>
      <c r="C163" s="48"/>
      <c r="D163" s="48"/>
      <c r="E163" s="48"/>
      <c r="F163" s="48"/>
      <c r="G163" s="48"/>
    </row>
    <row r="164" spans="2:7" ht="12.75" customHeight="1">
      <c r="B164" s="48"/>
      <c r="C164" s="48"/>
      <c r="D164" s="48"/>
      <c r="E164" s="48"/>
      <c r="F164" s="48"/>
      <c r="G164" s="48"/>
    </row>
    <row r="165" spans="2:7" ht="12.75" customHeight="1">
      <c r="B165" s="48"/>
      <c r="C165" s="48"/>
      <c r="D165" s="48"/>
      <c r="E165" s="48"/>
      <c r="F165" s="48"/>
      <c r="G165" s="48"/>
    </row>
    <row r="166" spans="2:7" ht="12.75" customHeight="1">
      <c r="B166" s="48"/>
      <c r="C166" s="48"/>
      <c r="D166" s="48"/>
      <c r="E166" s="48"/>
      <c r="F166" s="48"/>
      <c r="G166" s="48"/>
    </row>
    <row r="167" spans="2:7" ht="12.75" customHeight="1">
      <c r="B167" s="48"/>
      <c r="C167" s="48"/>
      <c r="D167" s="48"/>
      <c r="E167" s="48"/>
      <c r="F167" s="48"/>
      <c r="G167" s="48"/>
    </row>
    <row r="168" spans="2:7" ht="12.75" customHeight="1">
      <c r="B168" s="48"/>
      <c r="C168" s="48"/>
      <c r="D168" s="48"/>
      <c r="E168" s="48"/>
      <c r="F168" s="48"/>
      <c r="G168" s="48"/>
    </row>
    <row r="169" spans="2:7" ht="12.75" customHeight="1">
      <c r="B169" s="48"/>
      <c r="C169" s="48"/>
      <c r="D169" s="48"/>
      <c r="E169" s="48"/>
      <c r="F169" s="48"/>
      <c r="G169" s="48"/>
    </row>
    <row r="170" spans="2:7" ht="12.75" customHeight="1">
      <c r="B170" s="48"/>
      <c r="C170" s="48"/>
      <c r="D170" s="48"/>
      <c r="E170" s="48"/>
      <c r="F170" s="48"/>
      <c r="G170" s="48"/>
    </row>
    <row r="171" spans="2:7" ht="12.75" customHeight="1">
      <c r="B171" s="48"/>
      <c r="C171" s="48"/>
      <c r="D171" s="48"/>
      <c r="E171" s="48"/>
      <c r="F171" s="48"/>
      <c r="G171" s="48"/>
    </row>
    <row r="172" spans="2:7" ht="12.75" customHeight="1">
      <c r="B172" s="48"/>
      <c r="C172" s="48"/>
      <c r="D172" s="48"/>
      <c r="E172" s="48"/>
      <c r="F172" s="48"/>
      <c r="G172" s="48"/>
    </row>
    <row r="173" spans="2:7" ht="12.75" customHeight="1">
      <c r="B173" s="48"/>
      <c r="C173" s="48"/>
      <c r="D173" s="48"/>
      <c r="E173" s="48"/>
      <c r="F173" s="48"/>
      <c r="G173" s="48"/>
    </row>
    <row r="174" spans="2:7" ht="12.75" customHeight="1">
      <c r="B174" s="48"/>
      <c r="C174" s="48"/>
      <c r="D174" s="48"/>
      <c r="E174" s="48"/>
      <c r="F174" s="48"/>
      <c r="G174" s="48"/>
    </row>
    <row r="175" spans="2:7" ht="12.75" customHeight="1">
      <c r="B175" s="48"/>
      <c r="C175" s="48"/>
      <c r="D175" s="48"/>
      <c r="E175" s="48"/>
      <c r="F175" s="48"/>
      <c r="G175" s="48"/>
    </row>
    <row r="176" spans="2:7" ht="12.75" customHeight="1">
      <c r="B176" s="48"/>
      <c r="C176" s="48"/>
      <c r="D176" s="48"/>
      <c r="E176" s="48"/>
      <c r="F176" s="48"/>
      <c r="G176" s="48"/>
    </row>
    <row r="177" spans="2:7" ht="12.75" customHeight="1">
      <c r="B177" s="48"/>
      <c r="C177" s="48"/>
      <c r="D177" s="48"/>
      <c r="E177" s="48"/>
      <c r="F177" s="48"/>
      <c r="G177" s="48"/>
    </row>
    <row r="178" spans="2:7" ht="12.75" customHeight="1">
      <c r="B178" s="48"/>
      <c r="C178" s="48"/>
      <c r="D178" s="48"/>
      <c r="E178" s="48"/>
      <c r="F178" s="48"/>
      <c r="G178" s="48"/>
    </row>
    <row r="179" spans="2:7" ht="12.75" customHeight="1">
      <c r="B179" s="48"/>
      <c r="C179" s="48"/>
      <c r="D179" s="48"/>
      <c r="E179" s="48"/>
      <c r="F179" s="48"/>
      <c r="G179" s="48"/>
    </row>
    <row r="180" spans="2:7" ht="12.75" customHeight="1">
      <c r="B180" s="48"/>
      <c r="C180" s="48"/>
      <c r="D180" s="48"/>
      <c r="E180" s="48"/>
      <c r="F180" s="48"/>
      <c r="G180" s="48"/>
    </row>
    <row r="181" spans="2:7" ht="12.75" customHeight="1">
      <c r="B181" s="48"/>
      <c r="C181" s="48"/>
      <c r="D181" s="48"/>
      <c r="E181" s="48"/>
      <c r="F181" s="48"/>
      <c r="G181" s="48"/>
    </row>
    <row r="182" spans="2:7" ht="12.75" customHeight="1">
      <c r="B182" s="48"/>
      <c r="C182" s="48"/>
      <c r="D182" s="48"/>
      <c r="E182" s="48"/>
      <c r="F182" s="48"/>
      <c r="G182" s="48"/>
    </row>
    <row r="183" spans="2:7" ht="12.75" customHeight="1">
      <c r="B183" s="48"/>
      <c r="C183" s="48"/>
      <c r="D183" s="48"/>
      <c r="E183" s="48"/>
      <c r="F183" s="48"/>
      <c r="G183" s="48"/>
    </row>
    <row r="184" spans="2:7" ht="12.75" customHeight="1">
      <c r="B184" s="48"/>
      <c r="C184" s="48"/>
      <c r="D184" s="48"/>
      <c r="E184" s="48"/>
      <c r="F184" s="48"/>
      <c r="G184" s="48"/>
    </row>
    <row r="185" spans="2:7" ht="12.75" customHeight="1">
      <c r="B185" s="48"/>
      <c r="C185" s="48"/>
      <c r="D185" s="48"/>
      <c r="E185" s="48"/>
      <c r="F185" s="48"/>
      <c r="G185" s="48"/>
    </row>
    <row r="186" spans="2:7" ht="12.75" customHeight="1">
      <c r="B186" s="48"/>
      <c r="C186" s="48"/>
      <c r="D186" s="48"/>
      <c r="E186" s="48"/>
      <c r="F186" s="48"/>
      <c r="G186" s="48"/>
    </row>
    <row r="187" spans="2:7" ht="12.75" customHeight="1">
      <c r="B187" s="48"/>
      <c r="C187" s="48"/>
      <c r="D187" s="48"/>
      <c r="E187" s="48"/>
      <c r="F187" s="48"/>
      <c r="G187" s="48"/>
    </row>
    <row r="188" spans="2:7" ht="12.75" customHeight="1">
      <c r="B188" s="48"/>
      <c r="C188" s="48"/>
      <c r="D188" s="48"/>
      <c r="E188" s="48"/>
      <c r="F188" s="48"/>
      <c r="G188" s="48"/>
    </row>
    <row r="189" spans="2:7" ht="12.75" customHeight="1">
      <c r="B189" s="48"/>
      <c r="C189" s="48"/>
      <c r="D189" s="48"/>
      <c r="E189" s="48"/>
      <c r="F189" s="48"/>
      <c r="G189" s="48"/>
    </row>
    <row r="190" spans="2:7" ht="12.75" customHeight="1">
      <c r="B190" s="48"/>
      <c r="C190" s="48"/>
      <c r="D190" s="48"/>
      <c r="E190" s="48"/>
      <c r="F190" s="48"/>
      <c r="G190" s="48"/>
    </row>
    <row r="191" spans="2:7" ht="12.75" customHeight="1">
      <c r="B191" s="48"/>
      <c r="C191" s="48"/>
      <c r="D191" s="48"/>
      <c r="E191" s="48"/>
      <c r="F191" s="48"/>
      <c r="G191" s="48"/>
    </row>
    <row r="192" spans="2:7" ht="12.75" customHeight="1">
      <c r="B192" s="48"/>
      <c r="C192" s="48"/>
      <c r="D192" s="48"/>
      <c r="E192" s="48"/>
      <c r="F192" s="48"/>
      <c r="G192" s="48"/>
    </row>
    <row r="193" spans="2:7" ht="12.75" customHeight="1">
      <c r="B193" s="48"/>
      <c r="C193" s="48"/>
      <c r="D193" s="48"/>
      <c r="E193" s="48"/>
      <c r="F193" s="48"/>
      <c r="G193" s="48"/>
    </row>
    <row r="194" spans="2:7" ht="12.75" customHeight="1">
      <c r="B194" s="48"/>
      <c r="C194" s="48"/>
      <c r="D194" s="48"/>
      <c r="E194" s="48"/>
      <c r="F194" s="48"/>
      <c r="G194" s="48"/>
    </row>
    <row r="195" spans="2:7" ht="12.75" customHeight="1">
      <c r="B195" s="48"/>
      <c r="C195" s="48"/>
      <c r="D195" s="48"/>
      <c r="E195" s="48"/>
      <c r="F195" s="48"/>
      <c r="G195" s="48"/>
    </row>
    <row r="196" spans="2:7" ht="12.75" customHeight="1">
      <c r="B196" s="48"/>
      <c r="C196" s="48"/>
      <c r="D196" s="48"/>
      <c r="E196" s="48"/>
      <c r="F196" s="48"/>
      <c r="G196" s="48"/>
    </row>
    <row r="197" spans="2:7" ht="12.75" customHeight="1">
      <c r="B197" s="48"/>
      <c r="C197" s="48"/>
      <c r="D197" s="48"/>
      <c r="E197" s="48"/>
      <c r="F197" s="48"/>
      <c r="G197" s="48"/>
    </row>
    <row r="198" spans="2:7" ht="12.75" customHeight="1">
      <c r="B198" s="48"/>
      <c r="C198" s="48"/>
      <c r="D198" s="48"/>
      <c r="E198" s="48"/>
      <c r="F198" s="48"/>
      <c r="G198" s="48"/>
    </row>
    <row r="199" spans="2:7" ht="12.75" customHeight="1">
      <c r="B199" s="48"/>
      <c r="C199" s="48"/>
      <c r="D199" s="48"/>
      <c r="E199" s="48"/>
      <c r="F199" s="48"/>
      <c r="G199" s="48"/>
    </row>
    <row r="200" spans="2:7" ht="12.75" customHeight="1">
      <c r="B200" s="48"/>
      <c r="C200" s="48"/>
      <c r="D200" s="48"/>
      <c r="E200" s="48"/>
      <c r="F200" s="48"/>
      <c r="G200" s="48"/>
    </row>
    <row r="201" spans="2:7" ht="12.75" customHeight="1">
      <c r="B201" s="48"/>
      <c r="C201" s="48"/>
      <c r="D201" s="48"/>
      <c r="E201" s="48"/>
      <c r="F201" s="48"/>
      <c r="G201" s="48"/>
    </row>
    <row r="202" spans="2:7" ht="12.75" customHeight="1">
      <c r="B202" s="48"/>
      <c r="C202" s="48"/>
      <c r="D202" s="48"/>
      <c r="E202" s="48"/>
      <c r="F202" s="48"/>
      <c r="G202" s="48"/>
    </row>
    <row r="203" spans="2:7" ht="12.75" customHeight="1">
      <c r="B203" s="48"/>
      <c r="C203" s="48"/>
      <c r="D203" s="48"/>
      <c r="E203" s="48"/>
      <c r="F203" s="48"/>
      <c r="G203" s="48"/>
    </row>
    <row r="204" spans="2:7" ht="12.75" customHeight="1">
      <c r="B204" s="48"/>
      <c r="C204" s="48"/>
      <c r="D204" s="48"/>
      <c r="E204" s="48"/>
      <c r="F204" s="48"/>
      <c r="G204" s="48"/>
    </row>
    <row r="205" spans="2:7" ht="12.75" customHeight="1">
      <c r="B205" s="48"/>
      <c r="C205" s="48"/>
      <c r="D205" s="48"/>
      <c r="E205" s="48"/>
      <c r="F205" s="48"/>
      <c r="G205" s="48"/>
    </row>
    <row r="206" spans="2:7" ht="12.75" customHeight="1">
      <c r="B206" s="48"/>
      <c r="C206" s="48"/>
      <c r="D206" s="48"/>
      <c r="E206" s="48"/>
      <c r="F206" s="48"/>
      <c r="G206" s="48"/>
    </row>
    <row r="207" spans="2:7" ht="12.75" customHeight="1">
      <c r="B207" s="48"/>
      <c r="C207" s="48"/>
      <c r="D207" s="48"/>
      <c r="E207" s="48"/>
      <c r="F207" s="48"/>
      <c r="G207" s="48"/>
    </row>
    <row r="208" spans="2:7" ht="12.75" customHeight="1">
      <c r="B208" s="48"/>
      <c r="C208" s="48"/>
      <c r="D208" s="48"/>
      <c r="E208" s="48"/>
      <c r="F208" s="48"/>
      <c r="G208" s="48"/>
    </row>
    <row r="209" spans="2:7" ht="12.75" customHeight="1">
      <c r="B209" s="48"/>
      <c r="C209" s="48"/>
      <c r="D209" s="48"/>
      <c r="E209" s="48"/>
      <c r="F209" s="48"/>
      <c r="G209" s="48"/>
    </row>
    <row r="210" spans="2:7" ht="12.75" customHeight="1">
      <c r="B210" s="48"/>
      <c r="C210" s="48"/>
      <c r="D210" s="48"/>
      <c r="E210" s="48"/>
      <c r="F210" s="48"/>
      <c r="G210" s="48"/>
    </row>
    <row r="211" spans="2:7" ht="12.75" customHeight="1">
      <c r="B211" s="48"/>
      <c r="C211" s="48"/>
      <c r="D211" s="48"/>
      <c r="E211" s="48"/>
      <c r="F211" s="48"/>
      <c r="G211" s="48"/>
    </row>
    <row r="212" spans="2:7" ht="12.75" customHeight="1">
      <c r="B212" s="48"/>
      <c r="C212" s="48"/>
      <c r="D212" s="48"/>
      <c r="E212" s="48"/>
      <c r="F212" s="48"/>
      <c r="G212" s="48"/>
    </row>
    <row r="213" spans="2:7" ht="12.75" customHeight="1">
      <c r="B213" s="48"/>
      <c r="C213" s="48"/>
      <c r="D213" s="48"/>
      <c r="E213" s="48"/>
      <c r="F213" s="48"/>
      <c r="G213" s="48"/>
    </row>
    <row r="214" spans="2:7" ht="12.75" customHeight="1">
      <c r="B214" s="48"/>
      <c r="C214" s="48"/>
      <c r="D214" s="48"/>
      <c r="E214" s="48"/>
      <c r="F214" s="48"/>
      <c r="G214" s="48"/>
    </row>
    <row r="215" spans="2:7" ht="12.75" customHeight="1">
      <c r="B215" s="48"/>
      <c r="C215" s="48"/>
      <c r="D215" s="48"/>
      <c r="E215" s="48"/>
      <c r="F215" s="48"/>
      <c r="G215" s="48"/>
    </row>
    <row r="216" spans="2:7" ht="12.75" customHeight="1">
      <c r="B216" s="48"/>
      <c r="C216" s="48"/>
      <c r="D216" s="48"/>
      <c r="E216" s="48"/>
      <c r="F216" s="48"/>
      <c r="G216" s="48"/>
    </row>
    <row r="217" spans="2:7" ht="12.75" customHeight="1">
      <c r="B217" s="48"/>
      <c r="C217" s="48"/>
      <c r="D217" s="48"/>
      <c r="E217" s="48"/>
      <c r="F217" s="48"/>
      <c r="G217" s="48"/>
    </row>
    <row r="218" spans="2:7" ht="12.75" customHeight="1">
      <c r="B218" s="48"/>
      <c r="C218" s="48"/>
      <c r="D218" s="48"/>
      <c r="E218" s="48"/>
      <c r="F218" s="48"/>
      <c r="G218" s="48"/>
    </row>
    <row r="219" spans="2:7" ht="12.75" customHeight="1">
      <c r="B219" s="48"/>
      <c r="C219" s="48"/>
      <c r="D219" s="48"/>
      <c r="E219" s="48"/>
      <c r="F219" s="48"/>
      <c r="G219" s="48"/>
    </row>
    <row r="220" spans="2:7" ht="12.75" customHeight="1">
      <c r="B220" s="48"/>
      <c r="C220" s="48"/>
      <c r="D220" s="48"/>
      <c r="E220" s="48"/>
      <c r="F220" s="48"/>
      <c r="G220" s="48"/>
    </row>
    <row r="221" spans="2:7" ht="12.75" customHeight="1">
      <c r="B221" s="48"/>
      <c r="C221" s="48"/>
      <c r="D221" s="48"/>
      <c r="E221" s="48"/>
      <c r="F221" s="48"/>
      <c r="G221" s="48"/>
    </row>
    <row r="222" spans="2:7" ht="12.75" customHeight="1">
      <c r="B222" s="48"/>
      <c r="C222" s="48"/>
      <c r="D222" s="48"/>
      <c r="E222" s="48"/>
      <c r="F222" s="48"/>
      <c r="G222" s="48"/>
    </row>
    <row r="223" spans="2:7" ht="12.75" customHeight="1">
      <c r="B223" s="48"/>
      <c r="C223" s="48"/>
      <c r="D223" s="48"/>
      <c r="E223" s="48"/>
      <c r="F223" s="48"/>
      <c r="G223" s="48"/>
    </row>
    <row r="224" spans="2:7" ht="12.75" customHeight="1">
      <c r="B224" s="48"/>
      <c r="C224" s="48"/>
      <c r="D224" s="48"/>
      <c r="E224" s="48"/>
      <c r="F224" s="48"/>
      <c r="G224" s="48"/>
    </row>
    <row r="225" spans="2:7" ht="12.75" customHeight="1">
      <c r="B225" s="48"/>
      <c r="C225" s="48"/>
      <c r="D225" s="48"/>
      <c r="E225" s="48"/>
      <c r="F225" s="48"/>
      <c r="G225" s="48"/>
    </row>
    <row r="226" spans="2:7" ht="12.75" customHeight="1">
      <c r="B226" s="48"/>
      <c r="C226" s="48"/>
      <c r="D226" s="48"/>
      <c r="E226" s="48"/>
      <c r="F226" s="48"/>
      <c r="G226" s="48"/>
    </row>
    <row r="227" spans="2:7" ht="12.75" customHeight="1">
      <c r="B227" s="48"/>
      <c r="C227" s="48"/>
      <c r="D227" s="48"/>
      <c r="E227" s="48"/>
      <c r="F227" s="48"/>
      <c r="G227" s="48"/>
    </row>
    <row r="228" spans="2:7" ht="12.75" customHeight="1">
      <c r="B228" s="48"/>
      <c r="C228" s="48"/>
      <c r="D228" s="48"/>
      <c r="E228" s="48"/>
      <c r="F228" s="48"/>
      <c r="G228" s="48"/>
    </row>
    <row r="229" spans="2:7" ht="12.75" customHeight="1">
      <c r="B229" s="48"/>
      <c r="C229" s="48"/>
      <c r="D229" s="48"/>
      <c r="E229" s="48"/>
      <c r="F229" s="48"/>
      <c r="G229" s="48"/>
    </row>
    <row r="230" spans="2:7" ht="12.75" customHeight="1">
      <c r="B230" s="48"/>
      <c r="C230" s="48"/>
      <c r="D230" s="48"/>
      <c r="E230" s="48"/>
      <c r="F230" s="48"/>
      <c r="G230" s="48"/>
    </row>
    <row r="231" spans="2:7" ht="12.75" customHeight="1">
      <c r="B231" s="48"/>
      <c r="C231" s="48"/>
      <c r="D231" s="48"/>
      <c r="E231" s="48"/>
      <c r="F231" s="48"/>
      <c r="G231" s="48"/>
    </row>
    <row r="232" spans="2:7" ht="12.75" customHeight="1">
      <c r="B232" s="48"/>
      <c r="C232" s="48"/>
      <c r="D232" s="48"/>
      <c r="E232" s="48"/>
      <c r="F232" s="48"/>
      <c r="G232" s="48"/>
    </row>
    <row r="233" spans="2:7" ht="12.75" customHeight="1">
      <c r="B233" s="48"/>
      <c r="C233" s="48"/>
      <c r="D233" s="48"/>
      <c r="E233" s="48"/>
      <c r="F233" s="48"/>
      <c r="G233" s="48"/>
    </row>
    <row r="234" spans="2:7" ht="12.75" customHeight="1">
      <c r="B234" s="48"/>
      <c r="C234" s="48"/>
      <c r="D234" s="48"/>
      <c r="E234" s="48"/>
      <c r="F234" s="48"/>
      <c r="G234" s="48"/>
    </row>
    <row r="235" spans="2:7" ht="12.75" customHeight="1">
      <c r="B235" s="48"/>
      <c r="C235" s="48"/>
      <c r="D235" s="48"/>
      <c r="E235" s="48"/>
      <c r="F235" s="48"/>
      <c r="G235" s="48"/>
    </row>
    <row r="236" spans="2:7" ht="12.75" customHeight="1">
      <c r="B236" s="48"/>
      <c r="C236" s="48"/>
      <c r="D236" s="48"/>
      <c r="E236" s="48"/>
      <c r="F236" s="48"/>
      <c r="G236" s="48"/>
    </row>
    <row r="237" spans="2:7" ht="12.75" customHeight="1">
      <c r="B237" s="48"/>
      <c r="C237" s="48"/>
      <c r="D237" s="48"/>
      <c r="E237" s="48"/>
      <c r="F237" s="48"/>
      <c r="G237" s="48"/>
    </row>
    <row r="238" spans="2:7" ht="12.75" customHeight="1">
      <c r="B238" s="48"/>
      <c r="C238" s="48"/>
      <c r="D238" s="48"/>
      <c r="E238" s="48"/>
      <c r="F238" s="48"/>
      <c r="G238" s="48"/>
    </row>
    <row r="239" spans="2:7" ht="12.75" customHeight="1">
      <c r="B239" s="48"/>
      <c r="C239" s="48"/>
      <c r="D239" s="48"/>
      <c r="E239" s="48"/>
      <c r="F239" s="48"/>
      <c r="G239" s="48"/>
    </row>
    <row r="240" spans="2:7" ht="12.75" customHeight="1">
      <c r="B240" s="48"/>
      <c r="C240" s="48"/>
      <c r="D240" s="48"/>
      <c r="E240" s="48"/>
      <c r="F240" s="48"/>
      <c r="G240" s="48"/>
    </row>
    <row r="241" spans="2:7" ht="12.75" customHeight="1">
      <c r="B241" s="48"/>
      <c r="C241" s="48"/>
      <c r="D241" s="48"/>
      <c r="E241" s="48"/>
      <c r="F241" s="48"/>
      <c r="G241" s="48"/>
    </row>
    <row r="242" spans="2:7" ht="12.75" customHeight="1">
      <c r="B242" s="48"/>
      <c r="C242" s="48"/>
      <c r="D242" s="48"/>
      <c r="E242" s="48"/>
      <c r="F242" s="48"/>
      <c r="G242" s="48"/>
    </row>
    <row r="243" spans="2:7" ht="12.75" customHeight="1">
      <c r="B243" s="48"/>
      <c r="C243" s="48"/>
      <c r="D243" s="48"/>
      <c r="E243" s="48"/>
      <c r="F243" s="48"/>
      <c r="G243" s="48"/>
    </row>
    <row r="244" spans="2:7" ht="12.75" customHeight="1">
      <c r="B244" s="48"/>
      <c r="C244" s="48"/>
      <c r="D244" s="48"/>
      <c r="E244" s="48"/>
      <c r="F244" s="48"/>
      <c r="G244" s="48"/>
    </row>
    <row r="245" spans="2:7" ht="12.75" customHeight="1">
      <c r="B245" s="48"/>
      <c r="C245" s="48"/>
      <c r="D245" s="48"/>
      <c r="E245" s="48"/>
      <c r="F245" s="48"/>
      <c r="G245" s="48"/>
    </row>
    <row r="246" spans="2:7" ht="12.75" customHeight="1">
      <c r="B246" s="48"/>
      <c r="C246" s="48"/>
      <c r="D246" s="48"/>
      <c r="E246" s="48"/>
      <c r="F246" s="48"/>
      <c r="G246" s="48"/>
    </row>
    <row r="247" spans="2:7" ht="12.75" customHeight="1">
      <c r="B247" s="48"/>
      <c r="C247" s="48"/>
      <c r="D247" s="48"/>
      <c r="E247" s="48"/>
      <c r="F247" s="48"/>
      <c r="G247" s="48"/>
    </row>
    <row r="248" spans="2:7" ht="12.75" customHeight="1">
      <c r="B248" s="48"/>
      <c r="C248" s="48"/>
      <c r="D248" s="48"/>
      <c r="E248" s="48"/>
      <c r="F248" s="48"/>
      <c r="G248" s="48"/>
    </row>
    <row r="249" spans="2:7" ht="12.75" customHeight="1">
      <c r="B249" s="48"/>
      <c r="C249" s="48"/>
      <c r="D249" s="48"/>
      <c r="E249" s="48"/>
      <c r="F249" s="48"/>
      <c r="G249" s="48"/>
    </row>
    <row r="250" spans="2:7" ht="12.75" customHeight="1">
      <c r="B250" s="48"/>
      <c r="C250" s="48"/>
      <c r="D250" s="48"/>
      <c r="E250" s="48"/>
      <c r="F250" s="48"/>
      <c r="G250" s="48"/>
    </row>
    <row r="251" spans="2:7" ht="12.75" customHeight="1">
      <c r="B251" s="48"/>
      <c r="C251" s="48"/>
      <c r="D251" s="48"/>
      <c r="E251" s="48"/>
      <c r="F251" s="48"/>
      <c r="G251" s="48"/>
    </row>
    <row r="252" spans="2:7" ht="12.75" customHeight="1">
      <c r="B252" s="48"/>
      <c r="C252" s="48"/>
      <c r="D252" s="48"/>
      <c r="E252" s="48"/>
      <c r="F252" s="48"/>
      <c r="G252" s="48"/>
    </row>
    <row r="253" spans="2:7" ht="12.75" customHeight="1">
      <c r="B253" s="48"/>
      <c r="C253" s="48"/>
      <c r="D253" s="48"/>
      <c r="E253" s="48"/>
      <c r="F253" s="48"/>
      <c r="G253" s="48"/>
    </row>
    <row r="254" spans="2:7" ht="12.75" customHeight="1">
      <c r="B254" s="48"/>
      <c r="C254" s="48"/>
      <c r="D254" s="48"/>
      <c r="E254" s="48"/>
      <c r="F254" s="48"/>
      <c r="G254" s="48"/>
    </row>
    <row r="255" spans="2:7" ht="12.75" customHeight="1">
      <c r="B255" s="48"/>
      <c r="C255" s="48"/>
      <c r="D255" s="48"/>
      <c r="E255" s="48"/>
      <c r="F255" s="48"/>
      <c r="G255" s="48"/>
    </row>
    <row r="256" spans="2:7" ht="12.75" customHeight="1">
      <c r="B256" s="48"/>
      <c r="C256" s="48"/>
      <c r="D256" s="48"/>
      <c r="E256" s="48"/>
      <c r="F256" s="48"/>
      <c r="G256" s="48"/>
    </row>
    <row r="257" spans="2:7" ht="12.75" customHeight="1">
      <c r="B257" s="48"/>
      <c r="C257" s="48"/>
      <c r="D257" s="48"/>
      <c r="E257" s="48"/>
      <c r="F257" s="48"/>
      <c r="G257" s="48"/>
    </row>
    <row r="258" spans="2:7" ht="12.75" customHeight="1">
      <c r="B258" s="48"/>
      <c r="C258" s="48"/>
      <c r="D258" s="48"/>
      <c r="E258" s="48"/>
      <c r="F258" s="48"/>
      <c r="G258" s="48"/>
    </row>
    <row r="259" spans="2:7" ht="12.75" customHeight="1">
      <c r="B259" s="48"/>
      <c r="C259" s="48"/>
      <c r="D259" s="48"/>
      <c r="E259" s="48"/>
      <c r="F259" s="48"/>
      <c r="G259" s="48"/>
    </row>
    <row r="260" spans="2:7" ht="12.75" customHeight="1">
      <c r="B260" s="48"/>
      <c r="C260" s="48"/>
      <c r="D260" s="48"/>
      <c r="E260" s="48"/>
      <c r="F260" s="48"/>
      <c r="G260" s="48"/>
    </row>
    <row r="261" spans="2:7" ht="12.75" customHeight="1">
      <c r="B261" s="48"/>
      <c r="C261" s="48"/>
      <c r="D261" s="48"/>
      <c r="E261" s="48"/>
      <c r="F261" s="48"/>
      <c r="G261" s="48"/>
    </row>
    <row r="262" spans="2:7" ht="12.75" customHeight="1">
      <c r="B262" s="48"/>
      <c r="C262" s="48"/>
      <c r="D262" s="48"/>
      <c r="E262" s="48"/>
      <c r="F262" s="48"/>
      <c r="G262" s="48"/>
    </row>
    <row r="263" spans="2:7" ht="12.75" customHeight="1">
      <c r="B263" s="48"/>
      <c r="C263" s="48"/>
      <c r="D263" s="48"/>
      <c r="E263" s="48"/>
      <c r="F263" s="48"/>
      <c r="G263" s="48"/>
    </row>
    <row r="264" spans="2:7" ht="12.75" customHeight="1">
      <c r="B264" s="48"/>
      <c r="C264" s="48"/>
      <c r="D264" s="48"/>
      <c r="E264" s="48"/>
      <c r="F264" s="48"/>
      <c r="G264" s="48"/>
    </row>
    <row r="265" spans="2:7" ht="12.75" customHeight="1">
      <c r="B265" s="48"/>
      <c r="C265" s="48"/>
      <c r="D265" s="48"/>
      <c r="E265" s="48"/>
      <c r="F265" s="48"/>
      <c r="G265" s="48"/>
    </row>
    <row r="266" spans="2:7" ht="12.75" customHeight="1">
      <c r="B266" s="48"/>
      <c r="C266" s="48"/>
      <c r="D266" s="48"/>
      <c r="E266" s="48"/>
      <c r="F266" s="48"/>
      <c r="G266" s="48"/>
    </row>
    <row r="267" spans="2:7" ht="12.75" customHeight="1">
      <c r="B267" s="48"/>
      <c r="C267" s="48"/>
      <c r="D267" s="48"/>
      <c r="E267" s="48"/>
      <c r="F267" s="48"/>
      <c r="G267" s="48"/>
    </row>
    <row r="268" spans="2:7" ht="12.75" customHeight="1">
      <c r="B268" s="48"/>
      <c r="C268" s="48"/>
      <c r="D268" s="48"/>
      <c r="E268" s="48"/>
      <c r="F268" s="48"/>
      <c r="G268" s="48"/>
    </row>
    <row r="269" spans="2:7" ht="12.75" customHeight="1">
      <c r="B269" s="48"/>
      <c r="C269" s="48"/>
      <c r="D269" s="48"/>
      <c r="E269" s="48"/>
      <c r="F269" s="48"/>
      <c r="G269" s="48"/>
    </row>
    <row r="270" spans="2:7" ht="12.75" customHeight="1">
      <c r="B270" s="48"/>
      <c r="C270" s="48"/>
      <c r="D270" s="48"/>
      <c r="E270" s="48"/>
      <c r="F270" s="48"/>
      <c r="G270" s="48"/>
    </row>
    <row r="271" spans="2:7" ht="12.75" customHeight="1">
      <c r="B271" s="48"/>
      <c r="C271" s="48"/>
      <c r="D271" s="48"/>
      <c r="E271" s="48"/>
      <c r="F271" s="48"/>
      <c r="G271" s="48"/>
    </row>
    <row r="272" spans="2:7" ht="12.75" customHeight="1">
      <c r="B272" s="48"/>
      <c r="C272" s="48"/>
      <c r="D272" s="48"/>
      <c r="E272" s="48"/>
      <c r="F272" s="48"/>
      <c r="G272" s="48"/>
    </row>
    <row r="273" spans="2:7" ht="12.75" customHeight="1">
      <c r="B273" s="48"/>
      <c r="C273" s="48"/>
      <c r="D273" s="48"/>
      <c r="E273" s="48"/>
      <c r="F273" s="48"/>
      <c r="G273" s="48"/>
    </row>
    <row r="274" spans="2:7" ht="12.75" customHeight="1">
      <c r="B274" s="48"/>
      <c r="C274" s="48"/>
      <c r="D274" s="48"/>
      <c r="E274" s="48"/>
      <c r="F274" s="48"/>
      <c r="G274" s="48"/>
    </row>
    <row r="275" spans="2:7" ht="12.75" customHeight="1">
      <c r="B275" s="48"/>
      <c r="C275" s="48"/>
      <c r="D275" s="48"/>
      <c r="E275" s="48"/>
      <c r="F275" s="48"/>
      <c r="G275" s="48"/>
    </row>
    <row r="276" spans="2:7" ht="12.75" customHeight="1">
      <c r="B276" s="48"/>
      <c r="C276" s="48"/>
      <c r="D276" s="48"/>
      <c r="E276" s="48"/>
      <c r="F276" s="48"/>
      <c r="G276" s="48"/>
    </row>
    <row r="277" spans="2:7" ht="12.75" customHeight="1">
      <c r="B277" s="48"/>
      <c r="C277" s="48"/>
      <c r="D277" s="48"/>
      <c r="E277" s="48"/>
      <c r="F277" s="48"/>
      <c r="G277" s="48"/>
    </row>
    <row r="278" spans="2:7" ht="12.75" customHeight="1">
      <c r="B278" s="48"/>
      <c r="C278" s="48"/>
      <c r="D278" s="48"/>
      <c r="E278" s="48"/>
      <c r="F278" s="48"/>
      <c r="G278" s="48"/>
    </row>
    <row r="279" spans="2:7" ht="12.75" customHeight="1">
      <c r="B279" s="48"/>
      <c r="C279" s="48"/>
      <c r="D279" s="48"/>
      <c r="E279" s="48"/>
      <c r="F279" s="48"/>
      <c r="G279" s="48"/>
    </row>
    <row r="280" spans="2:7" ht="12.75" customHeight="1">
      <c r="B280" s="48"/>
      <c r="C280" s="48"/>
      <c r="D280" s="48"/>
      <c r="E280" s="48"/>
      <c r="F280" s="48"/>
      <c r="G280" s="48"/>
    </row>
    <row r="281" spans="2:7" ht="12.75" customHeight="1">
      <c r="B281" s="48"/>
      <c r="C281" s="48"/>
      <c r="D281" s="48"/>
      <c r="E281" s="48"/>
      <c r="F281" s="48"/>
      <c r="G281" s="48"/>
    </row>
    <row r="282" spans="2:7" ht="12.75" customHeight="1">
      <c r="B282" s="48"/>
      <c r="C282" s="48"/>
      <c r="D282" s="48"/>
      <c r="E282" s="48"/>
      <c r="F282" s="48"/>
      <c r="G282" s="48"/>
    </row>
    <row r="283" spans="2:7" ht="12.75" customHeight="1">
      <c r="B283" s="48"/>
      <c r="C283" s="48"/>
      <c r="D283" s="48"/>
      <c r="E283" s="48"/>
      <c r="F283" s="48"/>
      <c r="G283" s="48"/>
    </row>
    <row r="284" spans="2:7" ht="12.75" customHeight="1">
      <c r="B284" s="48"/>
      <c r="C284" s="48"/>
      <c r="D284" s="48"/>
      <c r="E284" s="48"/>
      <c r="F284" s="48"/>
      <c r="G284" s="48"/>
    </row>
    <row r="285" spans="2:7" ht="12.75" customHeight="1">
      <c r="B285" s="48"/>
      <c r="C285" s="48"/>
      <c r="D285" s="48"/>
      <c r="E285" s="48"/>
      <c r="F285" s="48"/>
      <c r="G285" s="48"/>
    </row>
    <row r="286" spans="2:7" ht="12.75" customHeight="1">
      <c r="B286" s="48"/>
      <c r="C286" s="48"/>
      <c r="D286" s="48"/>
      <c r="E286" s="48"/>
      <c r="F286" s="48"/>
      <c r="G286" s="48"/>
    </row>
    <row r="287" spans="2:7" ht="12.75" customHeight="1">
      <c r="B287" s="48"/>
      <c r="C287" s="48"/>
      <c r="D287" s="48"/>
      <c r="E287" s="48"/>
      <c r="F287" s="48"/>
      <c r="G287" s="48"/>
    </row>
    <row r="288" spans="2:7" ht="12.75" customHeight="1">
      <c r="B288" s="48"/>
      <c r="C288" s="48"/>
      <c r="D288" s="48"/>
      <c r="E288" s="48"/>
      <c r="F288" s="48"/>
      <c r="G288" s="48"/>
    </row>
    <row r="289" spans="2:7" ht="12.75" customHeight="1">
      <c r="B289" s="48"/>
      <c r="C289" s="48"/>
      <c r="D289" s="48"/>
      <c r="E289" s="48"/>
      <c r="F289" s="48"/>
      <c r="G289" s="48"/>
    </row>
    <row r="290" spans="2:7" ht="12.75" customHeight="1">
      <c r="B290" s="48"/>
      <c r="C290" s="48"/>
      <c r="D290" s="48"/>
      <c r="E290" s="48"/>
      <c r="F290" s="48"/>
      <c r="G290" s="48"/>
    </row>
    <row r="291" spans="2:7" ht="12.75" customHeight="1">
      <c r="B291" s="48"/>
      <c r="C291" s="48"/>
      <c r="D291" s="48"/>
      <c r="E291" s="48"/>
      <c r="F291" s="48"/>
      <c r="G291" s="48"/>
    </row>
    <row r="292" spans="2:7" ht="12.75" customHeight="1">
      <c r="B292" s="48"/>
      <c r="C292" s="48"/>
      <c r="D292" s="48"/>
      <c r="E292" s="48"/>
      <c r="F292" s="48"/>
      <c r="G292" s="48"/>
    </row>
    <row r="293" spans="2:7" ht="12.75" customHeight="1">
      <c r="B293" s="48"/>
      <c r="C293" s="48"/>
      <c r="D293" s="48"/>
      <c r="E293" s="48"/>
      <c r="F293" s="48"/>
      <c r="G293" s="48"/>
    </row>
    <row r="294" spans="2:7" ht="12.75" customHeight="1">
      <c r="B294" s="48"/>
      <c r="C294" s="48"/>
      <c r="D294" s="48"/>
      <c r="E294" s="48"/>
      <c r="F294" s="48"/>
      <c r="G294" s="48"/>
    </row>
    <row r="295" spans="2:7" ht="12.75" customHeight="1">
      <c r="B295" s="48"/>
      <c r="C295" s="48"/>
      <c r="D295" s="48"/>
      <c r="E295" s="48"/>
      <c r="F295" s="48"/>
      <c r="G295" s="48"/>
    </row>
    <row r="296" spans="2:7" ht="12.75" customHeight="1">
      <c r="B296" s="48"/>
      <c r="C296" s="48"/>
      <c r="D296" s="48"/>
      <c r="E296" s="48"/>
      <c r="F296" s="48"/>
      <c r="G296" s="48"/>
    </row>
    <row r="297" spans="2:7" ht="12.75" customHeight="1">
      <c r="B297" s="48"/>
      <c r="C297" s="48"/>
      <c r="D297" s="48"/>
      <c r="E297" s="48"/>
      <c r="F297" s="48"/>
      <c r="G297" s="48"/>
    </row>
    <row r="298" spans="2:7" ht="12.75" customHeight="1">
      <c r="B298" s="48"/>
      <c r="C298" s="48"/>
      <c r="D298" s="48"/>
      <c r="E298" s="48"/>
      <c r="F298" s="48"/>
      <c r="G298" s="48"/>
    </row>
    <row r="299" spans="2:7" ht="12.75" customHeight="1">
      <c r="B299" s="48"/>
      <c r="C299" s="48"/>
      <c r="D299" s="48"/>
      <c r="E299" s="48"/>
      <c r="F299" s="48"/>
      <c r="G299" s="48"/>
    </row>
    <row r="300" spans="2:7" ht="12.75" customHeight="1">
      <c r="B300" s="48"/>
      <c r="C300" s="48"/>
      <c r="D300" s="48"/>
      <c r="E300" s="48"/>
      <c r="F300" s="48"/>
      <c r="G300" s="48"/>
    </row>
    <row r="301" spans="2:7" ht="12.75" customHeight="1">
      <c r="B301" s="48"/>
      <c r="C301" s="48"/>
      <c r="D301" s="48"/>
      <c r="E301" s="48"/>
      <c r="F301" s="48"/>
      <c r="G301" s="48"/>
    </row>
    <row r="302" spans="2:7" ht="12.75" customHeight="1">
      <c r="B302" s="48"/>
      <c r="C302" s="48"/>
      <c r="D302" s="48"/>
      <c r="E302" s="48"/>
      <c r="F302" s="48"/>
      <c r="G302" s="48"/>
    </row>
    <row r="303" spans="2:7" ht="12.75" customHeight="1">
      <c r="B303" s="48"/>
      <c r="C303" s="48"/>
      <c r="D303" s="48"/>
      <c r="E303" s="48"/>
      <c r="F303" s="48"/>
      <c r="G303" s="48"/>
    </row>
    <row r="304" spans="2:7" ht="12.75" customHeight="1">
      <c r="B304" s="48"/>
      <c r="C304" s="48"/>
      <c r="D304" s="48"/>
      <c r="E304" s="48"/>
      <c r="F304" s="48"/>
      <c r="G304" s="48"/>
    </row>
    <row r="305" spans="2:7" ht="12.75" customHeight="1">
      <c r="B305" s="48"/>
      <c r="C305" s="48"/>
      <c r="D305" s="48"/>
      <c r="E305" s="48"/>
      <c r="F305" s="48"/>
      <c r="G305" s="48"/>
    </row>
    <row r="306" spans="2:7" ht="12.75" customHeight="1">
      <c r="B306" s="48"/>
      <c r="C306" s="48"/>
      <c r="D306" s="48"/>
      <c r="E306" s="48"/>
      <c r="F306" s="48"/>
      <c r="G306" s="48"/>
    </row>
    <row r="307" spans="2:7" ht="12.75" customHeight="1">
      <c r="B307" s="48"/>
      <c r="C307" s="48"/>
      <c r="D307" s="48"/>
      <c r="E307" s="48"/>
      <c r="F307" s="48"/>
      <c r="G307" s="48"/>
    </row>
    <row r="308" spans="2:7" ht="12.75" customHeight="1">
      <c r="B308" s="48"/>
      <c r="C308" s="48"/>
      <c r="D308" s="48"/>
      <c r="E308" s="48"/>
      <c r="F308" s="48"/>
      <c r="G308" s="48"/>
    </row>
    <row r="309" spans="2:7" ht="12.75" customHeight="1">
      <c r="B309" s="48"/>
      <c r="C309" s="48"/>
      <c r="D309" s="48"/>
      <c r="E309" s="48"/>
      <c r="F309" s="48"/>
      <c r="G309" s="48"/>
    </row>
    <row r="310" spans="2:7" ht="12.75" customHeight="1">
      <c r="B310" s="48"/>
      <c r="C310" s="48"/>
      <c r="D310" s="48"/>
      <c r="E310" s="48"/>
      <c r="F310" s="48"/>
      <c r="G310" s="48"/>
    </row>
    <row r="311" spans="2:7" ht="12.75" customHeight="1">
      <c r="B311" s="48"/>
      <c r="C311" s="48"/>
      <c r="D311" s="48"/>
      <c r="E311" s="48"/>
      <c r="F311" s="48"/>
      <c r="G311" s="48"/>
    </row>
    <row r="312" spans="2:7" ht="12.75" customHeight="1">
      <c r="B312" s="48"/>
      <c r="C312" s="48"/>
      <c r="D312" s="48"/>
      <c r="E312" s="48"/>
      <c r="F312" s="48"/>
      <c r="G312" s="48"/>
    </row>
    <row r="313" spans="2:7" ht="12.75" customHeight="1">
      <c r="B313" s="48"/>
      <c r="C313" s="48"/>
      <c r="D313" s="48"/>
      <c r="E313" s="48"/>
      <c r="F313" s="48"/>
      <c r="G313" s="48"/>
    </row>
    <row r="314" spans="2:7" ht="12.75" customHeight="1">
      <c r="B314" s="48"/>
      <c r="C314" s="48"/>
      <c r="D314" s="48"/>
      <c r="E314" s="48"/>
      <c r="F314" s="48"/>
      <c r="G314" s="48"/>
    </row>
    <row r="315" spans="2:7" ht="12.75" customHeight="1">
      <c r="B315" s="48"/>
      <c r="C315" s="48"/>
      <c r="D315" s="48"/>
      <c r="E315" s="48"/>
      <c r="F315" s="48"/>
      <c r="G315" s="48"/>
    </row>
    <row r="316" spans="2:7" ht="12.75" customHeight="1">
      <c r="B316" s="48"/>
      <c r="C316" s="48"/>
      <c r="D316" s="48"/>
      <c r="E316" s="48"/>
      <c r="F316" s="48"/>
      <c r="G316" s="48"/>
    </row>
    <row r="317" spans="2:7" ht="12.75" customHeight="1">
      <c r="B317" s="48"/>
      <c r="C317" s="48"/>
      <c r="D317" s="48"/>
      <c r="E317" s="48"/>
      <c r="F317" s="48"/>
      <c r="G317" s="48"/>
    </row>
    <row r="318" spans="2:7" ht="12.75" customHeight="1">
      <c r="B318" s="48"/>
      <c r="C318" s="48"/>
      <c r="D318" s="48"/>
      <c r="E318" s="48"/>
      <c r="F318" s="48"/>
      <c r="G318" s="48"/>
    </row>
    <row r="319" spans="2:7" ht="12.75" customHeight="1">
      <c r="B319" s="48"/>
      <c r="C319" s="48"/>
      <c r="D319" s="48"/>
      <c r="E319" s="48"/>
      <c r="F319" s="48"/>
      <c r="G319" s="48"/>
    </row>
    <row r="320" spans="2:7" ht="12.75" customHeight="1">
      <c r="B320" s="48"/>
      <c r="C320" s="48"/>
      <c r="D320" s="48"/>
      <c r="E320" s="48"/>
      <c r="F320" s="48"/>
      <c r="G320" s="48"/>
    </row>
    <row r="321" spans="2:7" ht="12.75" customHeight="1">
      <c r="B321" s="48"/>
      <c r="C321" s="48"/>
      <c r="D321" s="48"/>
      <c r="E321" s="48"/>
      <c r="F321" s="48"/>
      <c r="G321" s="48"/>
    </row>
    <row r="322" spans="2:7" ht="12.75" customHeight="1">
      <c r="B322" s="48"/>
      <c r="C322" s="48"/>
      <c r="D322" s="48"/>
      <c r="E322" s="48"/>
      <c r="F322" s="48"/>
      <c r="G322" s="48"/>
    </row>
    <row r="323" spans="2:7" ht="12.75" customHeight="1">
      <c r="B323" s="48"/>
      <c r="C323" s="48"/>
      <c r="D323" s="48"/>
      <c r="E323" s="48"/>
      <c r="F323" s="48"/>
      <c r="G323" s="48"/>
    </row>
    <row r="324" spans="2:7" ht="12.75" customHeight="1">
      <c r="B324" s="48"/>
      <c r="C324" s="48"/>
      <c r="D324" s="48"/>
      <c r="E324" s="48"/>
      <c r="F324" s="48"/>
      <c r="G324" s="48"/>
    </row>
    <row r="325" spans="2:7" ht="12.75" customHeight="1">
      <c r="B325" s="48"/>
      <c r="C325" s="48"/>
      <c r="D325" s="48"/>
      <c r="E325" s="48"/>
      <c r="F325" s="48"/>
      <c r="G325" s="48"/>
    </row>
    <row r="326" spans="2:7" ht="12.75" customHeight="1">
      <c r="B326" s="48"/>
      <c r="C326" s="48"/>
      <c r="D326" s="48"/>
      <c r="E326" s="48"/>
      <c r="F326" s="48"/>
      <c r="G326" s="48"/>
    </row>
    <row r="327" spans="2:7" ht="12.75" customHeight="1">
      <c r="B327" s="48"/>
      <c r="C327" s="48"/>
      <c r="D327" s="48"/>
      <c r="E327" s="48"/>
      <c r="F327" s="48"/>
      <c r="G327" s="48"/>
    </row>
    <row r="328" spans="2:7" ht="12.75" customHeight="1">
      <c r="B328" s="48"/>
      <c r="C328" s="48"/>
      <c r="D328" s="48"/>
      <c r="E328" s="48"/>
      <c r="F328" s="48"/>
      <c r="G328" s="48"/>
    </row>
    <row r="329" spans="2:7" ht="12.75" customHeight="1">
      <c r="B329" s="48"/>
      <c r="C329" s="48"/>
      <c r="D329" s="48"/>
      <c r="E329" s="48"/>
      <c r="F329" s="48"/>
      <c r="G329" s="48"/>
    </row>
    <row r="330" spans="2:7" ht="12.75" customHeight="1">
      <c r="B330" s="48"/>
      <c r="C330" s="48"/>
      <c r="D330" s="48"/>
      <c r="E330" s="48"/>
      <c r="F330" s="48"/>
      <c r="G330" s="48"/>
    </row>
    <row r="331" spans="2:7" ht="12.75" customHeight="1">
      <c r="B331" s="48"/>
      <c r="C331" s="48"/>
      <c r="D331" s="48"/>
      <c r="E331" s="48"/>
      <c r="F331" s="48"/>
      <c r="G331" s="48"/>
    </row>
    <row r="332" spans="2:7" ht="12.75" customHeight="1">
      <c r="B332" s="48"/>
      <c r="C332" s="48"/>
      <c r="D332" s="48"/>
      <c r="E332" s="48"/>
      <c r="F332" s="48"/>
      <c r="G332" s="48"/>
    </row>
    <row r="333" spans="2:7" ht="12.75" customHeight="1">
      <c r="B333" s="48"/>
      <c r="C333" s="48"/>
      <c r="D333" s="48"/>
      <c r="E333" s="48"/>
      <c r="F333" s="48"/>
      <c r="G333" s="48"/>
    </row>
    <row r="334" spans="2:7" ht="12.75" customHeight="1">
      <c r="B334" s="48"/>
      <c r="C334" s="48"/>
      <c r="D334" s="48"/>
      <c r="E334" s="48"/>
      <c r="F334" s="48"/>
      <c r="G334" s="48"/>
    </row>
    <row r="335" spans="2:7" ht="12.75" customHeight="1">
      <c r="B335" s="48"/>
      <c r="C335" s="48"/>
      <c r="D335" s="48"/>
      <c r="E335" s="48"/>
      <c r="F335" s="48"/>
      <c r="G335" s="48"/>
    </row>
    <row r="336" spans="2:7" ht="12.75" customHeight="1">
      <c r="B336" s="48"/>
      <c r="C336" s="48"/>
      <c r="D336" s="48"/>
      <c r="E336" s="48"/>
      <c r="F336" s="48"/>
      <c r="G336" s="48"/>
    </row>
    <row r="337" spans="2:7" ht="12.75" customHeight="1">
      <c r="B337" s="48"/>
      <c r="C337" s="48"/>
      <c r="D337" s="48"/>
      <c r="E337" s="48"/>
      <c r="F337" s="48"/>
      <c r="G337" s="48"/>
    </row>
    <row r="338" spans="2:7" ht="12.75" customHeight="1">
      <c r="B338" s="48"/>
      <c r="C338" s="48"/>
      <c r="D338" s="48"/>
      <c r="E338" s="48"/>
      <c r="F338" s="48"/>
      <c r="G338" s="48"/>
    </row>
    <row r="339" spans="2:7" ht="12.75" customHeight="1">
      <c r="B339" s="48"/>
      <c r="C339" s="48"/>
      <c r="D339" s="48"/>
      <c r="E339" s="48"/>
      <c r="F339" s="48"/>
      <c r="G339" s="48"/>
    </row>
    <row r="340" spans="2:7" ht="12.75" customHeight="1">
      <c r="B340" s="48"/>
      <c r="C340" s="48"/>
      <c r="D340" s="48"/>
      <c r="E340" s="48"/>
      <c r="F340" s="48"/>
      <c r="G340" s="48"/>
    </row>
    <row r="341" spans="2:7" ht="12.75" customHeight="1">
      <c r="B341" s="48"/>
      <c r="C341" s="48"/>
      <c r="D341" s="48"/>
      <c r="E341" s="48"/>
      <c r="F341" s="48"/>
      <c r="G341" s="48"/>
    </row>
    <row r="342" spans="2:7" ht="12.75" customHeight="1">
      <c r="B342" s="48"/>
      <c r="C342" s="48"/>
      <c r="D342" s="48"/>
      <c r="E342" s="48"/>
      <c r="F342" s="48"/>
      <c r="G342" s="48"/>
    </row>
    <row r="343" spans="2:7" ht="12.75" customHeight="1">
      <c r="B343" s="48"/>
      <c r="C343" s="48"/>
      <c r="D343" s="48"/>
      <c r="E343" s="48"/>
      <c r="F343" s="48"/>
      <c r="G343" s="48"/>
    </row>
    <row r="344" spans="2:7" ht="12.75" customHeight="1">
      <c r="B344" s="48"/>
      <c r="C344" s="48"/>
      <c r="D344" s="48"/>
      <c r="E344" s="48"/>
      <c r="F344" s="48"/>
      <c r="G344" s="48"/>
    </row>
    <row r="345" spans="2:7" ht="12.75" customHeight="1">
      <c r="B345" s="48"/>
      <c r="C345" s="48"/>
      <c r="D345" s="48"/>
      <c r="E345" s="48"/>
      <c r="F345" s="48"/>
      <c r="G345" s="48"/>
    </row>
    <row r="346" spans="2:7" ht="12.75" customHeight="1">
      <c r="B346" s="48"/>
      <c r="C346" s="48"/>
      <c r="D346" s="48"/>
      <c r="E346" s="48"/>
      <c r="F346" s="48"/>
      <c r="G346" s="48"/>
    </row>
    <row r="347" spans="2:7" ht="12.75" customHeight="1">
      <c r="B347" s="48"/>
      <c r="C347" s="48"/>
      <c r="D347" s="48"/>
      <c r="E347" s="48"/>
      <c r="F347" s="48"/>
      <c r="G347" s="48"/>
    </row>
    <row r="348" spans="2:7" ht="12.75" customHeight="1">
      <c r="B348" s="48"/>
      <c r="C348" s="48"/>
      <c r="D348" s="48"/>
      <c r="E348" s="48"/>
      <c r="F348" s="48"/>
      <c r="G348" s="48"/>
    </row>
    <row r="349" spans="2:7" ht="12.75" customHeight="1">
      <c r="B349" s="48"/>
      <c r="C349" s="48"/>
      <c r="D349" s="48"/>
      <c r="E349" s="48"/>
      <c r="F349" s="48"/>
      <c r="G349" s="48"/>
    </row>
    <row r="350" spans="2:7" ht="12.75" customHeight="1">
      <c r="B350" s="48"/>
      <c r="C350" s="48"/>
      <c r="D350" s="48"/>
      <c r="E350" s="48"/>
      <c r="F350" s="48"/>
      <c r="G350" s="48"/>
    </row>
    <row r="351" spans="2:7" ht="12.75" customHeight="1">
      <c r="B351" s="48"/>
      <c r="C351" s="48"/>
      <c r="D351" s="48"/>
      <c r="E351" s="48"/>
      <c r="F351" s="48"/>
      <c r="G351" s="48"/>
    </row>
    <row r="352" spans="2:7" ht="12.75" customHeight="1">
      <c r="B352" s="48"/>
      <c r="C352" s="48"/>
      <c r="D352" s="48"/>
      <c r="E352" s="48"/>
      <c r="F352" s="48"/>
      <c r="G352" s="48"/>
    </row>
    <row r="353" spans="2:7" ht="12.75" customHeight="1">
      <c r="B353" s="48"/>
      <c r="C353" s="48"/>
      <c r="D353" s="48"/>
      <c r="E353" s="48"/>
      <c r="F353" s="48"/>
      <c r="G353" s="48"/>
    </row>
    <row r="354" spans="2:7" ht="12.75" customHeight="1">
      <c r="B354" s="48"/>
      <c r="C354" s="48"/>
      <c r="D354" s="48"/>
      <c r="E354" s="48"/>
      <c r="F354" s="48"/>
      <c r="G354" s="48"/>
    </row>
    <row r="355" spans="2:7" ht="12.75" customHeight="1">
      <c r="B355" s="48"/>
      <c r="C355" s="48"/>
      <c r="D355" s="48"/>
      <c r="E355" s="48"/>
      <c r="F355" s="48"/>
      <c r="G355" s="48"/>
    </row>
    <row r="356" spans="2:7" ht="12.75" customHeight="1">
      <c r="B356" s="48"/>
      <c r="C356" s="48"/>
      <c r="D356" s="48"/>
      <c r="E356" s="48"/>
      <c r="F356" s="48"/>
      <c r="G356" s="48"/>
    </row>
    <row r="357" spans="2:7" ht="12.75" customHeight="1">
      <c r="B357" s="48"/>
      <c r="C357" s="48"/>
      <c r="D357" s="48"/>
      <c r="E357" s="48"/>
      <c r="F357" s="48"/>
      <c r="G357" s="48"/>
    </row>
    <row r="358" spans="2:7" ht="12.75" customHeight="1">
      <c r="B358" s="48"/>
      <c r="C358" s="48"/>
      <c r="D358" s="48"/>
      <c r="E358" s="48"/>
      <c r="F358" s="48"/>
      <c r="G358" s="48"/>
    </row>
    <row r="359" spans="2:7" ht="12.75" customHeight="1">
      <c r="B359" s="48"/>
      <c r="C359" s="48"/>
      <c r="D359" s="48"/>
      <c r="E359" s="48"/>
      <c r="F359" s="48"/>
      <c r="G359" s="48"/>
    </row>
    <row r="360" spans="2:7" ht="12.75" customHeight="1">
      <c r="B360" s="48"/>
      <c r="C360" s="48"/>
      <c r="D360" s="48"/>
      <c r="E360" s="48"/>
      <c r="F360" s="48"/>
      <c r="G360" s="48"/>
    </row>
    <row r="361" spans="2:7" ht="12.75" customHeight="1">
      <c r="B361" s="48"/>
      <c r="C361" s="48"/>
      <c r="D361" s="48"/>
      <c r="E361" s="48"/>
      <c r="F361" s="48"/>
      <c r="G361" s="48"/>
    </row>
    <row r="362" spans="2:7" ht="12.75" customHeight="1">
      <c r="B362" s="48"/>
      <c r="C362" s="48"/>
      <c r="D362" s="48"/>
      <c r="E362" s="48"/>
      <c r="F362" s="48"/>
      <c r="G362" s="48"/>
    </row>
    <row r="363" spans="2:7" ht="12.75" customHeight="1">
      <c r="B363" s="48"/>
      <c r="C363" s="48"/>
      <c r="D363" s="48"/>
      <c r="E363" s="48"/>
      <c r="F363" s="48"/>
      <c r="G363" s="48"/>
    </row>
    <row r="364" spans="2:7" ht="12.75" customHeight="1">
      <c r="B364" s="48"/>
      <c r="C364" s="48"/>
      <c r="D364" s="48"/>
      <c r="E364" s="48"/>
      <c r="F364" s="48"/>
      <c r="G364" s="48"/>
    </row>
    <row r="365" spans="2:7" ht="12.75" customHeight="1">
      <c r="B365" s="48"/>
      <c r="C365" s="48"/>
      <c r="D365" s="48"/>
      <c r="E365" s="48"/>
      <c r="F365" s="48"/>
      <c r="G365" s="48"/>
    </row>
    <row r="366" spans="2:7" ht="12.75" customHeight="1">
      <c r="B366" s="48"/>
      <c r="C366" s="48"/>
      <c r="D366" s="48"/>
      <c r="E366" s="48"/>
      <c r="F366" s="48"/>
      <c r="G366" s="48"/>
    </row>
    <row r="367" spans="2:7" ht="12.75" customHeight="1">
      <c r="B367" s="48"/>
      <c r="C367" s="48"/>
      <c r="D367" s="48"/>
      <c r="E367" s="48"/>
      <c r="F367" s="48"/>
      <c r="G367" s="48"/>
    </row>
    <row r="368" spans="2:7" ht="12.75" customHeight="1">
      <c r="B368" s="48"/>
      <c r="C368" s="48"/>
      <c r="D368" s="48"/>
      <c r="E368" s="48"/>
      <c r="F368" s="48"/>
      <c r="G368" s="48"/>
    </row>
    <row r="369" spans="2:7" ht="12.75" customHeight="1">
      <c r="B369" s="48"/>
      <c r="C369" s="48"/>
      <c r="D369" s="48"/>
      <c r="E369" s="48"/>
      <c r="F369" s="48"/>
      <c r="G369" s="48"/>
    </row>
    <row r="370" spans="2:7" ht="12.75" customHeight="1">
      <c r="B370" s="48"/>
      <c r="C370" s="48"/>
      <c r="D370" s="48"/>
      <c r="E370" s="48"/>
      <c r="F370" s="48"/>
      <c r="G370" s="48"/>
    </row>
    <row r="371" spans="2:7" ht="12.75" customHeight="1">
      <c r="B371" s="48"/>
      <c r="C371" s="48"/>
      <c r="D371" s="48"/>
      <c r="E371" s="48"/>
      <c r="F371" s="48"/>
      <c r="G371" s="48"/>
    </row>
    <row r="372" spans="2:7" ht="12.75" customHeight="1">
      <c r="B372" s="48"/>
      <c r="C372" s="48"/>
      <c r="D372" s="48"/>
      <c r="E372" s="48"/>
      <c r="F372" s="48"/>
      <c r="G372" s="48"/>
    </row>
    <row r="373" spans="2:7" ht="12.75" customHeight="1">
      <c r="B373" s="48"/>
      <c r="C373" s="48"/>
      <c r="D373" s="48"/>
      <c r="E373" s="48"/>
      <c r="F373" s="48"/>
      <c r="G373" s="48"/>
    </row>
    <row r="374" spans="2:7" ht="12.75" customHeight="1">
      <c r="B374" s="48"/>
      <c r="C374" s="48"/>
      <c r="D374" s="48"/>
      <c r="E374" s="48"/>
      <c r="F374" s="48"/>
      <c r="G374" s="48"/>
    </row>
    <row r="375" spans="2:7" ht="12.75" customHeight="1">
      <c r="B375" s="48"/>
      <c r="C375" s="48"/>
      <c r="D375" s="48"/>
      <c r="E375" s="48"/>
      <c r="F375" s="48"/>
      <c r="G375" s="48"/>
    </row>
    <row r="376" spans="2:7" ht="12.75" customHeight="1">
      <c r="B376" s="48"/>
      <c r="C376" s="48"/>
      <c r="D376" s="48"/>
      <c r="E376" s="48"/>
      <c r="F376" s="48"/>
      <c r="G376" s="48"/>
    </row>
    <row r="377" spans="2:7" ht="12.75" customHeight="1">
      <c r="B377" s="48"/>
      <c r="C377" s="48"/>
      <c r="D377" s="48"/>
      <c r="E377" s="48"/>
      <c r="F377" s="48"/>
      <c r="G377" s="48"/>
    </row>
    <row r="378" spans="2:7" ht="12.75" customHeight="1">
      <c r="B378" s="48"/>
      <c r="C378" s="48"/>
      <c r="D378" s="48"/>
      <c r="E378" s="48"/>
      <c r="F378" s="48"/>
      <c r="G378" s="48"/>
    </row>
    <row r="379" spans="2:7" ht="12.75" customHeight="1">
      <c r="B379" s="48"/>
      <c r="C379" s="48"/>
      <c r="D379" s="48"/>
      <c r="E379" s="48"/>
      <c r="F379" s="48"/>
      <c r="G379" s="48"/>
    </row>
    <row r="380" spans="2:7" ht="12.75" customHeight="1">
      <c r="B380" s="48"/>
      <c r="C380" s="48"/>
      <c r="D380" s="48"/>
      <c r="E380" s="48"/>
      <c r="F380" s="48"/>
      <c r="G380" s="48"/>
    </row>
    <row r="381" spans="2:7" ht="12.75" customHeight="1">
      <c r="B381" s="48"/>
      <c r="C381" s="48"/>
      <c r="D381" s="48"/>
      <c r="E381" s="48"/>
      <c r="F381" s="48"/>
      <c r="G381" s="48"/>
    </row>
    <row r="382" spans="2:7" ht="12.75" customHeight="1">
      <c r="B382" s="48"/>
      <c r="C382" s="48"/>
      <c r="D382" s="48"/>
      <c r="E382" s="48"/>
      <c r="F382" s="48"/>
      <c r="G382" s="48"/>
    </row>
    <row r="383" spans="2:7" ht="12.75" customHeight="1">
      <c r="B383" s="48"/>
      <c r="C383" s="48"/>
      <c r="D383" s="48"/>
      <c r="E383" s="48"/>
      <c r="F383" s="48"/>
      <c r="G383" s="48"/>
    </row>
    <row r="384" spans="2:7" ht="12.75" customHeight="1">
      <c r="B384" s="48"/>
      <c r="C384" s="48"/>
      <c r="D384" s="48"/>
      <c r="E384" s="48"/>
      <c r="F384" s="48"/>
      <c r="G384" s="48"/>
    </row>
    <row r="385" spans="2:7" ht="12.75" customHeight="1">
      <c r="B385" s="48"/>
      <c r="C385" s="48"/>
      <c r="D385" s="48"/>
      <c r="E385" s="48"/>
      <c r="F385" s="48"/>
      <c r="G385" s="48"/>
    </row>
    <row r="386" spans="2:7" ht="12.75" customHeight="1">
      <c r="B386" s="48"/>
      <c r="C386" s="48"/>
      <c r="D386" s="48"/>
      <c r="E386" s="48"/>
      <c r="F386" s="48"/>
      <c r="G386" s="48"/>
    </row>
    <row r="387" spans="2:7" ht="12.75" customHeight="1">
      <c r="B387" s="48"/>
      <c r="C387" s="48"/>
      <c r="D387" s="48"/>
      <c r="E387" s="48"/>
      <c r="F387" s="48"/>
      <c r="G387" s="48"/>
    </row>
    <row r="388" spans="2:7" ht="12.75" customHeight="1">
      <c r="B388" s="48"/>
      <c r="C388" s="48"/>
      <c r="D388" s="48"/>
      <c r="E388" s="48"/>
      <c r="F388" s="48"/>
      <c r="G388" s="48"/>
    </row>
    <row r="389" spans="2:7" ht="12.75" customHeight="1">
      <c r="B389" s="48"/>
      <c r="C389" s="48"/>
      <c r="D389" s="48"/>
      <c r="E389" s="48"/>
      <c r="F389" s="48"/>
      <c r="G389" s="48"/>
    </row>
    <row r="390" spans="2:7" ht="12.75" customHeight="1">
      <c r="B390" s="48"/>
      <c r="C390" s="48"/>
      <c r="D390" s="48"/>
      <c r="E390" s="48"/>
      <c r="F390" s="48"/>
      <c r="G390" s="48"/>
    </row>
    <row r="391" spans="2:7" ht="12.75" customHeight="1">
      <c r="B391" s="48"/>
      <c r="C391" s="48"/>
      <c r="D391" s="48"/>
      <c r="E391" s="48"/>
      <c r="F391" s="48"/>
      <c r="G391" s="48"/>
    </row>
    <row r="392" spans="2:7" ht="12.75" customHeight="1">
      <c r="B392" s="48"/>
      <c r="C392" s="48"/>
      <c r="D392" s="48"/>
      <c r="E392" s="48"/>
      <c r="F392" s="48"/>
      <c r="G392" s="48"/>
    </row>
    <row r="393" spans="2:7" ht="12.75" customHeight="1">
      <c r="B393" s="48"/>
      <c r="C393" s="48"/>
      <c r="D393" s="48"/>
      <c r="E393" s="48"/>
      <c r="F393" s="48"/>
      <c r="G393" s="48"/>
    </row>
    <row r="394" spans="2:7" ht="12.75" customHeight="1">
      <c r="B394" s="48"/>
      <c r="C394" s="48"/>
      <c r="D394" s="48"/>
      <c r="E394" s="48"/>
      <c r="F394" s="48"/>
      <c r="G394" s="48"/>
    </row>
    <row r="395" spans="2:7" ht="12.75" customHeight="1">
      <c r="B395" s="48"/>
      <c r="C395" s="48"/>
      <c r="D395" s="48"/>
      <c r="E395" s="48"/>
      <c r="F395" s="48"/>
      <c r="G395" s="48"/>
    </row>
    <row r="396" spans="2:7" ht="12.75" customHeight="1">
      <c r="B396" s="48"/>
      <c r="C396" s="48"/>
      <c r="D396" s="48"/>
      <c r="E396" s="48"/>
      <c r="F396" s="48"/>
      <c r="G396" s="48"/>
    </row>
    <row r="397" spans="2:7" ht="12.75" customHeight="1">
      <c r="B397" s="48"/>
      <c r="C397" s="48"/>
      <c r="D397" s="48"/>
      <c r="E397" s="48"/>
      <c r="F397" s="48"/>
      <c r="G397" s="48"/>
    </row>
    <row r="398" spans="2:7" ht="12.75" customHeight="1">
      <c r="B398" s="48"/>
      <c r="C398" s="48"/>
      <c r="D398" s="48"/>
      <c r="E398" s="48"/>
      <c r="F398" s="48"/>
      <c r="G398" s="48"/>
    </row>
    <row r="399" spans="2:7" ht="12.75" customHeight="1">
      <c r="B399" s="48"/>
      <c r="C399" s="48"/>
      <c r="D399" s="48"/>
      <c r="E399" s="48"/>
      <c r="F399" s="48"/>
      <c r="G399" s="48"/>
    </row>
    <row r="400" spans="2:7" ht="12.75" customHeight="1">
      <c r="B400" s="48"/>
      <c r="C400" s="48"/>
      <c r="D400" s="48"/>
      <c r="E400" s="48"/>
      <c r="F400" s="48"/>
      <c r="G400" s="48"/>
    </row>
    <row r="401" spans="2:7" ht="12.75" customHeight="1">
      <c r="B401" s="48"/>
      <c r="C401" s="48"/>
      <c r="D401" s="48"/>
      <c r="E401" s="48"/>
      <c r="F401" s="48"/>
      <c r="G401" s="48"/>
    </row>
    <row r="402" spans="2:7" ht="12.75" customHeight="1">
      <c r="B402" s="48"/>
      <c r="C402" s="48"/>
      <c r="D402" s="48"/>
      <c r="E402" s="48"/>
      <c r="F402" s="48"/>
      <c r="G402" s="48"/>
    </row>
    <row r="403" spans="2:7" ht="12.75" customHeight="1">
      <c r="B403" s="48"/>
      <c r="C403" s="48"/>
      <c r="D403" s="48"/>
      <c r="E403" s="48"/>
      <c r="F403" s="48"/>
      <c r="G403" s="48"/>
    </row>
    <row r="404" spans="2:7" ht="12.75" customHeight="1">
      <c r="B404" s="48"/>
      <c r="C404" s="48"/>
      <c r="D404" s="48"/>
      <c r="E404" s="48"/>
      <c r="F404" s="48"/>
      <c r="G404" s="48"/>
    </row>
    <row r="405" spans="2:7" ht="12.75" customHeight="1">
      <c r="B405" s="48"/>
      <c r="C405" s="48"/>
      <c r="D405" s="48"/>
      <c r="E405" s="48"/>
      <c r="F405" s="48"/>
      <c r="G405" s="48"/>
    </row>
    <row r="406" spans="2:7" ht="12.75" customHeight="1">
      <c r="B406" s="48"/>
      <c r="C406" s="48"/>
      <c r="D406" s="48"/>
      <c r="E406" s="48"/>
      <c r="F406" s="48"/>
      <c r="G406" s="48"/>
    </row>
    <row r="407" spans="2:7" ht="12.75" customHeight="1">
      <c r="B407" s="48"/>
      <c r="C407" s="48"/>
      <c r="D407" s="48"/>
      <c r="E407" s="48"/>
      <c r="F407" s="48"/>
      <c r="G407" s="48"/>
    </row>
    <row r="408" spans="2:7" ht="12.75" customHeight="1">
      <c r="B408" s="48"/>
      <c r="C408" s="48"/>
      <c r="D408" s="48"/>
      <c r="E408" s="48"/>
      <c r="F408" s="48"/>
      <c r="G408" s="48"/>
    </row>
    <row r="409" spans="2:7" ht="12.75" customHeight="1">
      <c r="B409" s="48"/>
      <c r="C409" s="48"/>
      <c r="D409" s="48"/>
      <c r="E409" s="48"/>
      <c r="F409" s="48"/>
      <c r="G409" s="48"/>
    </row>
    <row r="410" spans="2:7" ht="12.75" customHeight="1">
      <c r="B410" s="48"/>
      <c r="C410" s="48"/>
      <c r="D410" s="48"/>
      <c r="E410" s="48"/>
      <c r="F410" s="48"/>
      <c r="G410" s="48"/>
    </row>
    <row r="411" spans="2:7" ht="12.75" customHeight="1">
      <c r="B411" s="48"/>
      <c r="C411" s="48"/>
      <c r="D411" s="48"/>
      <c r="E411" s="48"/>
      <c r="F411" s="48"/>
      <c r="G411" s="48"/>
    </row>
    <row r="412" spans="2:7" ht="12.75" customHeight="1">
      <c r="B412" s="48"/>
      <c r="C412" s="48"/>
      <c r="D412" s="48"/>
      <c r="E412" s="48"/>
      <c r="F412" s="48"/>
      <c r="G412" s="48"/>
    </row>
    <row r="413" spans="2:7" ht="12.75" customHeight="1">
      <c r="B413" s="48"/>
      <c r="C413" s="48"/>
      <c r="D413" s="48"/>
      <c r="E413" s="48"/>
      <c r="F413" s="48"/>
      <c r="G413" s="48"/>
    </row>
    <row r="414" spans="2:7" ht="12.75" customHeight="1">
      <c r="B414" s="48"/>
      <c r="C414" s="48"/>
      <c r="D414" s="48"/>
      <c r="E414" s="48"/>
      <c r="F414" s="48"/>
      <c r="G414" s="48"/>
    </row>
    <row r="415" spans="2:7" ht="12.75" customHeight="1">
      <c r="B415" s="48"/>
      <c r="C415" s="48"/>
      <c r="D415" s="48"/>
      <c r="E415" s="48"/>
      <c r="F415" s="48"/>
      <c r="G415" s="48"/>
    </row>
    <row r="416" spans="2:7" ht="12.75" customHeight="1">
      <c r="B416" s="48"/>
      <c r="C416" s="48"/>
      <c r="D416" s="48"/>
      <c r="E416" s="48"/>
      <c r="F416" s="48"/>
      <c r="G416" s="48"/>
    </row>
    <row r="417" spans="2:7" ht="12.75" customHeight="1">
      <c r="B417" s="48"/>
      <c r="C417" s="48"/>
      <c r="D417" s="48"/>
      <c r="E417" s="48"/>
      <c r="F417" s="48"/>
      <c r="G417" s="48"/>
    </row>
    <row r="418" spans="2:7" ht="12.75" customHeight="1">
      <c r="B418" s="48"/>
      <c r="C418" s="48"/>
      <c r="D418" s="48"/>
      <c r="E418" s="48"/>
      <c r="F418" s="48"/>
      <c r="G418" s="48"/>
    </row>
    <row r="419" spans="2:7" ht="12.75" customHeight="1">
      <c r="B419" s="48"/>
      <c r="C419" s="48"/>
      <c r="D419" s="48"/>
      <c r="E419" s="48"/>
      <c r="F419" s="48"/>
      <c r="G419" s="48"/>
    </row>
    <row r="420" spans="2:7" ht="12.75" customHeight="1">
      <c r="B420" s="48"/>
      <c r="C420" s="48"/>
      <c r="D420" s="48"/>
      <c r="E420" s="48"/>
      <c r="F420" s="48"/>
      <c r="G420" s="48"/>
    </row>
    <row r="421" spans="2:7" ht="12.75" customHeight="1">
      <c r="B421" s="48"/>
      <c r="C421" s="48"/>
      <c r="D421" s="48"/>
      <c r="E421" s="48"/>
      <c r="F421" s="48"/>
      <c r="G421" s="48"/>
    </row>
    <row r="422" spans="2:7" ht="12.75" customHeight="1">
      <c r="B422" s="48"/>
      <c r="C422" s="48"/>
      <c r="D422" s="48"/>
      <c r="E422" s="48"/>
      <c r="F422" s="48"/>
      <c r="G422" s="48"/>
    </row>
    <row r="423" spans="2:7" ht="12.75" customHeight="1">
      <c r="B423" s="48"/>
      <c r="C423" s="48"/>
      <c r="D423" s="48"/>
      <c r="E423" s="48"/>
      <c r="F423" s="48"/>
      <c r="G423" s="48"/>
    </row>
    <row r="424" spans="2:7" ht="12.75" customHeight="1">
      <c r="B424" s="48"/>
      <c r="C424" s="48"/>
      <c r="D424" s="48"/>
      <c r="E424" s="48"/>
      <c r="F424" s="48"/>
      <c r="G424" s="48"/>
    </row>
    <row r="425" spans="2:7" ht="12.75" customHeight="1">
      <c r="B425" s="48"/>
      <c r="C425" s="48"/>
      <c r="D425" s="48"/>
      <c r="E425" s="48"/>
      <c r="F425" s="48"/>
      <c r="G425" s="48"/>
    </row>
    <row r="426" spans="2:7" ht="12.75" customHeight="1">
      <c r="B426" s="48"/>
      <c r="C426" s="48"/>
      <c r="D426" s="48"/>
      <c r="E426" s="48"/>
      <c r="F426" s="48"/>
      <c r="G426" s="48"/>
    </row>
    <row r="427" spans="2:7" ht="12.75" customHeight="1">
      <c r="B427" s="48"/>
      <c r="C427" s="48"/>
      <c r="D427" s="48"/>
      <c r="E427" s="48"/>
      <c r="F427" s="48"/>
      <c r="G427" s="48"/>
    </row>
    <row r="428" spans="2:7" ht="12.75" customHeight="1">
      <c r="B428" s="48"/>
      <c r="C428" s="48"/>
      <c r="D428" s="48"/>
      <c r="E428" s="48"/>
      <c r="F428" s="48"/>
      <c r="G428" s="48"/>
    </row>
    <row r="429" spans="2:7" ht="12.75" customHeight="1">
      <c r="B429" s="48"/>
      <c r="C429" s="48"/>
      <c r="D429" s="48"/>
      <c r="E429" s="48"/>
      <c r="F429" s="48"/>
      <c r="G429" s="48"/>
    </row>
    <row r="430" spans="2:7" ht="12.75" customHeight="1">
      <c r="B430" s="48"/>
      <c r="C430" s="48"/>
      <c r="D430" s="48"/>
      <c r="E430" s="48"/>
      <c r="F430" s="48"/>
      <c r="G430" s="48"/>
    </row>
    <row r="431" spans="2:7" ht="12.75" customHeight="1">
      <c r="B431" s="48"/>
      <c r="C431" s="48"/>
      <c r="D431" s="48"/>
      <c r="E431" s="48"/>
      <c r="F431" s="48"/>
      <c r="G431" s="48"/>
    </row>
    <row r="432" spans="2:7" ht="12.75" customHeight="1">
      <c r="B432" s="48"/>
      <c r="C432" s="48"/>
      <c r="D432" s="48"/>
      <c r="E432" s="48"/>
      <c r="F432" s="48"/>
      <c r="G432" s="48"/>
    </row>
    <row r="433" spans="2:7" ht="12.75" customHeight="1">
      <c r="B433" s="48"/>
      <c r="C433" s="48"/>
      <c r="D433" s="48"/>
      <c r="E433" s="48"/>
      <c r="F433" s="48"/>
      <c r="G433" s="48"/>
    </row>
    <row r="434" spans="2:7" ht="12.75" customHeight="1">
      <c r="B434" s="48"/>
      <c r="C434" s="48"/>
      <c r="D434" s="48"/>
      <c r="E434" s="48"/>
      <c r="F434" s="48"/>
      <c r="G434" s="48"/>
    </row>
    <row r="435" spans="2:7" ht="12.75" customHeight="1">
      <c r="B435" s="48"/>
      <c r="C435" s="48"/>
      <c r="D435" s="48"/>
      <c r="E435" s="48"/>
      <c r="F435" s="48"/>
      <c r="G435" s="48"/>
    </row>
    <row r="436" spans="2:7" ht="12.75" customHeight="1">
      <c r="B436" s="48"/>
      <c r="C436" s="48"/>
      <c r="D436" s="48"/>
      <c r="E436" s="48"/>
      <c r="F436" s="48"/>
      <c r="G436" s="48"/>
    </row>
    <row r="437" spans="2:7" ht="12.75" customHeight="1">
      <c r="B437" s="48"/>
      <c r="C437" s="48"/>
      <c r="D437" s="48"/>
      <c r="E437" s="48"/>
      <c r="F437" s="48"/>
      <c r="G437" s="48"/>
    </row>
    <row r="438" spans="2:7" ht="12.75" customHeight="1">
      <c r="B438" s="48"/>
      <c r="C438" s="48"/>
      <c r="D438" s="48"/>
      <c r="E438" s="48"/>
      <c r="F438" s="48"/>
      <c r="G438" s="48"/>
    </row>
    <row r="439" spans="2:7" ht="12.75" customHeight="1">
      <c r="B439" s="48"/>
      <c r="C439" s="48"/>
      <c r="D439" s="48"/>
      <c r="E439" s="48"/>
      <c r="F439" s="48"/>
      <c r="G439" s="48"/>
    </row>
    <row r="440" spans="2:7" ht="12.75" customHeight="1">
      <c r="B440" s="48"/>
      <c r="C440" s="48"/>
      <c r="D440" s="48"/>
      <c r="E440" s="48"/>
      <c r="F440" s="48"/>
      <c r="G440" s="48"/>
    </row>
    <row r="441" spans="2:7" ht="12.75" customHeight="1">
      <c r="B441" s="48"/>
      <c r="C441" s="48"/>
      <c r="D441" s="48"/>
      <c r="E441" s="48"/>
      <c r="F441" s="48"/>
      <c r="G441" s="48"/>
    </row>
    <row r="442" spans="2:7" ht="12.75" customHeight="1">
      <c r="B442" s="48"/>
      <c r="C442" s="48"/>
      <c r="D442" s="48"/>
      <c r="E442" s="48"/>
      <c r="F442" s="48"/>
      <c r="G442" s="48"/>
    </row>
    <row r="443" spans="2:7" ht="12.75" customHeight="1">
      <c r="B443" s="48"/>
      <c r="C443" s="48"/>
      <c r="D443" s="48"/>
      <c r="E443" s="48"/>
      <c r="F443" s="48"/>
      <c r="G443" s="48"/>
    </row>
    <row r="444" spans="2:7" ht="12.75" customHeight="1">
      <c r="B444" s="48"/>
      <c r="C444" s="48"/>
      <c r="D444" s="48"/>
      <c r="E444" s="48"/>
      <c r="F444" s="48"/>
      <c r="G444" s="48"/>
    </row>
    <row r="445" spans="2:7" ht="12.75" customHeight="1">
      <c r="B445" s="48"/>
      <c r="C445" s="48"/>
      <c r="D445" s="48"/>
      <c r="E445" s="48"/>
      <c r="F445" s="48"/>
      <c r="G445" s="48"/>
    </row>
    <row r="446" spans="2:7" ht="12.75" customHeight="1">
      <c r="B446" s="48"/>
      <c r="C446" s="48"/>
      <c r="D446" s="48"/>
      <c r="E446" s="48"/>
      <c r="F446" s="48"/>
      <c r="G446" s="48"/>
    </row>
    <row r="447" spans="2:7" ht="12.75" customHeight="1">
      <c r="B447" s="48"/>
      <c r="C447" s="48"/>
      <c r="D447" s="48"/>
      <c r="E447" s="48"/>
      <c r="F447" s="48"/>
      <c r="G447" s="48"/>
    </row>
    <row r="448" spans="2:7" ht="12.75" customHeight="1">
      <c r="B448" s="48"/>
      <c r="C448" s="48"/>
      <c r="D448" s="48"/>
      <c r="E448" s="48"/>
      <c r="F448" s="48"/>
      <c r="G448" s="48"/>
    </row>
    <row r="449" spans="2:7" ht="12.75" customHeight="1">
      <c r="B449" s="48"/>
      <c r="C449" s="48"/>
      <c r="D449" s="48"/>
      <c r="E449" s="48"/>
      <c r="F449" s="48"/>
      <c r="G449" s="48"/>
    </row>
    <row r="450" spans="2:7" ht="12.75" customHeight="1">
      <c r="B450" s="48"/>
      <c r="C450" s="48"/>
      <c r="D450" s="48"/>
      <c r="E450" s="48"/>
      <c r="F450" s="48"/>
      <c r="G450" s="48"/>
    </row>
    <row r="451" spans="2:7" ht="12.75" customHeight="1">
      <c r="B451" s="48"/>
      <c r="C451" s="48"/>
      <c r="D451" s="48"/>
      <c r="E451" s="48"/>
      <c r="F451" s="48"/>
      <c r="G451" s="48"/>
    </row>
    <row r="452" spans="2:7" ht="12.75" customHeight="1">
      <c r="B452" s="48"/>
      <c r="C452" s="48"/>
      <c r="D452" s="48"/>
      <c r="E452" s="48"/>
      <c r="F452" s="48"/>
      <c r="G452" s="48"/>
    </row>
  </sheetData>
  <sheetProtection password="CCBC" sheet="1" objects="1" scenarios="1"/>
  <mergeCells count="11">
    <mergeCell ref="B36:D36"/>
    <mergeCell ref="B37:D37"/>
    <mergeCell ref="B38:D38"/>
    <mergeCell ref="B39:D39"/>
    <mergeCell ref="B59:D59"/>
    <mergeCell ref="B53:D53"/>
    <mergeCell ref="B54:D54"/>
    <mergeCell ref="B55:D55"/>
    <mergeCell ref="B56:D56"/>
    <mergeCell ref="B57:D57"/>
    <mergeCell ref="B58:D58"/>
  </mergeCells>
  <conditionalFormatting sqref="G69:G72 E46:G47 E28:G28 E30:G31 B36:G39 E14:G14 E16:G18 E23:F27 G24:G25 E44:G44 E49:G50 E52:F52 G53:G59">
    <cfRule type="expression" priority="1" dxfId="0" stopIfTrue="1">
      <formula>$B$3=TRUE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1" r:id="rId1"/>
  <headerFooter alignWithMargins="0">
    <oddHeader>&amp;L&amp;"Arial,Vet"Bijlage 1 bij circulaire JHYM/xxxx/CI/06/xxc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2">
    <tabColor indexed="50"/>
    <pageSetUpPr fitToPage="1"/>
  </sheetPr>
  <dimension ref="A1:J97"/>
  <sheetViews>
    <sheetView showGridLines="0" showRowColHeaders="0" showZeros="0" showOutlineSymbols="0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10" width="10.7109375" style="7" customWidth="1"/>
    <col min="11" max="16384" width="9.140625" style="7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2.75">
      <c r="A2" s="3" t="s">
        <v>8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2.75">
      <c r="A4" s="71" t="s">
        <v>84</v>
      </c>
      <c r="B4" s="10" t="str">
        <f>CONCATENATE("Productieafspraken ",Blad1!B3," en realisatie ",Blad1!B3-1,".")</f>
        <v>Productieafspraken 2006 en realisatie 2005.</v>
      </c>
      <c r="C4" s="10"/>
      <c r="D4" s="10"/>
      <c r="E4" s="10"/>
      <c r="F4" s="10"/>
      <c r="G4" s="10"/>
      <c r="H4" s="10"/>
      <c r="I4" s="124">
        <f>Blad3!R65</f>
        <v>3</v>
      </c>
    </row>
    <row r="5" spans="1:9" ht="12.75">
      <c r="A5" s="71"/>
      <c r="B5" s="10"/>
      <c r="C5" s="10"/>
      <c r="D5" s="10"/>
      <c r="E5" s="10"/>
      <c r="F5" s="10"/>
      <c r="G5" s="10"/>
      <c r="H5" s="10"/>
      <c r="I5" s="124"/>
    </row>
    <row r="6" spans="1:9" ht="12.75">
      <c r="A6" s="71" t="s">
        <v>84</v>
      </c>
      <c r="B6" s="10" t="str">
        <f>Blad5!B1</f>
        <v>Productieaantallen 2006 / 2005 eerstelijnsvoorzieningen / -functies.</v>
      </c>
      <c r="C6" s="10"/>
      <c r="D6" s="10"/>
      <c r="E6" s="10"/>
      <c r="F6" s="10"/>
      <c r="G6" s="10"/>
      <c r="H6" s="10"/>
      <c r="I6" s="124">
        <f>Blad5!Q65</f>
        <v>5</v>
      </c>
    </row>
    <row r="7" spans="1:9" ht="12.75">
      <c r="A7" s="71"/>
      <c r="B7" s="10"/>
      <c r="C7" s="10"/>
      <c r="D7" s="10"/>
      <c r="E7" s="10"/>
      <c r="F7" s="10"/>
      <c r="G7" s="10"/>
      <c r="H7" s="10"/>
      <c r="I7" s="124"/>
    </row>
    <row r="8" spans="1:9" ht="12.75">
      <c r="A8" s="71" t="s">
        <v>84</v>
      </c>
      <c r="B8" s="10" t="s">
        <v>516</v>
      </c>
      <c r="C8" s="10"/>
      <c r="D8" s="10"/>
      <c r="E8" s="10"/>
      <c r="F8" s="10"/>
      <c r="G8" s="10"/>
      <c r="H8" s="10"/>
      <c r="I8" s="124">
        <f>Blad6!N60</f>
        <v>6</v>
      </c>
    </row>
    <row r="9" spans="1:9" ht="12.75">
      <c r="A9" s="71"/>
      <c r="B9" s="10"/>
      <c r="C9" s="10"/>
      <c r="D9" s="10"/>
      <c r="E9" s="10"/>
      <c r="F9" s="10"/>
      <c r="G9" s="10"/>
      <c r="H9" s="10"/>
      <c r="I9" s="124"/>
    </row>
    <row r="10" spans="1:9" ht="12.75">
      <c r="A10" s="71" t="s">
        <v>84</v>
      </c>
      <c r="B10" s="10" t="str">
        <f>Blad7!C1</f>
        <v>Dure geneesmiddelen.</v>
      </c>
      <c r="C10" s="10"/>
      <c r="D10" s="10"/>
      <c r="E10" s="10"/>
      <c r="F10" s="10"/>
      <c r="G10" s="10"/>
      <c r="H10" s="10"/>
      <c r="I10" s="124">
        <f>Blad7!M60</f>
        <v>7</v>
      </c>
    </row>
    <row r="11" spans="1:9" ht="12.7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71" t="s">
        <v>84</v>
      </c>
      <c r="B12" s="10" t="str">
        <f>'Blad8-9'!B1</f>
        <v>Herschikking budget i.v.m. nieuwe bekostigingssystematiek voor opleidingen.</v>
      </c>
      <c r="C12" s="10"/>
      <c r="D12" s="10"/>
      <c r="E12" s="10"/>
      <c r="F12" s="10"/>
      <c r="G12" s="10"/>
      <c r="H12" s="10"/>
      <c r="I12" s="10">
        <f>'Blad8-9'!I50</f>
        <v>8</v>
      </c>
    </row>
    <row r="13" spans="1:9" ht="12.7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2.75">
      <c r="A14" s="70" t="s">
        <v>84</v>
      </c>
      <c r="B14" s="10" t="str">
        <f>CONCATENATE("Afschr.kosten dub.debiteuren, adherentie ",Blad1!B3-2,", scholingsmiddelen,")</f>
        <v>Afschr.kosten dub.debiteuren, adherentie 2004, scholingsmiddelen,</v>
      </c>
      <c r="C14" s="10"/>
      <c r="D14" s="10"/>
      <c r="E14" s="10"/>
      <c r="F14" s="10"/>
      <c r="G14" s="10"/>
      <c r="H14" s="10"/>
      <c r="I14" s="10">
        <f>Blad10!D60</f>
        <v>10</v>
      </c>
    </row>
    <row r="15" spans="1:9" ht="12.75">
      <c r="A15" s="10"/>
      <c r="B15" s="10" t="s">
        <v>515</v>
      </c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10" ht="12.75">
      <c r="A17" s="70" t="s">
        <v>84</v>
      </c>
      <c r="B17" s="10" t="s">
        <v>517</v>
      </c>
      <c r="C17" s="10"/>
      <c r="D17" s="10"/>
      <c r="E17" s="10"/>
      <c r="F17" s="10"/>
      <c r="G17" s="10"/>
      <c r="H17" s="10"/>
      <c r="I17" s="10">
        <f>Blad11!E60</f>
        <v>11</v>
      </c>
      <c r="J17" s="15"/>
    </row>
    <row r="18" spans="1:9" ht="12.75">
      <c r="A18" s="71"/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70" t="s">
        <v>84</v>
      </c>
      <c r="B19" s="10" t="s">
        <v>518</v>
      </c>
      <c r="C19" s="10"/>
      <c r="D19" s="10"/>
      <c r="E19" s="10"/>
      <c r="F19" s="10"/>
      <c r="G19" s="10"/>
      <c r="H19" s="10"/>
      <c r="I19" s="10">
        <f>Blad12!N55</f>
        <v>12</v>
      </c>
    </row>
    <row r="20" spans="1:9" ht="12.75">
      <c r="A20" s="71"/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70" t="s">
        <v>84</v>
      </c>
      <c r="B21" s="10" t="s">
        <v>519</v>
      </c>
      <c r="C21" s="10"/>
      <c r="D21" s="10"/>
      <c r="E21" s="10"/>
      <c r="F21" s="10"/>
      <c r="G21" s="10"/>
      <c r="H21" s="10"/>
      <c r="I21" s="10">
        <f>Blad13!Q55</f>
        <v>13</v>
      </c>
    </row>
    <row r="22" spans="1:9" ht="12.75">
      <c r="A22" s="71"/>
      <c r="B22" s="10"/>
      <c r="C22" s="10"/>
      <c r="D22" s="10"/>
      <c r="E22" s="10"/>
      <c r="F22" s="10"/>
      <c r="G22" s="10"/>
      <c r="H22" s="10"/>
      <c r="I22" s="10"/>
    </row>
    <row r="23" spans="1:9" ht="12.75">
      <c r="A23" s="70" t="s">
        <v>84</v>
      </c>
      <c r="B23" s="10" t="s">
        <v>520</v>
      </c>
      <c r="C23" s="10"/>
      <c r="D23" s="10"/>
      <c r="E23" s="10"/>
      <c r="F23" s="10"/>
      <c r="G23" s="10"/>
      <c r="H23" s="10"/>
      <c r="I23" s="10">
        <f>Blad14!N70</f>
        <v>14</v>
      </c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10" ht="12.75">
      <c r="A25" s="70" t="s">
        <v>84</v>
      </c>
      <c r="B25" s="10" t="str">
        <f>CONCATENATE("Voorlopige budgetaanpassingen / Opbrengstverrekening ",Blad1!B3-1,".")</f>
        <v>Voorlopige budgetaanpassingen / Opbrengstverrekening 2005.</v>
      </c>
      <c r="C25" s="10"/>
      <c r="D25" s="10"/>
      <c r="E25" s="10"/>
      <c r="F25" s="10"/>
      <c r="G25" s="10"/>
      <c r="H25" s="10"/>
      <c r="I25" s="125">
        <f>BladA!F70</f>
        <v>15</v>
      </c>
      <c r="J25" s="15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2.75">
      <c r="A27" s="70" t="s">
        <v>84</v>
      </c>
      <c r="B27" s="10" t="s">
        <v>521</v>
      </c>
      <c r="C27" s="10"/>
      <c r="D27" s="10"/>
      <c r="E27" s="10"/>
      <c r="F27" s="10"/>
      <c r="G27" s="10"/>
      <c r="H27" s="10"/>
      <c r="I27" s="125">
        <f>BladB!H74</f>
        <v>16</v>
      </c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2.75">
      <c r="A30" s="10"/>
      <c r="B30" s="20" t="s">
        <v>122</v>
      </c>
      <c r="C30" s="20"/>
      <c r="D30" s="20"/>
      <c r="E30" s="20"/>
      <c r="F30" s="20"/>
      <c r="G30" s="20"/>
      <c r="H30" s="28"/>
      <c r="I30" s="10"/>
    </row>
    <row r="31" spans="1:9" ht="12.75">
      <c r="A31" s="10"/>
      <c r="B31" s="20"/>
      <c r="C31" s="20" t="s">
        <v>514</v>
      </c>
      <c r="D31" s="20"/>
      <c r="E31" s="20"/>
      <c r="F31" s="20"/>
      <c r="G31" s="20"/>
      <c r="H31" s="28"/>
      <c r="I31" s="10"/>
    </row>
    <row r="32" spans="1:9" ht="12.75">
      <c r="A32" s="10"/>
      <c r="B32" s="28"/>
      <c r="C32" s="20" t="s">
        <v>312</v>
      </c>
      <c r="D32" s="28"/>
      <c r="E32" s="28"/>
      <c r="F32" s="28"/>
      <c r="G32" s="28"/>
      <c r="H32" s="28"/>
      <c r="I32" s="10"/>
    </row>
    <row r="33" spans="1:8" ht="12.75">
      <c r="A33" s="10"/>
      <c r="B33" s="10"/>
      <c r="C33" s="3" t="s">
        <v>313</v>
      </c>
      <c r="D33" s="10"/>
      <c r="E33" s="10"/>
      <c r="F33" s="10"/>
      <c r="G33" s="10"/>
      <c r="H33" s="10"/>
    </row>
    <row r="34" spans="1:5" ht="12.75">
      <c r="A34" s="10"/>
      <c r="B34" s="10"/>
      <c r="C34" s="10"/>
      <c r="D34" s="10"/>
      <c r="E34" s="10"/>
    </row>
    <row r="35" spans="1:5" ht="12.75">
      <c r="A35" s="10"/>
      <c r="B35" s="10"/>
      <c r="C35" s="10"/>
      <c r="D35" s="10"/>
      <c r="E35" s="10"/>
    </row>
    <row r="36" spans="1:5" ht="12.75">
      <c r="A36" s="10"/>
      <c r="B36" s="10"/>
      <c r="C36" s="10"/>
      <c r="D36" s="10"/>
      <c r="E36" s="10"/>
    </row>
    <row r="37" spans="1:5" ht="12.75">
      <c r="A37" s="10"/>
      <c r="B37" s="10"/>
      <c r="C37" s="10"/>
      <c r="D37" s="10"/>
      <c r="E37" s="10"/>
    </row>
    <row r="38" spans="1:5" ht="12.75">
      <c r="A38" s="10"/>
      <c r="B38" s="10"/>
      <c r="C38" s="10"/>
      <c r="D38" s="10"/>
      <c r="E38" s="10"/>
    </row>
    <row r="39" spans="1:5" ht="12.75">
      <c r="A39" s="10"/>
      <c r="B39" s="10"/>
      <c r="C39" s="10"/>
      <c r="D39" s="10"/>
      <c r="E39" s="10"/>
    </row>
    <row r="40" spans="1:5" ht="12.75">
      <c r="A40" s="10"/>
      <c r="B40" s="10"/>
      <c r="C40" s="10"/>
      <c r="D40" s="10"/>
      <c r="E40" s="10"/>
    </row>
    <row r="41" spans="1:5" ht="12.75">
      <c r="A41" s="10"/>
      <c r="B41" s="10"/>
      <c r="C41" s="10"/>
      <c r="D41" s="10"/>
      <c r="E41" s="10"/>
    </row>
    <row r="42" spans="1:5" ht="12.75">
      <c r="A42" s="10"/>
      <c r="B42" s="10"/>
      <c r="C42" s="10"/>
      <c r="D42" s="10"/>
      <c r="E42" s="10"/>
    </row>
    <row r="43" spans="1:5" ht="12.75">
      <c r="A43" s="10"/>
      <c r="B43" s="10"/>
      <c r="C43" s="10"/>
      <c r="D43" s="10"/>
      <c r="E43" s="10"/>
    </row>
    <row r="44" spans="1:5" ht="12.75">
      <c r="A44" s="10"/>
      <c r="B44" s="10"/>
      <c r="C44" s="10"/>
      <c r="D44" s="10"/>
      <c r="E44" s="10"/>
    </row>
    <row r="45" spans="1:5" ht="12.75">
      <c r="A45" s="10"/>
      <c r="B45" s="10"/>
      <c r="C45" s="10"/>
      <c r="D45" s="10"/>
      <c r="E45" s="10"/>
    </row>
    <row r="46" spans="1:5" ht="12.75">
      <c r="A46" s="10"/>
      <c r="B46" s="10"/>
      <c r="C46" s="10"/>
      <c r="D46" s="10"/>
      <c r="E46" s="10"/>
    </row>
    <row r="47" spans="1:5" ht="12.75">
      <c r="A47" s="10"/>
      <c r="B47" s="10"/>
      <c r="C47" s="10"/>
      <c r="D47" s="10"/>
      <c r="E47" s="10"/>
    </row>
    <row r="48" spans="1:5" ht="12.75">
      <c r="A48" s="10"/>
      <c r="B48" s="10"/>
      <c r="C48" s="10"/>
      <c r="D48" s="10"/>
      <c r="E48" s="10"/>
    </row>
    <row r="49" spans="1:5" ht="12.75">
      <c r="A49" s="10"/>
      <c r="B49" s="10"/>
      <c r="C49" s="10"/>
      <c r="D49" s="10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  <row r="53" spans="1:5" ht="12.75">
      <c r="A53" s="10"/>
      <c r="B53" s="10"/>
      <c r="C53" s="10"/>
      <c r="D53" s="10"/>
      <c r="E53" s="10"/>
    </row>
    <row r="54" spans="1:5" ht="12.75">
      <c r="A54" s="10"/>
      <c r="B54" s="10"/>
      <c r="C54" s="10"/>
      <c r="D54" s="10"/>
      <c r="E54" s="10"/>
    </row>
    <row r="55" spans="1:5" ht="12.75">
      <c r="A55" s="10"/>
      <c r="B55" s="10"/>
      <c r="C55" s="10"/>
      <c r="D55" s="10"/>
      <c r="E55" s="10"/>
    </row>
    <row r="56" spans="1:5" ht="12.75">
      <c r="A56" s="10"/>
      <c r="B56" s="10"/>
      <c r="C56" s="10"/>
      <c r="D56" s="10"/>
      <c r="E56" s="10"/>
    </row>
    <row r="57" spans="1:5" ht="12.75">
      <c r="A57" s="10"/>
      <c r="B57" s="10"/>
      <c r="C57" s="10"/>
      <c r="D57" s="10"/>
      <c r="E57" s="10"/>
    </row>
    <row r="58" spans="1:5" ht="12.75">
      <c r="A58" s="10"/>
      <c r="B58" s="10"/>
      <c r="C58" s="10"/>
      <c r="D58" s="10"/>
      <c r="E58" s="10"/>
    </row>
    <row r="59" spans="1:5" ht="12.75">
      <c r="A59" s="10"/>
      <c r="B59" s="10"/>
      <c r="C59" s="10"/>
      <c r="D59" s="10"/>
      <c r="E59" s="10"/>
    </row>
    <row r="60" spans="1:10" ht="12.75">
      <c r="A60" s="10"/>
      <c r="B60" s="10"/>
      <c r="C60" s="10"/>
      <c r="D60" s="10"/>
      <c r="E60" s="10"/>
      <c r="J60" s="126">
        <f>Blad1!C62+1</f>
        <v>2</v>
      </c>
    </row>
    <row r="61" spans="1:5" ht="12.75">
      <c r="A61" s="10"/>
      <c r="B61" s="10"/>
      <c r="C61" s="10"/>
      <c r="D61" s="10"/>
      <c r="E61" s="10"/>
    </row>
    <row r="62" spans="1:5" ht="12.75">
      <c r="A62" s="10"/>
      <c r="B62" s="10"/>
      <c r="C62" s="10"/>
      <c r="D62" s="10"/>
      <c r="E62" s="10"/>
    </row>
    <row r="63" spans="1:5" ht="12.75">
      <c r="A63" s="10"/>
      <c r="B63" s="10"/>
      <c r="C63" s="10"/>
      <c r="D63" s="10"/>
      <c r="E63" s="10"/>
    </row>
    <row r="64" spans="2:5" ht="12.75">
      <c r="B64" s="10"/>
      <c r="C64" s="10"/>
      <c r="D64" s="10"/>
      <c r="E64" s="10"/>
    </row>
    <row r="65" spans="1:5" ht="12.75">
      <c r="A65" s="10"/>
      <c r="B65" s="10"/>
      <c r="C65" s="10"/>
      <c r="D65" s="10"/>
      <c r="E65" s="10"/>
    </row>
    <row r="66" spans="1:5" ht="12.75">
      <c r="A66" s="10"/>
      <c r="B66" s="10"/>
      <c r="C66" s="10"/>
      <c r="D66" s="10"/>
      <c r="E66" s="10"/>
    </row>
    <row r="67" spans="1:5" ht="12.75">
      <c r="A67" s="10"/>
      <c r="B67" s="10"/>
      <c r="C67" s="10"/>
      <c r="D67" s="10"/>
      <c r="E67" s="10"/>
    </row>
    <row r="68" spans="1:5" ht="12.75">
      <c r="A68" s="10"/>
      <c r="B68" s="10"/>
      <c r="C68" s="10"/>
      <c r="D68" s="10"/>
      <c r="E68" s="10"/>
    </row>
    <row r="69" spans="1:5" ht="12.75">
      <c r="A69" s="10"/>
      <c r="B69" s="10"/>
      <c r="C69" s="10"/>
      <c r="D69" s="10"/>
      <c r="E69" s="10"/>
    </row>
    <row r="70" spans="1:5" ht="12.75">
      <c r="A70" s="10"/>
      <c r="B70" s="10"/>
      <c r="C70" s="10"/>
      <c r="D70" s="10"/>
      <c r="E70" s="10"/>
    </row>
    <row r="71" spans="1:5" ht="12.75">
      <c r="A71" s="10"/>
      <c r="B71" s="10"/>
      <c r="C71" s="10"/>
      <c r="D71" s="10"/>
      <c r="E71" s="10"/>
    </row>
    <row r="72" spans="1:5" ht="12.75">
      <c r="A72" s="10"/>
      <c r="B72" s="10"/>
      <c r="C72" s="10"/>
      <c r="D72" s="10"/>
      <c r="E72" s="10"/>
    </row>
    <row r="73" spans="1:5" ht="12.75">
      <c r="A73" s="10"/>
      <c r="B73" s="10"/>
      <c r="C73" s="10"/>
      <c r="D73" s="10"/>
      <c r="E73" s="10"/>
    </row>
    <row r="74" spans="1:5" ht="12.75">
      <c r="A74" s="10"/>
      <c r="B74" s="10"/>
      <c r="C74" s="10"/>
      <c r="D74" s="10"/>
      <c r="E74" s="10"/>
    </row>
    <row r="75" spans="1:5" ht="12.75">
      <c r="A75" s="10"/>
      <c r="B75" s="10"/>
      <c r="C75" s="10"/>
      <c r="D75" s="10"/>
      <c r="E75" s="10"/>
    </row>
    <row r="76" spans="1:5" ht="12.75">
      <c r="A76" s="10"/>
      <c r="B76" s="10"/>
      <c r="C76" s="10"/>
      <c r="D76" s="10"/>
      <c r="E76" s="10"/>
    </row>
    <row r="77" spans="1:5" ht="12.75">
      <c r="A77" s="10"/>
      <c r="B77" s="10"/>
      <c r="C77" s="10"/>
      <c r="D77" s="10"/>
      <c r="E77" s="10"/>
    </row>
    <row r="78" spans="1:5" ht="12.75">
      <c r="A78" s="10"/>
      <c r="B78" s="10"/>
      <c r="C78" s="10"/>
      <c r="D78" s="10"/>
      <c r="E78" s="10"/>
    </row>
    <row r="79" spans="1:5" ht="12.75">
      <c r="A79" s="10"/>
      <c r="B79" s="10"/>
      <c r="C79" s="10"/>
      <c r="D79" s="10"/>
      <c r="E79" s="10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  <row r="87" spans="1:5" ht="12.75">
      <c r="A87" s="10"/>
      <c r="B87" s="10"/>
      <c r="C87" s="10"/>
      <c r="D87" s="10"/>
      <c r="E87" s="10"/>
    </row>
    <row r="88" spans="1:5" ht="12.75">
      <c r="A88" s="10"/>
      <c r="B88" s="10"/>
      <c r="C88" s="10"/>
      <c r="D88" s="10"/>
      <c r="E88" s="10"/>
    </row>
    <row r="89" spans="1:5" ht="12.75">
      <c r="A89" s="10"/>
      <c r="B89" s="10"/>
      <c r="C89" s="10"/>
      <c r="D89" s="10"/>
      <c r="E89" s="10"/>
    </row>
    <row r="90" spans="1:5" ht="12.75">
      <c r="A90" s="10"/>
      <c r="B90" s="10"/>
      <c r="C90" s="10"/>
      <c r="D90" s="10"/>
      <c r="E90" s="10"/>
    </row>
    <row r="91" spans="1:5" ht="12.75">
      <c r="A91" s="10"/>
      <c r="B91" s="10"/>
      <c r="C91" s="10"/>
      <c r="D91" s="10"/>
      <c r="E91" s="10"/>
    </row>
    <row r="92" spans="1:5" ht="12.75">
      <c r="A92" s="10"/>
      <c r="B92" s="10"/>
      <c r="C92" s="10"/>
      <c r="D92" s="10"/>
      <c r="E92" s="10"/>
    </row>
    <row r="93" spans="1:5" ht="12.75">
      <c r="A93" s="10"/>
      <c r="B93" s="10"/>
      <c r="C93" s="10"/>
      <c r="D93" s="10"/>
      <c r="E93" s="10"/>
    </row>
    <row r="94" spans="1:5" ht="12.75">
      <c r="A94" s="10"/>
      <c r="B94" s="10"/>
      <c r="C94" s="10"/>
      <c r="D94" s="10"/>
      <c r="E94" s="10"/>
    </row>
    <row r="95" spans="1:5" ht="12.75">
      <c r="A95" s="10"/>
      <c r="B95" s="10"/>
      <c r="C95" s="10"/>
      <c r="D95" s="10"/>
      <c r="E95" s="10"/>
    </row>
    <row r="96" spans="1:5" ht="12.75">
      <c r="A96" s="10"/>
      <c r="B96" s="10"/>
      <c r="C96" s="10"/>
      <c r="D96" s="10"/>
      <c r="E96" s="10"/>
    </row>
    <row r="97" spans="1:5" ht="12.75">
      <c r="A97" s="10"/>
      <c r="B97" s="10"/>
      <c r="C97" s="10"/>
      <c r="D97" s="10"/>
      <c r="E97" s="10"/>
    </row>
  </sheetData>
  <sheetProtection password="CCBC" sheet="1" objects="1" scenarios="1"/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&amp;L&amp;"Arial,Vet"Bijlage 1 bij circulaire JHYM/xxxx/CI/06/xxc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>
    <tabColor indexed="50"/>
    <pageSetUpPr fitToPage="1"/>
  </sheetPr>
  <dimension ref="A1:AV1973"/>
  <sheetViews>
    <sheetView showGridLines="0" showRowColHeaders="0" showZeros="0" showOutlineSymbols="0" view="pageBreakPreview" zoomScale="75" zoomScaleNormal="75" zoomScaleSheetLayoutView="75" workbookViewId="0" topLeftCell="A1">
      <selection activeCell="A1" sqref="A1"/>
    </sheetView>
  </sheetViews>
  <sheetFormatPr defaultColWidth="9.140625" defaultRowHeight="12.75" customHeight="1"/>
  <cols>
    <col min="1" max="1" width="5.8515625" style="2" customWidth="1"/>
    <col min="2" max="2" width="58.421875" style="15" customWidth="1"/>
    <col min="3" max="5" width="10.7109375" style="12" customWidth="1"/>
    <col min="6" max="7" width="12.421875" style="12" customWidth="1"/>
    <col min="8" max="9" width="10.7109375" style="37" customWidth="1"/>
    <col min="10" max="15" width="12.140625" style="12" customWidth="1"/>
    <col min="16" max="17" width="15.28125" style="12" customWidth="1"/>
    <col min="18" max="18" width="9.140625" style="7" customWidth="1"/>
    <col min="19" max="19" width="24.8515625" style="7" customWidth="1"/>
    <col min="20" max="23" width="9.140625" style="7" customWidth="1"/>
    <col min="24" max="24" width="9.7109375" style="7" customWidth="1"/>
    <col min="25" max="16384" width="9.140625" style="7" customWidth="1"/>
  </cols>
  <sheetData>
    <row r="1" spans="2:28" ht="12.75" customHeight="1">
      <c r="B1" s="50" t="str">
        <f>CONCATENATE("Productieaantallen ",Blad1!B3," / ",Blad1!B3-1)</f>
        <v>Productieaantallen 2006 / 2005</v>
      </c>
      <c r="S1" s="165"/>
      <c r="T1" s="166" t="s">
        <v>157</v>
      </c>
      <c r="U1" s="167"/>
      <c r="V1" s="166" t="s">
        <v>160</v>
      </c>
      <c r="W1" s="167"/>
      <c r="X1" s="165"/>
      <c r="Y1" s="165"/>
      <c r="Z1" s="165"/>
      <c r="AA1" s="165"/>
      <c r="AB1" s="165"/>
    </row>
    <row r="2" spans="2:28" ht="12.75" customHeight="1">
      <c r="B2" s="118" t="b">
        <f>Blad1!A25</f>
        <v>1</v>
      </c>
      <c r="S2" s="165"/>
      <c r="T2" s="404" t="str">
        <f>CONCATENATE("jaar ",Blad1!B3-1)</f>
        <v>jaar 2005</v>
      </c>
      <c r="U2" s="405"/>
      <c r="V2" s="404" t="str">
        <f>CONCATENATE("jaar ",Blad1!B3)</f>
        <v>jaar 2006</v>
      </c>
      <c r="W2" s="405"/>
      <c r="X2" s="165"/>
      <c r="Y2" s="165"/>
      <c r="Z2" s="165"/>
      <c r="AA2" s="165"/>
      <c r="AB2" s="165"/>
    </row>
    <row r="3" spans="3:28" ht="12.75" customHeight="1">
      <c r="C3" s="73" t="s">
        <v>9</v>
      </c>
      <c r="D3" s="74" t="s">
        <v>153</v>
      </c>
      <c r="E3" s="73" t="s">
        <v>272</v>
      </c>
      <c r="F3" s="73" t="s">
        <v>126</v>
      </c>
      <c r="G3" s="74" t="s">
        <v>272</v>
      </c>
      <c r="H3" s="406" t="str">
        <f>CONCATENATE("Nacalculatie ",Blad1!B3-1)</f>
        <v>Nacalculatie 2005</v>
      </c>
      <c r="I3" s="407"/>
      <c r="J3" s="407"/>
      <c r="K3" s="408"/>
      <c r="L3" s="73" t="s">
        <v>185</v>
      </c>
      <c r="M3" s="409" t="str">
        <f>CONCATENATE("Productieafspraken ",Blad1!B3)</f>
        <v>Productieafspraken 2006</v>
      </c>
      <c r="N3" s="410"/>
      <c r="O3" s="410"/>
      <c r="P3" s="411"/>
      <c r="Q3" s="73" t="s">
        <v>185</v>
      </c>
      <c r="S3" s="165" t="s">
        <v>156</v>
      </c>
      <c r="T3" s="168" t="s">
        <v>158</v>
      </c>
      <c r="U3" s="168" t="s">
        <v>159</v>
      </c>
      <c r="V3" s="168" t="s">
        <v>158</v>
      </c>
      <c r="W3" s="168" t="s">
        <v>159</v>
      </c>
      <c r="X3" s="165"/>
      <c r="Y3" s="165"/>
      <c r="Z3" s="165"/>
      <c r="AA3" s="165"/>
      <c r="AB3" s="165"/>
    </row>
    <row r="4" spans="3:28" ht="12.75" customHeight="1">
      <c r="C4" s="75">
        <f>Blad1!$B$3-1</f>
        <v>2005</v>
      </c>
      <c r="D4" s="75">
        <f>Blad1!$B$3-1</f>
        <v>2005</v>
      </c>
      <c r="E4" s="75">
        <f>Blad1!$B$3-1</f>
        <v>2005</v>
      </c>
      <c r="F4" s="75">
        <f>Blad1!$B$3</f>
        <v>2006</v>
      </c>
      <c r="G4" s="75">
        <f>Blad1!$B$3</f>
        <v>2006</v>
      </c>
      <c r="H4" s="78" t="s">
        <v>161</v>
      </c>
      <c r="I4" s="79"/>
      <c r="J4" s="80" t="s">
        <v>272</v>
      </c>
      <c r="K4" s="81" t="s">
        <v>272</v>
      </c>
      <c r="L4" s="75">
        <f>Blad1!$B$3-1</f>
        <v>2005</v>
      </c>
      <c r="M4" s="78" t="s">
        <v>161</v>
      </c>
      <c r="N4" s="79"/>
      <c r="O4" s="80" t="s">
        <v>162</v>
      </c>
      <c r="P4" s="81" t="s">
        <v>162</v>
      </c>
      <c r="Q4" s="75">
        <f>Blad1!$B$3</f>
        <v>2006</v>
      </c>
      <c r="S4" s="165" t="s">
        <v>98</v>
      </c>
      <c r="T4" s="169">
        <f>Blad14!J36</f>
        <v>411.95</v>
      </c>
      <c r="U4" s="169">
        <f>Blad14!K36</f>
        <v>483.36</v>
      </c>
      <c r="V4" s="169">
        <f>Blad14!L36</f>
        <v>415.74</v>
      </c>
      <c r="W4" s="169">
        <f>Blad14!M36</f>
        <v>490.22</v>
      </c>
      <c r="X4" s="168" t="str">
        <f>CONCATENATE("trend ",Blad1!B3-1)</f>
        <v>trend 2005</v>
      </c>
      <c r="Y4" s="170">
        <f>Blad14!C5</f>
        <v>1.0092</v>
      </c>
      <c r="Z4" s="170">
        <f>Blad14!D5</f>
        <v>1.0142</v>
      </c>
      <c r="AA4" s="165"/>
      <c r="AB4" s="165"/>
    </row>
    <row r="5" spans="3:28" ht="12.75" customHeight="1">
      <c r="C5" s="9"/>
      <c r="D5" s="9"/>
      <c r="E5" s="9"/>
      <c r="F5" s="171"/>
      <c r="G5" s="171"/>
      <c r="H5" s="82" t="s">
        <v>77</v>
      </c>
      <c r="I5" s="82" t="s">
        <v>78</v>
      </c>
      <c r="J5" s="83" t="s">
        <v>77</v>
      </c>
      <c r="K5" s="83" t="s">
        <v>78</v>
      </c>
      <c r="L5" s="16"/>
      <c r="M5" s="80" t="s">
        <v>77</v>
      </c>
      <c r="N5" s="84" t="s">
        <v>78</v>
      </c>
      <c r="O5" s="83" t="s">
        <v>77</v>
      </c>
      <c r="P5" s="83" t="s">
        <v>78</v>
      </c>
      <c r="Q5" s="16"/>
      <c r="S5" s="165" t="s">
        <v>99</v>
      </c>
      <c r="T5" s="169">
        <f>Blad14!J37</f>
        <v>427.84</v>
      </c>
      <c r="U5" s="169">
        <f>Blad14!K37</f>
        <v>531.88</v>
      </c>
      <c r="V5" s="169">
        <f>Blad14!L37</f>
        <v>431.77</v>
      </c>
      <c r="W5" s="169">
        <f>Blad14!M37</f>
        <v>539.44</v>
      </c>
      <c r="X5" s="165" t="str">
        <f>CONCATENATE("trend ",Blad1!B3)</f>
        <v>trend 2006</v>
      </c>
      <c r="Y5" s="165"/>
      <c r="Z5" s="165"/>
      <c r="AA5" s="172">
        <f>Blad14!E5</f>
        <v>1.0033</v>
      </c>
      <c r="AB5" s="172">
        <f>Blad14!F5</f>
        <v>1.01</v>
      </c>
    </row>
    <row r="6" spans="2:28" ht="12.75" customHeight="1">
      <c r="B6" s="28"/>
      <c r="C6" s="8"/>
      <c r="D6" s="8"/>
      <c r="E6" s="8"/>
      <c r="F6" s="8"/>
      <c r="G6" s="8"/>
      <c r="H6" s="17"/>
      <c r="I6" s="17"/>
      <c r="J6" s="8"/>
      <c r="K6" s="8"/>
      <c r="L6" s="8"/>
      <c r="M6" s="8"/>
      <c r="N6" s="8"/>
      <c r="O6" s="8"/>
      <c r="P6" s="8"/>
      <c r="Q6" s="8"/>
      <c r="S6" s="165" t="s">
        <v>100</v>
      </c>
      <c r="T6" s="169">
        <f>Blad14!J38</f>
        <v>38.55</v>
      </c>
      <c r="U6" s="169">
        <f>Blad14!K38</f>
        <v>8.81</v>
      </c>
      <c r="V6" s="169">
        <f>Blad14!L38</f>
        <v>38.91</v>
      </c>
      <c r="W6" s="169">
        <f>Blad14!M38</f>
        <v>8.94</v>
      </c>
      <c r="X6" s="165"/>
      <c r="Y6" s="165"/>
      <c r="Z6" s="165"/>
      <c r="AA6" s="165"/>
      <c r="AB6" s="165"/>
    </row>
    <row r="7" spans="1:28" ht="12.75" customHeight="1">
      <c r="A7" s="367">
        <f>R65*100+1</f>
        <v>301</v>
      </c>
      <c r="B7" s="399" t="str">
        <f>CONCATENATE("gewogen medisch specialisten volgens laatste rekenstaat ",Blad1!B3-1," exclusief agio's")</f>
        <v>gewogen medisch specialisten volgens laatste rekenstaat 2005 exclusief agio's</v>
      </c>
      <c r="C7" s="399"/>
      <c r="D7" s="381"/>
      <c r="E7" s="90"/>
      <c r="K7" s="12" t="s">
        <v>199</v>
      </c>
      <c r="S7" s="165" t="s">
        <v>101</v>
      </c>
      <c r="T7" s="169">
        <f>Blad14!J39</f>
        <v>39.82</v>
      </c>
      <c r="U7" s="169">
        <f>Blad14!K39</f>
        <v>9.02</v>
      </c>
      <c r="V7" s="169">
        <f>Blad14!L39</f>
        <v>40.19</v>
      </c>
      <c r="W7" s="169">
        <f>Blad14!M39</f>
        <v>9.15</v>
      </c>
      <c r="X7" s="165"/>
      <c r="Y7" s="165"/>
      <c r="Z7" s="165"/>
      <c r="AA7" s="165"/>
      <c r="AB7" s="165"/>
    </row>
    <row r="8" spans="1:28" ht="12.75" customHeight="1">
      <c r="A8" s="367">
        <f>A7+1</f>
        <v>302</v>
      </c>
      <c r="B8" s="399" t="str">
        <f>CONCATENATE("gewogen agio's volgens laatste rekenstaat ",Blad1!B3-1)</f>
        <v>gewogen agio's volgens laatste rekenstaat 2005</v>
      </c>
      <c r="C8" s="399"/>
      <c r="D8" s="381"/>
      <c r="E8" s="90"/>
      <c r="S8" s="165"/>
      <c r="T8" s="169"/>
      <c r="U8" s="169"/>
      <c r="V8" s="169"/>
      <c r="W8" s="169"/>
      <c r="X8" s="165"/>
      <c r="Y8" s="165"/>
      <c r="Z8" s="165"/>
      <c r="AA8" s="165"/>
      <c r="AB8" s="165"/>
    </row>
    <row r="9" spans="1:28" ht="12.75" customHeight="1">
      <c r="A9" s="368"/>
      <c r="B9" s="28"/>
      <c r="C9" s="90"/>
      <c r="D9" s="90"/>
      <c r="E9" s="90"/>
      <c r="S9" s="165" t="s">
        <v>117</v>
      </c>
      <c r="T9" s="169">
        <f>Blad14!J40</f>
        <v>76.38</v>
      </c>
      <c r="U9" s="169">
        <f>Blad14!K40</f>
        <v>37.88</v>
      </c>
      <c r="V9" s="169">
        <f>Blad14!L40</f>
        <v>77.08</v>
      </c>
      <c r="W9" s="169">
        <f>Blad14!M40</f>
        <v>38.41</v>
      </c>
      <c r="X9" s="165"/>
      <c r="Y9" s="165"/>
      <c r="Z9" s="165"/>
      <c r="AA9" s="165"/>
      <c r="AB9" s="165"/>
    </row>
    <row r="10" spans="1:28" ht="12.75" customHeight="1">
      <c r="A10" s="368"/>
      <c r="B10" s="28"/>
      <c r="C10" s="90"/>
      <c r="D10" s="90"/>
      <c r="E10" s="90"/>
      <c r="J10" s="173"/>
      <c r="S10" s="165" t="s">
        <v>118</v>
      </c>
      <c r="T10" s="169">
        <f>Blad14!J41</f>
        <v>79.52</v>
      </c>
      <c r="U10" s="169">
        <f>Blad14!K41</f>
        <v>41.54</v>
      </c>
      <c r="V10" s="169">
        <f>Blad14!L41</f>
        <v>80.25</v>
      </c>
      <c r="W10" s="169">
        <f>Blad14!M41</f>
        <v>42.12</v>
      </c>
      <c r="X10" s="165"/>
      <c r="Y10" s="165"/>
      <c r="Z10" s="165"/>
      <c r="AA10" s="165"/>
      <c r="AB10" s="165"/>
    </row>
    <row r="11" spans="1:28" ht="12.75" customHeight="1">
      <c r="A11" s="367">
        <f>A8+1</f>
        <v>303</v>
      </c>
      <c r="B11" s="99" t="s">
        <v>559</v>
      </c>
      <c r="C11" s="138">
        <f>+Blad12!C37</f>
        <v>0</v>
      </c>
      <c r="D11" s="138">
        <f>Blad12!D37</f>
        <v>0</v>
      </c>
      <c r="E11" s="138">
        <f aca="true" t="shared" si="0" ref="E11:E17">C11-D11</f>
        <v>0</v>
      </c>
      <c r="F11" s="138">
        <f>Blad12!E37</f>
        <v>0</v>
      </c>
      <c r="G11" s="138">
        <f>F11-C11</f>
        <v>0</v>
      </c>
      <c r="H11" s="29"/>
      <c r="I11" s="29"/>
      <c r="J11" s="89"/>
      <c r="K11" s="89"/>
      <c r="L11" s="89"/>
      <c r="M11" s="89"/>
      <c r="N11" s="89"/>
      <c r="O11" s="89"/>
      <c r="P11" s="89"/>
      <c r="Q11" s="89"/>
      <c r="S11" s="165" t="s">
        <v>102</v>
      </c>
      <c r="T11" s="169">
        <f>Blad14!J42</f>
        <v>214.96</v>
      </c>
      <c r="U11" s="169">
        <f>Blad14!K42</f>
        <v>104.06</v>
      </c>
      <c r="V11" s="169">
        <f>Blad14!L42</f>
        <v>216.94</v>
      </c>
      <c r="W11" s="169">
        <f>Blad14!M42</f>
        <v>105.54</v>
      </c>
      <c r="X11" s="165"/>
      <c r="Y11" s="165"/>
      <c r="Z11" s="165"/>
      <c r="AA11" s="165"/>
      <c r="AB11" s="165"/>
    </row>
    <row r="12" spans="1:28" ht="12.75" customHeight="1">
      <c r="A12" s="367">
        <f>A11+1</f>
        <v>304</v>
      </c>
      <c r="B12" s="99" t="s">
        <v>560</v>
      </c>
      <c r="C12" s="117">
        <f>Blad12!G37</f>
        <v>0</v>
      </c>
      <c r="D12" s="117">
        <f>Blad12!H37</f>
        <v>0</v>
      </c>
      <c r="E12" s="138">
        <f t="shared" si="0"/>
        <v>0</v>
      </c>
      <c r="F12" s="117">
        <f>Blad12!I37</f>
        <v>0</v>
      </c>
      <c r="G12" s="138">
        <f aca="true" t="shared" si="1" ref="G12:G19">F12-C12</f>
        <v>0</v>
      </c>
      <c r="H12" s="112">
        <f>IF(($D$7+$D$8)=0,0,ROUND(IF(($D$7+$D$8)&lt;62.5,T4,IF(($D$7+$D$8)&gt;=88,T5,T4+(($D$7+$D$8)-62.5)/25.5*(T5-T4))),2))</f>
        <v>0</v>
      </c>
      <c r="I12" s="112">
        <f>IF(($D$7+$D$8)=0,0,ROUND(IF(($D$7+$D$8)&lt;62.5,U4,IF(($D$7+$D$8)&gt;=88,U5,U4+(($D$7+$D$8)-62.5)/25.5*(U5-U4))),2))</f>
        <v>0</v>
      </c>
      <c r="J12" s="139">
        <f>ROUND($E12*ROUND(H12*$Y$4,2),0)</f>
        <v>0</v>
      </c>
      <c r="K12" s="139">
        <f>ROUND($E12*ROUND(I12*$Z$4,2),0)</f>
        <v>0</v>
      </c>
      <c r="L12" s="139">
        <f>ROUND(C12*ROUND(H12*$Y$4,2),0)+ROUND(C12*ROUND(I12*$Z$4,2),0)</f>
        <v>0</v>
      </c>
      <c r="M12" s="112">
        <f>IF($D$7=0,0,ROUND(IF($D$7&lt;62.5,V4,IF($D$7&gt;=88,V5,V4+($D$7-62.5)/25.5*(V5-V4))),2))</f>
        <v>0</v>
      </c>
      <c r="N12" s="112">
        <f>IF($D$7=0,0,ROUND(IF($D$7&lt;62.5,W4,IF($D$7&gt;=88,W5,W4+($D$7-62.5)/25.5*(W5-W4))),2))</f>
        <v>0</v>
      </c>
      <c r="O12" s="142">
        <f>ROUND(F12*ROUND(M12*$AA$5,2),0)</f>
        <v>0</v>
      </c>
      <c r="P12" s="138">
        <f>ROUND(F12*ROUND(N12*$AB$5,2),0)</f>
        <v>0</v>
      </c>
      <c r="Q12" s="139">
        <f>ROUND(F12*ROUND(M12*$AA$5,2),0)+ROUND(F12*ROUND(N12*$AB$5,2),0)</f>
        <v>0</v>
      </c>
      <c r="S12" s="165" t="s">
        <v>103</v>
      </c>
      <c r="T12" s="169">
        <f>Blad14!J43</f>
        <v>219.11</v>
      </c>
      <c r="U12" s="169">
        <f>Blad14!K43</f>
        <v>110.02</v>
      </c>
      <c r="V12" s="169">
        <f>Blad14!L43</f>
        <v>221.13</v>
      </c>
      <c r="W12" s="169">
        <f>Blad14!M43</f>
        <v>111.58</v>
      </c>
      <c r="X12" s="165"/>
      <c r="Y12" s="165"/>
      <c r="Z12" s="165"/>
      <c r="AA12" s="165"/>
      <c r="AB12" s="165"/>
    </row>
    <row r="13" spans="1:28" ht="12.75" customHeight="1">
      <c r="A13" s="367">
        <f aca="true" t="shared" si="2" ref="A13:A34">A12+1</f>
        <v>305</v>
      </c>
      <c r="B13" s="99" t="s">
        <v>561</v>
      </c>
      <c r="C13" s="138">
        <f>Blad12!K37</f>
        <v>0</v>
      </c>
      <c r="D13" s="138">
        <f>Blad12!L37</f>
        <v>0</v>
      </c>
      <c r="E13" s="138">
        <f t="shared" si="0"/>
        <v>0</v>
      </c>
      <c r="F13" s="138">
        <f>Blad12!M37</f>
        <v>0</v>
      </c>
      <c r="G13" s="138">
        <f t="shared" si="1"/>
        <v>0</v>
      </c>
      <c r="H13" s="112">
        <f>IF(($D$7+$D$8)=0,0,ROUND(IF(($D$7+$D$8)&lt;62.5,T6,IF(($D$7+$D$8)&gt;=88,T7,T6+(($D$7+$D$8)-62.5)/25.5*(T7-T6))),2))</f>
        <v>0</v>
      </c>
      <c r="I13" s="112">
        <f>IF(($D$7+$D$8)=0,0,ROUND(IF(($D$7+$D$8)&lt;62.5,U6,IF(($D$7+$D$8)&gt;=88,U7,U6+(($D$7+$D$8)-62.5)/25.5*(U7-U6))),2))</f>
        <v>0</v>
      </c>
      <c r="J13" s="139">
        <f>ROUND($E13*ROUND(H13*$Y$4,2),0)</f>
        <v>0</v>
      </c>
      <c r="K13" s="139">
        <f>ROUND($E13*ROUND(I13*$Z$4,2),0)</f>
        <v>0</v>
      </c>
      <c r="L13" s="139">
        <f>ROUND(C13*ROUND(H13*$Y$4,2),0)+ROUND(C13*ROUND(I13*$Z$4,2),0)</f>
        <v>0</v>
      </c>
      <c r="M13" s="112">
        <f>IF($D$7=0,0,ROUND(IF($D$7&lt;62.5,V6,IF($D$7&gt;=88,V7,V6+($D$7-62.5)/25.5*(V7-V6))),2))</f>
        <v>0</v>
      </c>
      <c r="N13" s="112">
        <f>IF($D$7=0,0,ROUND(IF($D$7&lt;62.5,W6,IF($D$7&gt;=88,W7,W6+($D$7-62.5)/25.5*(W7-W6))),2))</f>
        <v>0</v>
      </c>
      <c r="O13" s="142">
        <f aca="true" t="shared" si="3" ref="O13:O36">ROUND(F13*ROUND(M13*$AA$5,2),0)</f>
        <v>0</v>
      </c>
      <c r="P13" s="138">
        <f aca="true" t="shared" si="4" ref="P13:P36">ROUND(F13*ROUND(N13*$AB$5,2),0)</f>
        <v>0</v>
      </c>
      <c r="Q13" s="139">
        <f aca="true" t="shared" si="5" ref="Q13:Q36">ROUND(F13*ROUND(M13*$AA$5,2),0)+ROUND(F13*ROUND(N13*$AB$5,2),0)</f>
        <v>0</v>
      </c>
      <c r="S13" s="165" t="s">
        <v>144</v>
      </c>
      <c r="T13" s="169">
        <f>Blad14!J44</f>
        <v>489.05</v>
      </c>
      <c r="U13" s="169">
        <f>Blad14!K44</f>
        <v>500.98</v>
      </c>
      <c r="V13" s="169">
        <f>Blad14!L44</f>
        <v>493.55</v>
      </c>
      <c r="W13" s="169">
        <f>Blad14!M44</f>
        <v>508.09</v>
      </c>
      <c r="X13" s="165"/>
      <c r="Y13" s="165"/>
      <c r="Z13" s="165"/>
      <c r="AA13" s="165"/>
      <c r="AB13" s="165"/>
    </row>
    <row r="14" spans="1:48" ht="12.75" customHeight="1">
      <c r="A14" s="367">
        <f t="shared" si="2"/>
        <v>306</v>
      </c>
      <c r="B14" s="99" t="s">
        <v>562</v>
      </c>
      <c r="C14" s="138">
        <f>Blad13!C36</f>
        <v>0</v>
      </c>
      <c r="D14" s="138">
        <f>Blad13!D36</f>
        <v>0</v>
      </c>
      <c r="E14" s="138">
        <f t="shared" si="0"/>
        <v>0</v>
      </c>
      <c r="F14" s="138">
        <f>Blad13!E36</f>
        <v>0</v>
      </c>
      <c r="G14" s="138">
        <f t="shared" si="1"/>
        <v>0</v>
      </c>
      <c r="H14" s="29"/>
      <c r="I14" s="29"/>
      <c r="J14" s="89"/>
      <c r="K14" s="89"/>
      <c r="L14" s="89"/>
      <c r="M14" s="89"/>
      <c r="N14" s="89"/>
      <c r="O14" s="89"/>
      <c r="P14" s="152"/>
      <c r="Q14" s="153"/>
      <c r="R14" s="28"/>
      <c r="S14" s="174" t="s">
        <v>145</v>
      </c>
      <c r="T14" s="169">
        <f>Blad14!J45</f>
        <v>507.48</v>
      </c>
      <c r="U14" s="169">
        <f>Blad14!K45</f>
        <v>549.93</v>
      </c>
      <c r="V14" s="169">
        <f>Blad14!L45</f>
        <v>512.15</v>
      </c>
      <c r="W14" s="169">
        <f>Blad14!M45</f>
        <v>557.75</v>
      </c>
      <c r="X14" s="174"/>
      <c r="Y14" s="174"/>
      <c r="Z14" s="174"/>
      <c r="AA14" s="174"/>
      <c r="AB14" s="174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28" ht="12.75" customHeight="1">
      <c r="A15" s="367">
        <f t="shared" si="2"/>
        <v>307</v>
      </c>
      <c r="B15" s="99" t="s">
        <v>563</v>
      </c>
      <c r="C15" s="117">
        <f>Blad13!G36</f>
        <v>0</v>
      </c>
      <c r="D15" s="117">
        <f>Blad13!H36</f>
        <v>0</v>
      </c>
      <c r="E15" s="138">
        <f t="shared" si="0"/>
        <v>0</v>
      </c>
      <c r="F15" s="117">
        <f>Blad13!I36</f>
        <v>0</v>
      </c>
      <c r="G15" s="138">
        <f t="shared" si="1"/>
        <v>0</v>
      </c>
      <c r="H15" s="112">
        <f>IF(($D$7+$D$8)=0,0,ROUND(IF(($D$7+$D$8)&lt;62.5,T9,IF(($D$7+$D$8)&gt;=88,T10,T9+(($D$7+$D$8)-62.5)/25.5*(T10-T9))),2))</f>
        <v>0</v>
      </c>
      <c r="I15" s="112">
        <f>IF(($D$7+$D$8)=0,0,ROUND(IF(($D$7+$D$8)&lt;62.5,U9,IF(($D$7+$D$8)&gt;=88,U10,U9+(($D$7+$D$8)-62.5)/25.5*(U10-U9))),2))</f>
        <v>0</v>
      </c>
      <c r="J15" s="139">
        <f aca="true" t="shared" si="6" ref="J15:J40">ROUND($E15*ROUND(H15*$Y$4,2),0)</f>
        <v>0</v>
      </c>
      <c r="K15" s="139">
        <f aca="true" t="shared" si="7" ref="K15:K40">ROUND($E15*ROUND(I15*$Z$4,2),0)</f>
        <v>0</v>
      </c>
      <c r="L15" s="139">
        <f aca="true" t="shared" si="8" ref="L15:L40">ROUND(C15*ROUND(H15*$Y$4,2),0)+ROUND(C15*ROUND(I15*$Z$4,2),0)</f>
        <v>0</v>
      </c>
      <c r="M15" s="112">
        <f>IF($D$7=0,0,ROUND(IF($D$7&lt;62.5,V9,IF($D$7&gt;=88,V10,V9+($D$7-62.5)/25.5*(V10-V9))),2))</f>
        <v>0</v>
      </c>
      <c r="N15" s="112">
        <f>IF($D$7=0,0,ROUND(IF($D$7&lt;62.5,W9,IF($D$7&gt;=88,W10,W9+($D$7-62.5)/25.5*(W10-W9))),2))</f>
        <v>0</v>
      </c>
      <c r="O15" s="142">
        <f t="shared" si="3"/>
        <v>0</v>
      </c>
      <c r="P15" s="138">
        <f t="shared" si="4"/>
        <v>0</v>
      </c>
      <c r="Q15" s="139">
        <f t="shared" si="5"/>
        <v>0</v>
      </c>
      <c r="S15" s="165" t="s">
        <v>431</v>
      </c>
      <c r="T15" s="169">
        <f>Blad14!J46</f>
        <v>214.96</v>
      </c>
      <c r="U15" s="169">
        <f>Blad14!K46</f>
        <v>104.06</v>
      </c>
      <c r="V15" s="169">
        <f>Blad14!L46</f>
        <v>216.94</v>
      </c>
      <c r="W15" s="169">
        <f>Blad14!M46</f>
        <v>105.54</v>
      </c>
      <c r="X15" s="165"/>
      <c r="Y15" s="165"/>
      <c r="Z15" s="165"/>
      <c r="AA15" s="165"/>
      <c r="AB15" s="165"/>
    </row>
    <row r="16" spans="1:28" ht="12.75" customHeight="1">
      <c r="A16" s="367">
        <f t="shared" si="2"/>
        <v>308</v>
      </c>
      <c r="B16" s="99" t="s">
        <v>564</v>
      </c>
      <c r="C16" s="138">
        <f>Blad13!K36</f>
        <v>0</v>
      </c>
      <c r="D16" s="138">
        <f>Blad13!L36</f>
        <v>0</v>
      </c>
      <c r="E16" s="138">
        <f t="shared" si="0"/>
        <v>0</v>
      </c>
      <c r="F16" s="142">
        <f>Blad13!M36</f>
        <v>0</v>
      </c>
      <c r="G16" s="138">
        <f t="shared" si="1"/>
        <v>0</v>
      </c>
      <c r="H16" s="151">
        <f>IF(($D$7+$D$8)=0,0,ROUND(IF(($D$7+$D$8)&lt;62.5,T11,IF(($D$7+$D$8)&gt;=88,T12,T11+(($D$7+$D$8)-62.5)/25.5*(T12-T11))),2))</f>
        <v>0</v>
      </c>
      <c r="I16" s="112">
        <f>IF(($D$7+$D$8)=0,0,ROUND(IF(($D$7+$D$8)&lt;62.5,U11,IF(($D$7+$D$8)&gt;=88,U12,U11+(($D$7+$D$8)-62.5)/25.5*(U12-U11))),2))</f>
        <v>0</v>
      </c>
      <c r="J16" s="139">
        <f t="shared" si="6"/>
        <v>0</v>
      </c>
      <c r="K16" s="139">
        <f t="shared" si="7"/>
        <v>0</v>
      </c>
      <c r="L16" s="139">
        <f t="shared" si="8"/>
        <v>0</v>
      </c>
      <c r="M16" s="112">
        <f>IF($D$7=0,0,ROUND(IF($D$7&lt;62.5,V11,IF($D$7&gt;=88,V12,V11+($D$7-62.5)/25.5*(V12-V11))),2))</f>
        <v>0</v>
      </c>
      <c r="N16" s="112">
        <f>IF($D$7=0,0,ROUND(IF($D$7&lt;62.5,W11,IF($D$7&gt;=88,W12,W11+($D$7-62.5)/25.5*(W12-W11))),2))</f>
        <v>0</v>
      </c>
      <c r="O16" s="142">
        <f t="shared" si="3"/>
        <v>0</v>
      </c>
      <c r="P16" s="138">
        <f t="shared" si="4"/>
        <v>0</v>
      </c>
      <c r="Q16" s="139">
        <f t="shared" si="5"/>
        <v>0</v>
      </c>
      <c r="S16" s="165" t="s">
        <v>432</v>
      </c>
      <c r="T16" s="169">
        <f>Blad14!J47</f>
        <v>219.11</v>
      </c>
      <c r="U16" s="169">
        <f>Blad14!K47</f>
        <v>110.02</v>
      </c>
      <c r="V16" s="169">
        <f>Blad14!L47</f>
        <v>221.13</v>
      </c>
      <c r="W16" s="169">
        <f>Blad14!M47</f>
        <v>111.58</v>
      </c>
      <c r="X16" s="165"/>
      <c r="Y16" s="165"/>
      <c r="Z16" s="165"/>
      <c r="AA16" s="165"/>
      <c r="AB16" s="165"/>
    </row>
    <row r="17" spans="1:28" ht="12.75" customHeight="1">
      <c r="A17" s="367">
        <f t="shared" si="2"/>
        <v>309</v>
      </c>
      <c r="B17" s="99" t="s">
        <v>565</v>
      </c>
      <c r="C17" s="138">
        <f>Blad13!N36</f>
        <v>0</v>
      </c>
      <c r="D17" s="138">
        <f>Blad13!O36</f>
        <v>0</v>
      </c>
      <c r="E17" s="138">
        <f t="shared" si="0"/>
        <v>0</v>
      </c>
      <c r="F17" s="138">
        <f>Blad13!P36</f>
        <v>0</v>
      </c>
      <c r="G17" s="138">
        <f t="shared" si="1"/>
        <v>0</v>
      </c>
      <c r="H17" s="112">
        <f>IF(($D$7+$D$8)=0,0,ROUND(IF(($D$7+$D$8)&lt;62.5,T13,IF(($D$7+$D$8)&gt;=88,T14,T13+(($D$7+$D$8)-62.5)/25.5*(T14-T13))),2))</f>
        <v>0</v>
      </c>
      <c r="I17" s="112">
        <f>IF(($D$7+$D$8)=0,0,ROUND(IF(($D$7+$D$8)&lt;62.5,U13,IF(($D$7+$D$8)&gt;=88,U14,U13+(($D$7+$D$8)-62.5)/25.5*(U14-U13))),2))</f>
        <v>0</v>
      </c>
      <c r="J17" s="139">
        <f t="shared" si="6"/>
        <v>0</v>
      </c>
      <c r="K17" s="139">
        <f t="shared" si="7"/>
        <v>0</v>
      </c>
      <c r="L17" s="139">
        <f t="shared" si="8"/>
        <v>0</v>
      </c>
      <c r="M17" s="112">
        <f>IF($D$7=0,0,ROUND(IF($D$7&lt;62.5,V13,IF($D$7&gt;=88,V14,V13+($D$7-62.5)/25.5*(V14-V13))),2))</f>
        <v>0</v>
      </c>
      <c r="N17" s="112">
        <f>IF($D$7=0,0,ROUND(IF($D$7&lt;62.5,W13,IF($D$7&gt;=88,W14,W13+($D$7-62.5)/25.5*(W14-W13))),2))</f>
        <v>0</v>
      </c>
      <c r="O17" s="142">
        <f t="shared" si="3"/>
        <v>0</v>
      </c>
      <c r="P17" s="138">
        <f t="shared" si="4"/>
        <v>0</v>
      </c>
      <c r="Q17" s="139">
        <f t="shared" si="5"/>
        <v>0</v>
      </c>
      <c r="S17" s="165" t="s">
        <v>119</v>
      </c>
      <c r="T17" s="169">
        <f>Blad14!J48</f>
        <v>214.96</v>
      </c>
      <c r="U17" s="169">
        <f>Blad14!K48</f>
        <v>104.06</v>
      </c>
      <c r="V17" s="169">
        <f>Blad14!L48</f>
        <v>216.94</v>
      </c>
      <c r="W17" s="169">
        <f>Blad14!M48</f>
        <v>105.54</v>
      </c>
      <c r="X17" s="165"/>
      <c r="Y17" s="165"/>
      <c r="Z17" s="165"/>
      <c r="AA17" s="165"/>
      <c r="AB17" s="165"/>
    </row>
    <row r="18" spans="1:28" ht="12.75" customHeight="1">
      <c r="A18" s="367">
        <f t="shared" si="2"/>
        <v>310</v>
      </c>
      <c r="B18" s="99" t="s">
        <v>325</v>
      </c>
      <c r="C18" s="379"/>
      <c r="D18" s="379"/>
      <c r="E18" s="138">
        <f aca="true" t="shared" si="9" ref="E18:E34">C18-D18</f>
        <v>0</v>
      </c>
      <c r="F18" s="379"/>
      <c r="G18" s="138">
        <f t="shared" si="1"/>
        <v>0</v>
      </c>
      <c r="H18" s="105">
        <f>Blad14!C60</f>
        <v>0</v>
      </c>
      <c r="I18" s="109">
        <f>Blad14!D60</f>
        <v>4805.31</v>
      </c>
      <c r="J18" s="139">
        <f t="shared" si="6"/>
        <v>0</v>
      </c>
      <c r="K18" s="139">
        <f t="shared" si="7"/>
        <v>0</v>
      </c>
      <c r="L18" s="139">
        <f t="shared" si="8"/>
        <v>0</v>
      </c>
      <c r="M18" s="105">
        <f>Blad14!E60</f>
        <v>0</v>
      </c>
      <c r="N18" s="109">
        <f>Blad14!F60</f>
        <v>4873.54</v>
      </c>
      <c r="O18" s="142">
        <f t="shared" si="3"/>
        <v>0</v>
      </c>
      <c r="P18" s="138">
        <f t="shared" si="4"/>
        <v>0</v>
      </c>
      <c r="Q18" s="139">
        <f t="shared" si="5"/>
        <v>0</v>
      </c>
      <c r="S18" s="165" t="s">
        <v>120</v>
      </c>
      <c r="T18" s="169">
        <f>Blad14!J49</f>
        <v>219.11</v>
      </c>
      <c r="U18" s="169">
        <f>Blad14!K49</f>
        <v>110.02</v>
      </c>
      <c r="V18" s="169">
        <f>Blad14!L49</f>
        <v>221.13</v>
      </c>
      <c r="W18" s="169">
        <f>Blad14!M49</f>
        <v>111.58</v>
      </c>
      <c r="X18" s="165"/>
      <c r="Y18" s="165" t="s">
        <v>199</v>
      </c>
      <c r="Z18" s="165"/>
      <c r="AA18" s="165"/>
      <c r="AB18" s="165"/>
    </row>
    <row r="19" spans="1:28" ht="12.75" customHeight="1">
      <c r="A19" s="367">
        <f t="shared" si="2"/>
        <v>311</v>
      </c>
      <c r="B19" s="99" t="s">
        <v>326</v>
      </c>
      <c r="C19" s="379"/>
      <c r="D19" s="379"/>
      <c r="E19" s="138">
        <f t="shared" si="9"/>
        <v>0</v>
      </c>
      <c r="F19" s="379"/>
      <c r="G19" s="138">
        <f t="shared" si="1"/>
        <v>0</v>
      </c>
      <c r="H19" s="105">
        <f>Blad14!C61</f>
        <v>0</v>
      </c>
      <c r="I19" s="109">
        <f>Blad14!D61</f>
        <v>2967.47</v>
      </c>
      <c r="J19" s="139">
        <f t="shared" si="6"/>
        <v>0</v>
      </c>
      <c r="K19" s="139">
        <f t="shared" si="7"/>
        <v>0</v>
      </c>
      <c r="L19" s="139">
        <f t="shared" si="8"/>
        <v>0</v>
      </c>
      <c r="M19" s="105">
        <f>Blad14!E61</f>
        <v>0</v>
      </c>
      <c r="N19" s="109">
        <f>Blad14!F61</f>
        <v>3009.61</v>
      </c>
      <c r="O19" s="142">
        <f>ROUND(F19*ROUND(M19*$AA$5,2),0)</f>
        <v>0</v>
      </c>
      <c r="P19" s="138">
        <f>ROUND(F19*ROUND(N19*$AB$5,2),0)</f>
        <v>0</v>
      </c>
      <c r="Q19" s="139">
        <f>ROUND(F19*ROUND(M19*$AA$5,2),0)+ROUND(F19*ROUND(N19*$AB$5,2),0)</f>
        <v>0</v>
      </c>
      <c r="S19" s="165" t="s">
        <v>106</v>
      </c>
      <c r="T19" s="169">
        <f>Blad14!J52</f>
        <v>3.73</v>
      </c>
      <c r="U19" s="169">
        <f>Blad14!K52</f>
        <v>1.36</v>
      </c>
      <c r="V19" s="169">
        <f>Blad14!L52</f>
        <v>3.76</v>
      </c>
      <c r="W19" s="169">
        <f>Blad14!M52</f>
        <v>1.39</v>
      </c>
      <c r="X19" s="165"/>
      <c r="Y19" s="165"/>
      <c r="Z19" s="165"/>
      <c r="AA19" s="165"/>
      <c r="AB19" s="165"/>
    </row>
    <row r="20" spans="1:28" ht="12.75" customHeight="1">
      <c r="A20" s="367">
        <f t="shared" si="2"/>
        <v>312</v>
      </c>
      <c r="B20" s="99" t="s">
        <v>535</v>
      </c>
      <c r="C20" s="379"/>
      <c r="D20" s="90"/>
      <c r="E20" s="90">
        <f>C20-D20</f>
        <v>0</v>
      </c>
      <c r="F20" s="379"/>
      <c r="G20" s="138">
        <f>F20-C20</f>
        <v>0</v>
      </c>
      <c r="H20" s="90">
        <f>Blad14!C62</f>
        <v>0</v>
      </c>
      <c r="I20" s="90">
        <f>Blad14!D62</f>
        <v>0</v>
      </c>
      <c r="J20" s="90">
        <f t="shared" si="6"/>
        <v>0</v>
      </c>
      <c r="K20" s="90">
        <f t="shared" si="7"/>
        <v>0</v>
      </c>
      <c r="L20" s="90">
        <f t="shared" si="8"/>
        <v>0</v>
      </c>
      <c r="M20" s="105">
        <f>Blad14!E62</f>
        <v>14260</v>
      </c>
      <c r="N20" s="109">
        <f>Blad14!F62</f>
        <v>5953</v>
      </c>
      <c r="O20" s="142">
        <f>ROUND(G20*ROUND(M20*$AA$5,2),0)</f>
        <v>0</v>
      </c>
      <c r="P20" s="138">
        <f>ROUND(G20*ROUND(N20*$AB$5,2),0)</f>
        <v>0</v>
      </c>
      <c r="Q20" s="139">
        <f>ROUND(G20*ROUND(M20*$AA$5,2),0)+ROUND(G20*ROUND(N20*$AB$5,2),0)</f>
        <v>0</v>
      </c>
      <c r="S20" s="165" t="s">
        <v>107</v>
      </c>
      <c r="T20" s="169">
        <f>Blad14!J53</f>
        <v>9.27</v>
      </c>
      <c r="U20" s="169">
        <f>Blad14!K53</f>
        <v>3.39</v>
      </c>
      <c r="V20" s="169">
        <f>Blad14!L53</f>
        <v>9.36</v>
      </c>
      <c r="W20" s="169">
        <f>Blad14!M53</f>
        <v>3.44</v>
      </c>
      <c r="X20" s="165"/>
      <c r="Y20" s="165"/>
      <c r="Z20" s="165"/>
      <c r="AA20" s="165"/>
      <c r="AB20" s="165"/>
    </row>
    <row r="21" spans="1:24" ht="12.75" customHeight="1">
      <c r="A21" s="367">
        <f t="shared" si="2"/>
        <v>313</v>
      </c>
      <c r="B21" s="99" t="s">
        <v>536</v>
      </c>
      <c r="C21" s="379"/>
      <c r="D21" s="90"/>
      <c r="E21" s="90">
        <f>C21-D21</f>
        <v>0</v>
      </c>
      <c r="F21" s="379"/>
      <c r="G21" s="138">
        <f>F21-C21</f>
        <v>0</v>
      </c>
      <c r="H21" s="90">
        <f>Blad14!C63</f>
        <v>0</v>
      </c>
      <c r="I21" s="90">
        <f>Blad14!D63</f>
        <v>0</v>
      </c>
      <c r="J21" s="90">
        <f t="shared" si="6"/>
        <v>0</v>
      </c>
      <c r="K21" s="90">
        <f t="shared" si="7"/>
        <v>0</v>
      </c>
      <c r="L21" s="90">
        <f t="shared" si="8"/>
        <v>0</v>
      </c>
      <c r="M21" s="105">
        <f>Blad14!E63</f>
        <v>20242</v>
      </c>
      <c r="N21" s="109">
        <f>Blad14!F63</f>
        <v>7686</v>
      </c>
      <c r="O21" s="142">
        <f>ROUND(G21*ROUND(M21*$AA$5,2),0)</f>
        <v>0</v>
      </c>
      <c r="P21" s="138">
        <f>ROUND(G21*ROUND(N21*$AB$5,2),0)</f>
        <v>0</v>
      </c>
      <c r="Q21" s="139">
        <f>ROUND(G21*ROUND(M21*$AA$5,2),0)+ROUND(G21*ROUND(N21*$AB$5,2),0)</f>
        <v>0</v>
      </c>
      <c r="S21" s="10"/>
      <c r="T21" s="175"/>
      <c r="U21" s="175"/>
      <c r="V21" s="175"/>
      <c r="W21" s="175"/>
      <c r="X21" s="10"/>
    </row>
    <row r="22" spans="1:17" ht="12.75" customHeight="1">
      <c r="A22" s="367">
        <f t="shared" si="2"/>
        <v>314</v>
      </c>
      <c r="B22" s="99" t="s">
        <v>327</v>
      </c>
      <c r="C22" s="379"/>
      <c r="D22" s="379"/>
      <c r="E22" s="138">
        <f t="shared" si="9"/>
        <v>0</v>
      </c>
      <c r="F22" s="379"/>
      <c r="G22" s="138">
        <f aca="true" t="shared" si="10" ref="G22:G40">F22-C22</f>
        <v>0</v>
      </c>
      <c r="H22" s="109">
        <f>Blad14!J19</f>
        <v>174.32</v>
      </c>
      <c r="I22" s="109">
        <f>Blad14!K19</f>
        <v>136.55</v>
      </c>
      <c r="J22" s="139">
        <f t="shared" si="6"/>
        <v>0</v>
      </c>
      <c r="K22" s="139">
        <f t="shared" si="7"/>
        <v>0</v>
      </c>
      <c r="L22" s="139">
        <f t="shared" si="8"/>
        <v>0</v>
      </c>
      <c r="M22" s="109">
        <f>Blad14!L19</f>
        <v>175.92</v>
      </c>
      <c r="N22" s="109">
        <f>Blad14!M19</f>
        <v>138.49</v>
      </c>
      <c r="O22" s="142">
        <f t="shared" si="3"/>
        <v>0</v>
      </c>
      <c r="P22" s="138">
        <f t="shared" si="4"/>
        <v>0</v>
      </c>
      <c r="Q22" s="139">
        <f t="shared" si="5"/>
        <v>0</v>
      </c>
    </row>
    <row r="23" spans="1:17" ht="12.75" customHeight="1">
      <c r="A23" s="367">
        <f t="shared" si="2"/>
        <v>315</v>
      </c>
      <c r="B23" s="99" t="s">
        <v>10</v>
      </c>
      <c r="C23" s="379"/>
      <c r="D23" s="379"/>
      <c r="E23" s="138">
        <f t="shared" si="9"/>
        <v>0</v>
      </c>
      <c r="F23" s="379"/>
      <c r="G23" s="138">
        <f t="shared" si="10"/>
        <v>0</v>
      </c>
      <c r="H23" s="109">
        <f>Blad14!J20</f>
        <v>17.8</v>
      </c>
      <c r="I23" s="109">
        <f>Blad14!K20</f>
        <v>79.87</v>
      </c>
      <c r="J23" s="139">
        <f t="shared" si="6"/>
        <v>0</v>
      </c>
      <c r="K23" s="139">
        <f t="shared" si="7"/>
        <v>0</v>
      </c>
      <c r="L23" s="139">
        <f t="shared" si="8"/>
        <v>0</v>
      </c>
      <c r="M23" s="109">
        <f>Blad14!L20</f>
        <v>17.96</v>
      </c>
      <c r="N23" s="109">
        <f>Blad14!M20</f>
        <v>81.01</v>
      </c>
      <c r="O23" s="142">
        <f t="shared" si="3"/>
        <v>0</v>
      </c>
      <c r="P23" s="138">
        <f t="shared" si="4"/>
        <v>0</v>
      </c>
      <c r="Q23" s="139">
        <f t="shared" si="5"/>
        <v>0</v>
      </c>
    </row>
    <row r="24" spans="1:17" ht="12.75" customHeight="1">
      <c r="A24" s="367">
        <f t="shared" si="2"/>
        <v>316</v>
      </c>
      <c r="B24" s="99" t="s">
        <v>328</v>
      </c>
      <c r="C24" s="379"/>
      <c r="D24" s="379"/>
      <c r="E24" s="138">
        <f t="shared" si="9"/>
        <v>0</v>
      </c>
      <c r="F24" s="379"/>
      <c r="G24" s="138">
        <f t="shared" si="10"/>
        <v>0</v>
      </c>
      <c r="H24" s="109">
        <f>Blad14!J21</f>
        <v>174.32</v>
      </c>
      <c r="I24" s="109">
        <f>Blad14!K21</f>
        <v>196.53</v>
      </c>
      <c r="J24" s="139">
        <f t="shared" si="6"/>
        <v>0</v>
      </c>
      <c r="K24" s="139">
        <f t="shared" si="7"/>
        <v>0</v>
      </c>
      <c r="L24" s="139">
        <f t="shared" si="8"/>
        <v>0</v>
      </c>
      <c r="M24" s="109">
        <f>Blad14!L21</f>
        <v>175.92</v>
      </c>
      <c r="N24" s="109">
        <f>Blad14!M21</f>
        <v>199.31</v>
      </c>
      <c r="O24" s="142">
        <f t="shared" si="3"/>
        <v>0</v>
      </c>
      <c r="P24" s="138">
        <f t="shared" si="4"/>
        <v>0</v>
      </c>
      <c r="Q24" s="139">
        <f t="shared" si="5"/>
        <v>0</v>
      </c>
    </row>
    <row r="25" spans="1:17" ht="12.75" customHeight="1">
      <c r="A25" s="367">
        <f t="shared" si="2"/>
        <v>317</v>
      </c>
      <c r="B25" s="99" t="s">
        <v>11</v>
      </c>
      <c r="C25" s="379"/>
      <c r="D25" s="379"/>
      <c r="E25" s="138">
        <f t="shared" si="9"/>
        <v>0</v>
      </c>
      <c r="F25" s="379"/>
      <c r="G25" s="138">
        <f t="shared" si="10"/>
        <v>0</v>
      </c>
      <c r="H25" s="109">
        <f>Blad14!J22</f>
        <v>17.8</v>
      </c>
      <c r="I25" s="109">
        <f>Blad14!K22</f>
        <v>100.3</v>
      </c>
      <c r="J25" s="139">
        <f t="shared" si="6"/>
        <v>0</v>
      </c>
      <c r="K25" s="139">
        <f t="shared" si="7"/>
        <v>0</v>
      </c>
      <c r="L25" s="139">
        <f t="shared" si="8"/>
        <v>0</v>
      </c>
      <c r="M25" s="109">
        <f>Blad14!L22</f>
        <v>17.96</v>
      </c>
      <c r="N25" s="109">
        <f>Blad14!M22</f>
        <v>101.72</v>
      </c>
      <c r="O25" s="142">
        <f t="shared" si="3"/>
        <v>0</v>
      </c>
      <c r="P25" s="138">
        <f t="shared" si="4"/>
        <v>0</v>
      </c>
      <c r="Q25" s="139">
        <f t="shared" si="5"/>
        <v>0</v>
      </c>
    </row>
    <row r="26" spans="1:17" ht="12.75" customHeight="1">
      <c r="A26" s="367">
        <f t="shared" si="2"/>
        <v>318</v>
      </c>
      <c r="B26" s="99" t="s">
        <v>329</v>
      </c>
      <c r="C26" s="379"/>
      <c r="D26" s="379"/>
      <c r="E26" s="138">
        <f t="shared" si="9"/>
        <v>0</v>
      </c>
      <c r="F26" s="379"/>
      <c r="G26" s="138">
        <f t="shared" si="10"/>
        <v>0</v>
      </c>
      <c r="H26" s="109">
        <f>Blad14!J23</f>
        <v>106.07</v>
      </c>
      <c r="I26" s="109">
        <f>Blad14!K23</f>
        <v>111.02</v>
      </c>
      <c r="J26" s="139">
        <f t="shared" si="6"/>
        <v>0</v>
      </c>
      <c r="K26" s="139">
        <f t="shared" si="7"/>
        <v>0</v>
      </c>
      <c r="L26" s="139">
        <f t="shared" si="8"/>
        <v>0</v>
      </c>
      <c r="M26" s="109">
        <f>Blad14!L23</f>
        <v>107.05</v>
      </c>
      <c r="N26" s="109">
        <f>Blad14!M23</f>
        <v>112.6</v>
      </c>
      <c r="O26" s="142">
        <f t="shared" si="3"/>
        <v>0</v>
      </c>
      <c r="P26" s="138">
        <f t="shared" si="4"/>
        <v>0</v>
      </c>
      <c r="Q26" s="139">
        <f t="shared" si="5"/>
        <v>0</v>
      </c>
    </row>
    <row r="27" spans="1:17" ht="12.75" customHeight="1">
      <c r="A27" s="367">
        <f t="shared" si="2"/>
        <v>319</v>
      </c>
      <c r="B27" s="99" t="s">
        <v>330</v>
      </c>
      <c r="C27" s="379"/>
      <c r="D27" s="379"/>
      <c r="E27" s="138">
        <f t="shared" si="9"/>
        <v>0</v>
      </c>
      <c r="F27" s="379"/>
      <c r="G27" s="138">
        <f t="shared" si="10"/>
        <v>0</v>
      </c>
      <c r="H27" s="109">
        <f>Blad14!J24</f>
        <v>106.07</v>
      </c>
      <c r="I27" s="109">
        <f>Blad14!K24</f>
        <v>172.28</v>
      </c>
      <c r="J27" s="139">
        <f t="shared" si="6"/>
        <v>0</v>
      </c>
      <c r="K27" s="139">
        <f t="shared" si="7"/>
        <v>0</v>
      </c>
      <c r="L27" s="139">
        <f t="shared" si="8"/>
        <v>0</v>
      </c>
      <c r="M27" s="109">
        <f>Blad14!L24</f>
        <v>107.05</v>
      </c>
      <c r="N27" s="109">
        <f>Blad14!M24</f>
        <v>174.73</v>
      </c>
      <c r="O27" s="142">
        <f t="shared" si="3"/>
        <v>0</v>
      </c>
      <c r="P27" s="138">
        <f t="shared" si="4"/>
        <v>0</v>
      </c>
      <c r="Q27" s="139">
        <f t="shared" si="5"/>
        <v>0</v>
      </c>
    </row>
    <row r="28" spans="1:17" ht="12.75" customHeight="1">
      <c r="A28" s="367">
        <f t="shared" si="2"/>
        <v>320</v>
      </c>
      <c r="B28" s="99" t="s">
        <v>331</v>
      </c>
      <c r="C28" s="379"/>
      <c r="D28" s="379"/>
      <c r="E28" s="138">
        <f t="shared" si="9"/>
        <v>0</v>
      </c>
      <c r="F28" s="379"/>
      <c r="G28" s="138">
        <f t="shared" si="10"/>
        <v>0</v>
      </c>
      <c r="H28" s="109">
        <f>Blad14!J25</f>
        <v>248.7</v>
      </c>
      <c r="I28" s="109">
        <f>Blad14!K25</f>
        <v>111.02</v>
      </c>
      <c r="J28" s="139">
        <f t="shared" si="6"/>
        <v>0</v>
      </c>
      <c r="K28" s="139">
        <f t="shared" si="7"/>
        <v>0</v>
      </c>
      <c r="L28" s="139">
        <f t="shared" si="8"/>
        <v>0</v>
      </c>
      <c r="M28" s="109">
        <f>Blad14!L25</f>
        <v>250.99</v>
      </c>
      <c r="N28" s="109">
        <f>Blad14!M25</f>
        <v>112.6</v>
      </c>
      <c r="O28" s="142">
        <f t="shared" si="3"/>
        <v>0</v>
      </c>
      <c r="P28" s="138">
        <f t="shared" si="4"/>
        <v>0</v>
      </c>
      <c r="Q28" s="139">
        <f t="shared" si="5"/>
        <v>0</v>
      </c>
    </row>
    <row r="29" spans="1:17" ht="12.75" customHeight="1">
      <c r="A29" s="367">
        <f t="shared" si="2"/>
        <v>321</v>
      </c>
      <c r="B29" s="99" t="s">
        <v>332</v>
      </c>
      <c r="C29" s="379"/>
      <c r="D29" s="379"/>
      <c r="E29" s="138">
        <f t="shared" si="9"/>
        <v>0</v>
      </c>
      <c r="F29" s="379"/>
      <c r="G29" s="138">
        <f t="shared" si="10"/>
        <v>0</v>
      </c>
      <c r="H29" s="109">
        <f>Blad14!J26</f>
        <v>248.7</v>
      </c>
      <c r="I29" s="109">
        <f>Blad14!K26</f>
        <v>172.28</v>
      </c>
      <c r="J29" s="139">
        <f t="shared" si="6"/>
        <v>0</v>
      </c>
      <c r="K29" s="139">
        <f t="shared" si="7"/>
        <v>0</v>
      </c>
      <c r="L29" s="139">
        <f t="shared" si="8"/>
        <v>0</v>
      </c>
      <c r="M29" s="109">
        <f>Blad14!L26</f>
        <v>250.99</v>
      </c>
      <c r="N29" s="109">
        <f>Blad14!M26</f>
        <v>174.73</v>
      </c>
      <c r="O29" s="142">
        <f t="shared" si="3"/>
        <v>0</v>
      </c>
      <c r="P29" s="138">
        <f t="shared" si="4"/>
        <v>0</v>
      </c>
      <c r="Q29" s="139">
        <f t="shared" si="5"/>
        <v>0</v>
      </c>
    </row>
    <row r="30" spans="1:17" ht="12.75" customHeight="1">
      <c r="A30" s="367">
        <f t="shared" si="2"/>
        <v>322</v>
      </c>
      <c r="B30" s="99" t="s">
        <v>12</v>
      </c>
      <c r="C30" s="379"/>
      <c r="D30" s="379"/>
      <c r="E30" s="138">
        <f t="shared" si="9"/>
        <v>0</v>
      </c>
      <c r="F30" s="379"/>
      <c r="G30" s="138">
        <f t="shared" si="10"/>
        <v>0</v>
      </c>
      <c r="H30" s="109">
        <f>Blad14!J27</f>
        <v>17.8</v>
      </c>
      <c r="I30" s="109">
        <f>Blad14!K27</f>
        <v>89.63</v>
      </c>
      <c r="J30" s="139">
        <f t="shared" si="6"/>
        <v>0</v>
      </c>
      <c r="K30" s="139">
        <f t="shared" si="7"/>
        <v>0</v>
      </c>
      <c r="L30" s="139">
        <f t="shared" si="8"/>
        <v>0</v>
      </c>
      <c r="M30" s="109">
        <f>Blad14!L27</f>
        <v>17.96</v>
      </c>
      <c r="N30" s="109">
        <f>Blad14!M27</f>
        <v>90.9</v>
      </c>
      <c r="O30" s="142">
        <f t="shared" si="3"/>
        <v>0</v>
      </c>
      <c r="P30" s="138">
        <f t="shared" si="4"/>
        <v>0</v>
      </c>
      <c r="Q30" s="139">
        <f t="shared" si="5"/>
        <v>0</v>
      </c>
    </row>
    <row r="31" spans="1:17" ht="12.75" customHeight="1">
      <c r="A31" s="367">
        <f t="shared" si="2"/>
        <v>323</v>
      </c>
      <c r="B31" s="99" t="s">
        <v>13</v>
      </c>
      <c r="C31" s="379"/>
      <c r="D31" s="379"/>
      <c r="E31" s="138">
        <f t="shared" si="9"/>
        <v>0</v>
      </c>
      <c r="F31" s="379"/>
      <c r="G31" s="138">
        <f t="shared" si="10"/>
        <v>0</v>
      </c>
      <c r="H31" s="109">
        <f>Blad14!J28</f>
        <v>17.8</v>
      </c>
      <c r="I31" s="109">
        <f>Blad14!K28</f>
        <v>110.04</v>
      </c>
      <c r="J31" s="139">
        <f t="shared" si="6"/>
        <v>0</v>
      </c>
      <c r="K31" s="139">
        <f t="shared" si="7"/>
        <v>0</v>
      </c>
      <c r="L31" s="139">
        <f t="shared" si="8"/>
        <v>0</v>
      </c>
      <c r="M31" s="109">
        <f>Blad14!L28</f>
        <v>17.96</v>
      </c>
      <c r="N31" s="109">
        <f>Blad14!M28</f>
        <v>111.6</v>
      </c>
      <c r="O31" s="142">
        <f t="shared" si="3"/>
        <v>0</v>
      </c>
      <c r="P31" s="138">
        <f t="shared" si="4"/>
        <v>0</v>
      </c>
      <c r="Q31" s="139">
        <f t="shared" si="5"/>
        <v>0</v>
      </c>
    </row>
    <row r="32" spans="1:17" ht="12.75" customHeight="1">
      <c r="A32" s="367">
        <f t="shared" si="2"/>
        <v>324</v>
      </c>
      <c r="B32" s="99" t="s">
        <v>14</v>
      </c>
      <c r="C32" s="379"/>
      <c r="D32" s="379"/>
      <c r="E32" s="138">
        <f t="shared" si="9"/>
        <v>0</v>
      </c>
      <c r="F32" s="379"/>
      <c r="G32" s="138">
        <f t="shared" si="10"/>
        <v>0</v>
      </c>
      <c r="H32" s="109">
        <f>Blad14!C19</f>
        <v>2739.31</v>
      </c>
      <c r="I32" s="109">
        <f>Blad14!D19</f>
        <v>4227.23</v>
      </c>
      <c r="J32" s="139">
        <f t="shared" si="6"/>
        <v>0</v>
      </c>
      <c r="K32" s="139">
        <f t="shared" si="7"/>
        <v>0</v>
      </c>
      <c r="L32" s="139">
        <f t="shared" si="8"/>
        <v>0</v>
      </c>
      <c r="M32" s="109">
        <f>Blad14!E19</f>
        <v>2764.5</v>
      </c>
      <c r="N32" s="109">
        <f>Blad14!F19</f>
        <v>4287.26</v>
      </c>
      <c r="O32" s="142">
        <f t="shared" si="3"/>
        <v>0</v>
      </c>
      <c r="P32" s="138">
        <f t="shared" si="4"/>
        <v>0</v>
      </c>
      <c r="Q32" s="139">
        <f t="shared" si="5"/>
        <v>0</v>
      </c>
    </row>
    <row r="33" spans="1:17" ht="12.75" customHeight="1">
      <c r="A33" s="367">
        <f t="shared" si="2"/>
        <v>325</v>
      </c>
      <c r="B33" s="99" t="s">
        <v>15</v>
      </c>
      <c r="C33" s="379"/>
      <c r="D33" s="379"/>
      <c r="E33" s="138">
        <f t="shared" si="9"/>
        <v>0</v>
      </c>
      <c r="F33" s="379"/>
      <c r="G33" s="138">
        <f t="shared" si="10"/>
        <v>0</v>
      </c>
      <c r="H33" s="109">
        <f>Blad14!C20</f>
        <v>0</v>
      </c>
      <c r="I33" s="109">
        <f>Blad14!D20</f>
        <v>4114.92</v>
      </c>
      <c r="J33" s="139">
        <f t="shared" si="6"/>
        <v>0</v>
      </c>
      <c r="K33" s="139">
        <f t="shared" si="7"/>
        <v>0</v>
      </c>
      <c r="L33" s="139">
        <f t="shared" si="8"/>
        <v>0</v>
      </c>
      <c r="M33" s="109">
        <f>Blad14!E20</f>
        <v>0</v>
      </c>
      <c r="N33" s="109">
        <f>Blad14!F20</f>
        <v>4173.35</v>
      </c>
      <c r="O33" s="142">
        <f t="shared" si="3"/>
        <v>0</v>
      </c>
      <c r="P33" s="138">
        <f t="shared" si="4"/>
        <v>0</v>
      </c>
      <c r="Q33" s="139">
        <f t="shared" si="5"/>
        <v>0</v>
      </c>
    </row>
    <row r="34" spans="1:17" ht="12.75" customHeight="1">
      <c r="A34" s="367">
        <f t="shared" si="2"/>
        <v>326</v>
      </c>
      <c r="B34" s="99" t="s">
        <v>262</v>
      </c>
      <c r="C34" s="379"/>
      <c r="D34" s="379"/>
      <c r="E34" s="138">
        <f t="shared" si="9"/>
        <v>0</v>
      </c>
      <c r="F34" s="379"/>
      <c r="G34" s="138">
        <f t="shared" si="10"/>
        <v>0</v>
      </c>
      <c r="H34" s="109">
        <f>Blad14!C21</f>
        <v>0</v>
      </c>
      <c r="I34" s="109">
        <f>Blad14!D21</f>
        <v>839.19</v>
      </c>
      <c r="J34" s="139">
        <f t="shared" si="6"/>
        <v>0</v>
      </c>
      <c r="K34" s="139">
        <f t="shared" si="7"/>
        <v>0</v>
      </c>
      <c r="L34" s="139">
        <f t="shared" si="8"/>
        <v>0</v>
      </c>
      <c r="M34" s="109">
        <f>Blad14!E21</f>
        <v>0</v>
      </c>
      <c r="N34" s="109">
        <f>Blad14!F21</f>
        <v>851.12</v>
      </c>
      <c r="O34" s="142">
        <f t="shared" si="3"/>
        <v>0</v>
      </c>
      <c r="P34" s="138">
        <f t="shared" si="4"/>
        <v>0</v>
      </c>
      <c r="Q34" s="139">
        <f t="shared" si="5"/>
        <v>0</v>
      </c>
    </row>
    <row r="35" spans="1:17" ht="12.75" customHeight="1">
      <c r="A35" s="367">
        <f>A37+1</f>
        <v>329</v>
      </c>
      <c r="B35" s="99" t="s">
        <v>18</v>
      </c>
      <c r="C35" s="379"/>
      <c r="D35" s="379"/>
      <c r="E35" s="138">
        <f aca="true" t="shared" si="11" ref="E35:E43">C35-D35</f>
        <v>0</v>
      </c>
      <c r="F35" s="379"/>
      <c r="G35" s="138">
        <f t="shared" si="10"/>
        <v>0</v>
      </c>
      <c r="H35" s="105">
        <f>Blad14!C22</f>
        <v>0</v>
      </c>
      <c r="I35" s="105">
        <f>Blad14!D22</f>
        <v>35086.14</v>
      </c>
      <c r="J35" s="139">
        <f t="shared" si="6"/>
        <v>0</v>
      </c>
      <c r="K35" s="139">
        <f t="shared" si="7"/>
        <v>0</v>
      </c>
      <c r="L35" s="139">
        <f t="shared" si="8"/>
        <v>0</v>
      </c>
      <c r="M35" s="105">
        <f>Blad14!E22</f>
        <v>0</v>
      </c>
      <c r="N35" s="105">
        <f>Blad14!F22</f>
        <v>35584.35</v>
      </c>
      <c r="O35" s="142">
        <f>ROUND(F35*ROUND(M35*$AA$5,2),0)</f>
        <v>0</v>
      </c>
      <c r="P35" s="138">
        <f>ROUND(F35*ROUND(N35*$AB$5,2),0)</f>
        <v>0</v>
      </c>
      <c r="Q35" s="139">
        <f>ROUND(F35*ROUND(M35*$AA$5,2),0)+ROUND(F35*ROUND(N35*$AB$5,2),0)</f>
        <v>0</v>
      </c>
    </row>
    <row r="36" spans="1:17" ht="12.75" customHeight="1">
      <c r="A36" s="367">
        <f>A34+1</f>
        <v>327</v>
      </c>
      <c r="B36" s="99" t="s">
        <v>17</v>
      </c>
      <c r="C36" s="379"/>
      <c r="D36" s="379"/>
      <c r="E36" s="138">
        <f t="shared" si="11"/>
        <v>0</v>
      </c>
      <c r="F36" s="379"/>
      <c r="G36" s="138">
        <f t="shared" si="10"/>
        <v>0</v>
      </c>
      <c r="H36" s="105">
        <f>Blad14!C23</f>
        <v>0</v>
      </c>
      <c r="I36" s="105">
        <f>Blad14!D23</f>
        <v>3794.09</v>
      </c>
      <c r="J36" s="139">
        <f t="shared" si="6"/>
        <v>0</v>
      </c>
      <c r="K36" s="139">
        <f t="shared" si="7"/>
        <v>0</v>
      </c>
      <c r="L36" s="139">
        <f t="shared" si="8"/>
        <v>0</v>
      </c>
      <c r="M36" s="105">
        <f>Blad14!E23</f>
        <v>0</v>
      </c>
      <c r="N36" s="105">
        <f>Blad14!F23</f>
        <v>3847.97</v>
      </c>
      <c r="O36" s="142">
        <f t="shared" si="3"/>
        <v>0</v>
      </c>
      <c r="P36" s="138">
        <f t="shared" si="4"/>
        <v>0</v>
      </c>
      <c r="Q36" s="139">
        <f t="shared" si="5"/>
        <v>0</v>
      </c>
    </row>
    <row r="37" spans="1:17" ht="12.75" customHeight="1">
      <c r="A37" s="367">
        <f>A36+1</f>
        <v>328</v>
      </c>
      <c r="B37" s="99" t="s">
        <v>366</v>
      </c>
      <c r="C37" s="379"/>
      <c r="D37" s="379"/>
      <c r="E37" s="138">
        <f t="shared" si="11"/>
        <v>0</v>
      </c>
      <c r="F37" s="379"/>
      <c r="G37" s="138">
        <f t="shared" si="10"/>
        <v>0</v>
      </c>
      <c r="H37" s="105">
        <f>Blad14!C24</f>
        <v>0</v>
      </c>
      <c r="I37" s="105">
        <f>Blad14!D24</f>
        <v>0</v>
      </c>
      <c r="J37" s="139">
        <f t="shared" si="6"/>
        <v>0</v>
      </c>
      <c r="K37" s="139">
        <f t="shared" si="7"/>
        <v>0</v>
      </c>
      <c r="L37" s="139">
        <f t="shared" si="8"/>
        <v>0</v>
      </c>
      <c r="M37" s="105">
        <f>Blad14!E24</f>
        <v>78147</v>
      </c>
      <c r="N37" s="105">
        <f>Blad14!F24</f>
        <v>108626</v>
      </c>
      <c r="O37" s="142">
        <f>ROUND(F37*ROUND(M37*$AA$5,2),0)</f>
        <v>0</v>
      </c>
      <c r="P37" s="138">
        <f>ROUND(F37*ROUND(N37*$AB$5,2),0)</f>
        <v>0</v>
      </c>
      <c r="Q37" s="139">
        <f>ROUND(F37*ROUND(M37*$AA$5,2),0)+ROUND(F37*ROUND(N37*$AB$5,2),0)</f>
        <v>0</v>
      </c>
    </row>
    <row r="38" spans="1:17" ht="12.75" customHeight="1">
      <c r="A38" s="367">
        <f>A37+1</f>
        <v>329</v>
      </c>
      <c r="B38" s="99" t="s">
        <v>526</v>
      </c>
      <c r="C38" s="379"/>
      <c r="D38" s="379"/>
      <c r="E38" s="138">
        <f t="shared" si="11"/>
        <v>0</v>
      </c>
      <c r="F38" s="379"/>
      <c r="G38" s="138">
        <f t="shared" si="10"/>
        <v>0</v>
      </c>
      <c r="H38" s="105">
        <f>Blad14!C25</f>
        <v>15231</v>
      </c>
      <c r="I38" s="105">
        <f>Blad14!D25</f>
        <v>5548</v>
      </c>
      <c r="J38" s="139">
        <f t="shared" si="6"/>
        <v>0</v>
      </c>
      <c r="K38" s="139">
        <f t="shared" si="7"/>
        <v>0</v>
      </c>
      <c r="L38" s="139">
        <f t="shared" si="8"/>
        <v>0</v>
      </c>
      <c r="M38" s="105">
        <f>Blad14!E25</f>
        <v>15370.67</v>
      </c>
      <c r="N38" s="105">
        <f>Blad14!F25</f>
        <v>5626.76</v>
      </c>
      <c r="O38" s="142">
        <f>ROUND(F38*ROUND(M38*$AA$5,2),0)</f>
        <v>0</v>
      </c>
      <c r="P38" s="138">
        <f>ROUND(F38*ROUND(N38*$AB$5,2),0)</f>
        <v>0</v>
      </c>
      <c r="Q38" s="139">
        <f>ROUND(F38*ROUND(M38*$AA$5,2),0)+ROUND(F38*ROUND(N38*$AB$5,2),0)</f>
        <v>0</v>
      </c>
    </row>
    <row r="39" spans="1:17" ht="12.75" customHeight="1">
      <c r="A39" s="367">
        <f>A38+1</f>
        <v>330</v>
      </c>
      <c r="B39" s="99" t="s">
        <v>527</v>
      </c>
      <c r="C39" s="379"/>
      <c r="D39" s="379"/>
      <c r="E39" s="138">
        <f t="shared" si="11"/>
        <v>0</v>
      </c>
      <c r="F39" s="379"/>
      <c r="G39" s="138">
        <f t="shared" si="10"/>
        <v>0</v>
      </c>
      <c r="H39" s="105">
        <f>Blad14!C26</f>
        <v>806</v>
      </c>
      <c r="I39" s="105">
        <f>Blad14!D26</f>
        <v>417</v>
      </c>
      <c r="J39" s="139">
        <f t="shared" si="6"/>
        <v>0</v>
      </c>
      <c r="K39" s="139">
        <f t="shared" si="7"/>
        <v>0</v>
      </c>
      <c r="L39" s="139">
        <f t="shared" si="8"/>
        <v>0</v>
      </c>
      <c r="M39" s="105">
        <f>Blad14!E26</f>
        <v>813.71</v>
      </c>
      <c r="N39" s="105">
        <f>Blad14!F26</f>
        <v>423.07</v>
      </c>
      <c r="O39" s="142">
        <f>ROUND(F39*ROUND(M39*$AA$5,2),0)</f>
        <v>0</v>
      </c>
      <c r="P39" s="138">
        <f>ROUND(F39*ROUND(N39*$AB$5,2),0)</f>
        <v>0</v>
      </c>
      <c r="Q39" s="139">
        <f>ROUND(F39*ROUND(M39*$AA$5,2),0)+ROUND(F39*ROUND(N39*$AB$5,2),0)</f>
        <v>0</v>
      </c>
    </row>
    <row r="40" spans="1:17" ht="12.75" customHeight="1">
      <c r="A40" s="367">
        <f>A39+1</f>
        <v>331</v>
      </c>
      <c r="B40" s="99" t="s">
        <v>369</v>
      </c>
      <c r="C40" s="379"/>
      <c r="D40" s="379"/>
      <c r="E40" s="138">
        <f t="shared" si="11"/>
        <v>0</v>
      </c>
      <c r="F40" s="379"/>
      <c r="G40" s="138">
        <f t="shared" si="10"/>
        <v>0</v>
      </c>
      <c r="H40" s="109">
        <f>Blad14!$C27</f>
        <v>24421.57</v>
      </c>
      <c r="I40" s="109">
        <f>Blad14!$D27</f>
        <v>15723.07</v>
      </c>
      <c r="J40" s="139">
        <f t="shared" si="6"/>
        <v>0</v>
      </c>
      <c r="K40" s="139">
        <f t="shared" si="7"/>
        <v>0</v>
      </c>
      <c r="L40" s="139">
        <f t="shared" si="8"/>
        <v>0</v>
      </c>
      <c r="M40" s="109">
        <f>Blad14!$E27</f>
        <v>24646.26</v>
      </c>
      <c r="N40" s="109">
        <f>Blad14!$F27</f>
        <v>15946.34</v>
      </c>
      <c r="O40" s="142">
        <f>ROUND(F40*ROUND(M40*$AA$5,2),0)</f>
        <v>0</v>
      </c>
      <c r="P40" s="138">
        <f>ROUND(F40*ROUND(N40*$AB$5,2),0)</f>
        <v>0</v>
      </c>
      <c r="Q40" s="139">
        <f>ROUND(F40*ROUND(M40*$AA$5,2),0)+ROUND(F40*ROUND(N40*$AB$5,2),0)</f>
        <v>0</v>
      </c>
    </row>
    <row r="41" spans="1:17" ht="12.75" customHeight="1">
      <c r="A41" s="367">
        <f aca="true" t="shared" si="12" ref="A41:A56">A40+1</f>
        <v>332</v>
      </c>
      <c r="B41" s="99" t="s">
        <v>549</v>
      </c>
      <c r="C41" s="379"/>
      <c r="D41" s="379"/>
      <c r="E41" s="138">
        <f t="shared" si="11"/>
        <v>0</v>
      </c>
      <c r="F41" s="90"/>
      <c r="G41" s="90"/>
      <c r="H41" s="109">
        <f>Blad14!$C29</f>
        <v>31928</v>
      </c>
      <c r="I41" s="109">
        <f>Blad14!$D29</f>
        <v>19680</v>
      </c>
      <c r="J41" s="139">
        <f>ROUND($E41*ROUND(H41*$Y$4,0),0)</f>
        <v>0</v>
      </c>
      <c r="K41" s="139">
        <f>ROUND($E41*ROUND(I41*$Z$4,0),0)</f>
        <v>0</v>
      </c>
      <c r="L41" s="139">
        <f>ROUND(C41*ROUND(H41*$Y$4,0),0)+ROUND(C41*ROUND(I41*$Z$4,0),0)</f>
        <v>0</v>
      </c>
      <c r="M41" s="90"/>
      <c r="N41" s="90"/>
      <c r="O41" s="90"/>
      <c r="P41" s="90"/>
      <c r="Q41" s="90"/>
    </row>
    <row r="42" spans="1:17" ht="12.75" customHeight="1">
      <c r="A42" s="367">
        <f t="shared" si="12"/>
        <v>333</v>
      </c>
      <c r="B42" s="99" t="s">
        <v>550</v>
      </c>
      <c r="C42" s="379"/>
      <c r="D42" s="379"/>
      <c r="E42" s="138">
        <f t="shared" si="11"/>
        <v>0</v>
      </c>
      <c r="F42" s="90"/>
      <c r="G42" s="90"/>
      <c r="H42" s="109">
        <f>Blad14!$C30</f>
        <v>2418</v>
      </c>
      <c r="I42" s="109">
        <f>Blad14!$D30</f>
        <v>0</v>
      </c>
      <c r="J42" s="139">
        <f>ROUND($E42*ROUND(H42*$Y$4,0),0)</f>
        <v>0</v>
      </c>
      <c r="K42" s="139">
        <f>ROUND($E42*ROUND(I42*$Z$4,0),0)</f>
        <v>0</v>
      </c>
      <c r="L42" s="139">
        <f>ROUND(C42*ROUND(H42*$Y$4,0),0)+ROUND(C42*ROUND(I42*$Z$4,0),0)</f>
        <v>0</v>
      </c>
      <c r="M42" s="90"/>
      <c r="N42" s="90"/>
      <c r="O42" s="90"/>
      <c r="P42" s="90"/>
      <c r="Q42" s="90"/>
    </row>
    <row r="43" spans="1:17" ht="12.75" customHeight="1">
      <c r="A43" s="367">
        <f t="shared" si="12"/>
        <v>334</v>
      </c>
      <c r="B43" s="99" t="s">
        <v>551</v>
      </c>
      <c r="C43" s="379"/>
      <c r="D43" s="379"/>
      <c r="E43" s="138">
        <f t="shared" si="11"/>
        <v>0</v>
      </c>
      <c r="F43" s="90"/>
      <c r="G43" s="90"/>
      <c r="H43" s="109">
        <f>Blad14!$C31</f>
        <v>9503</v>
      </c>
      <c r="I43" s="109">
        <f>Blad14!$D31</f>
        <v>632</v>
      </c>
      <c r="J43" s="139">
        <f>ROUND($E43*ROUND(H43*$Y$4,0),0)</f>
        <v>0</v>
      </c>
      <c r="K43" s="139">
        <f>ROUND($E43*ROUND(I43*$Z$4,0),0)</f>
        <v>0</v>
      </c>
      <c r="L43" s="139">
        <f>ROUND(C43*ROUND(H43*$Y$4,0),0)+ROUND(C43*ROUND(I43*$Z$4,0),0)</f>
        <v>0</v>
      </c>
      <c r="M43" s="90"/>
      <c r="N43" s="90"/>
      <c r="O43" s="90"/>
      <c r="P43" s="90"/>
      <c r="Q43" s="90"/>
    </row>
    <row r="44" spans="1:17" ht="12.75" customHeight="1">
      <c r="A44" s="367">
        <f t="shared" si="12"/>
        <v>335</v>
      </c>
      <c r="B44" s="99" t="s">
        <v>371</v>
      </c>
      <c r="C44" s="90"/>
      <c r="D44" s="90"/>
      <c r="E44" s="90">
        <f>C44-D44</f>
        <v>0</v>
      </c>
      <c r="F44" s="379"/>
      <c r="G44" s="138">
        <f>F44-C44</f>
        <v>0</v>
      </c>
      <c r="H44" s="90">
        <f>Blad14!$C28</f>
        <v>0</v>
      </c>
      <c r="I44" s="90">
        <f>Blad14!$D28</f>
        <v>0</v>
      </c>
      <c r="J44" s="90">
        <f>ROUND($E44*ROUND(H44*$Y$4,0),0)</f>
        <v>0</v>
      </c>
      <c r="K44" s="90">
        <f>ROUND($E44*ROUND(I44*$Z$4,0),0)</f>
        <v>0</v>
      </c>
      <c r="L44" s="90">
        <f>ROUND(C44*ROUND(H44*$Y$4,0),0)+ROUND(C44*ROUND(I44*$Z$4,0),0)</f>
        <v>0</v>
      </c>
      <c r="M44" s="109">
        <f>Blad14!$E28</f>
        <v>9021</v>
      </c>
      <c r="N44" s="109">
        <f>Blad14!$F28</f>
        <v>21277</v>
      </c>
      <c r="O44" s="142">
        <f>ROUND(F44*ROUND(M44*$AA$5,0),0)</f>
        <v>0</v>
      </c>
      <c r="P44" s="138">
        <f>ROUND(F44*ROUND(N44*$AB$5,0),0)</f>
        <v>0</v>
      </c>
      <c r="Q44" s="139">
        <f>ROUND(F44*ROUND(M44*$AA$5,0),0)+ROUND(F44*ROUND(N44*$AB$5,0),0)</f>
        <v>0</v>
      </c>
    </row>
    <row r="45" spans="1:17" ht="12.75" customHeight="1">
      <c r="A45" s="367">
        <f t="shared" si="12"/>
        <v>336</v>
      </c>
      <c r="B45" s="99" t="s">
        <v>552</v>
      </c>
      <c r="C45" s="90"/>
      <c r="D45" s="90"/>
      <c r="E45" s="90">
        <f aca="true" t="shared" si="13" ref="E45:E56">C45-D45</f>
        <v>0</v>
      </c>
      <c r="F45" s="379"/>
      <c r="G45" s="138">
        <f>F45-C45</f>
        <v>0</v>
      </c>
      <c r="H45" s="90"/>
      <c r="I45" s="90"/>
      <c r="J45" s="90">
        <f>ROUND($E45*ROUND(H42*$Y$4,0),0)</f>
        <v>0</v>
      </c>
      <c r="K45" s="90">
        <f>ROUND($E45*ROUND(I42*$Z$4,0),0)</f>
        <v>0</v>
      </c>
      <c r="L45" s="90">
        <f>ROUND(C45*ROUND(H42*$Y$4,0),0)+ROUND(C45*ROUND(I42*$Z$4,0),0)</f>
        <v>0</v>
      </c>
      <c r="M45" s="109">
        <f>Blad14!$E30</f>
        <v>12727</v>
      </c>
      <c r="N45" s="109">
        <f>Blad14!$F30</f>
        <v>27043</v>
      </c>
      <c r="O45" s="142">
        <f aca="true" t="shared" si="14" ref="O45:O56">ROUND(F45*ROUND(M45*$AA$5,0),0)</f>
        <v>0</v>
      </c>
      <c r="P45" s="138">
        <f aca="true" t="shared" si="15" ref="P45:P56">ROUND(F45*ROUND(N45*$AB$5,0),0)</f>
        <v>0</v>
      </c>
      <c r="Q45" s="139">
        <f aca="true" t="shared" si="16" ref="Q45:Q56">ROUND(F45*ROUND(M45*$AA$5,0),0)+ROUND(F45*ROUND(N45*$AB$5,0),0)</f>
        <v>0</v>
      </c>
    </row>
    <row r="46" spans="1:17" ht="12.75" customHeight="1">
      <c r="A46" s="367">
        <f t="shared" si="12"/>
        <v>337</v>
      </c>
      <c r="B46" s="99" t="s">
        <v>553</v>
      </c>
      <c r="C46" s="90"/>
      <c r="D46" s="90"/>
      <c r="E46" s="90">
        <f t="shared" si="13"/>
        <v>0</v>
      </c>
      <c r="F46" s="379"/>
      <c r="G46" s="138">
        <f>F46-C46</f>
        <v>0</v>
      </c>
      <c r="H46" s="90"/>
      <c r="I46" s="90"/>
      <c r="J46" s="90">
        <f>ROUND($E46*ROUND(H43*$Y$4,0),0)</f>
        <v>0</v>
      </c>
      <c r="K46" s="90">
        <f>ROUND($E46*ROUND(I43*$Z$4,0),0)</f>
        <v>0</v>
      </c>
      <c r="L46" s="90">
        <f>ROUND(C46*ROUND(H43*$Y$4,0),0)+ROUND(C46*ROUND(I43*$Z$4,0),0)</f>
        <v>0</v>
      </c>
      <c r="M46" s="109">
        <f>Blad14!$E31</f>
        <v>50846</v>
      </c>
      <c r="N46" s="109">
        <f>Blad14!$F31</f>
        <v>50275</v>
      </c>
      <c r="O46" s="142">
        <f t="shared" si="14"/>
        <v>0</v>
      </c>
      <c r="P46" s="138">
        <f t="shared" si="15"/>
        <v>0</v>
      </c>
      <c r="Q46" s="139">
        <f t="shared" si="16"/>
        <v>0</v>
      </c>
    </row>
    <row r="47" spans="1:17" ht="12.75" customHeight="1">
      <c r="A47" s="367">
        <f t="shared" si="12"/>
        <v>338</v>
      </c>
      <c r="B47" s="99" t="s">
        <v>374</v>
      </c>
      <c r="C47" s="379"/>
      <c r="D47" s="379"/>
      <c r="E47" s="138">
        <f t="shared" si="13"/>
        <v>0</v>
      </c>
      <c r="F47" s="379"/>
      <c r="G47" s="138">
        <f aca="true" t="shared" si="17" ref="G47:G56">F47-C47</f>
        <v>0</v>
      </c>
      <c r="H47" s="109">
        <f>Blad14!$C32</f>
        <v>6459</v>
      </c>
      <c r="I47" s="109">
        <f>Blad14!$D32</f>
        <v>3800</v>
      </c>
      <c r="J47" s="139">
        <f aca="true" t="shared" si="18" ref="J47:J56">ROUND($E47*ROUND(H47*$Y$4,0),0)</f>
        <v>0</v>
      </c>
      <c r="K47" s="139">
        <f aca="true" t="shared" si="19" ref="K47:K56">ROUND($E47*ROUND(I47*$Z$4,0),0)</f>
        <v>0</v>
      </c>
      <c r="L47" s="139">
        <f aca="true" t="shared" si="20" ref="L47:L56">ROUND(C47*ROUND(H47*$Y$4,0),0)+ROUND(C47*ROUND(I47*$Z$4,0),0)</f>
        <v>0</v>
      </c>
      <c r="M47" s="109">
        <f>Blad14!$E32</f>
        <v>6518.86</v>
      </c>
      <c r="N47" s="109">
        <f>Blad14!$F32</f>
        <v>3853.63</v>
      </c>
      <c r="O47" s="142">
        <f t="shared" si="14"/>
        <v>0</v>
      </c>
      <c r="P47" s="138">
        <f t="shared" si="15"/>
        <v>0</v>
      </c>
      <c r="Q47" s="139">
        <f t="shared" si="16"/>
        <v>0</v>
      </c>
    </row>
    <row r="48" spans="1:17" ht="12.75" customHeight="1">
      <c r="A48" s="367">
        <f t="shared" si="12"/>
        <v>339</v>
      </c>
      <c r="B48" s="99" t="s">
        <v>375</v>
      </c>
      <c r="C48" s="379"/>
      <c r="D48" s="379"/>
      <c r="E48" s="138">
        <f t="shared" si="13"/>
        <v>0</v>
      </c>
      <c r="F48" s="379"/>
      <c r="G48" s="138">
        <f t="shared" si="17"/>
        <v>0</v>
      </c>
      <c r="H48" s="109">
        <f>Blad14!$C33</f>
        <v>19316</v>
      </c>
      <c r="I48" s="109">
        <f>Blad14!$D33</f>
        <v>1747</v>
      </c>
      <c r="J48" s="139">
        <f t="shared" si="18"/>
        <v>0</v>
      </c>
      <c r="K48" s="139">
        <f t="shared" si="19"/>
        <v>0</v>
      </c>
      <c r="L48" s="139">
        <f t="shared" si="20"/>
        <v>0</v>
      </c>
      <c r="M48" s="109">
        <f>Blad14!$E33</f>
        <v>19493.26</v>
      </c>
      <c r="N48" s="109">
        <f>Blad14!$F33</f>
        <v>1771.89</v>
      </c>
      <c r="O48" s="142">
        <f t="shared" si="14"/>
        <v>0</v>
      </c>
      <c r="P48" s="138">
        <f t="shared" si="15"/>
        <v>0</v>
      </c>
      <c r="Q48" s="139">
        <f t="shared" si="16"/>
        <v>0</v>
      </c>
    </row>
    <row r="49" spans="1:17" ht="12.75" customHeight="1">
      <c r="A49" s="367">
        <f t="shared" si="12"/>
        <v>340</v>
      </c>
      <c r="B49" s="99" t="s">
        <v>376</v>
      </c>
      <c r="C49" s="379"/>
      <c r="D49" s="379"/>
      <c r="E49" s="138">
        <f t="shared" si="13"/>
        <v>0</v>
      </c>
      <c r="F49" s="379"/>
      <c r="G49" s="138">
        <f t="shared" si="17"/>
        <v>0</v>
      </c>
      <c r="H49" s="109">
        <f>Blad14!$C34</f>
        <v>41246</v>
      </c>
      <c r="I49" s="109">
        <f>Blad14!$D34</f>
        <v>25621</v>
      </c>
      <c r="J49" s="139">
        <f t="shared" si="18"/>
        <v>0</v>
      </c>
      <c r="K49" s="139">
        <f t="shared" si="19"/>
        <v>0</v>
      </c>
      <c r="L49" s="139">
        <f t="shared" si="20"/>
        <v>0</v>
      </c>
      <c r="M49" s="109">
        <f>Blad14!$E34</f>
        <v>41625.46</v>
      </c>
      <c r="N49" s="109">
        <f>Blad14!$F34</f>
        <v>25984.91</v>
      </c>
      <c r="O49" s="142">
        <f t="shared" si="14"/>
        <v>0</v>
      </c>
      <c r="P49" s="138">
        <f t="shared" si="15"/>
        <v>0</v>
      </c>
      <c r="Q49" s="139">
        <f t="shared" si="16"/>
        <v>0</v>
      </c>
    </row>
    <row r="50" spans="1:17" ht="12.75" customHeight="1">
      <c r="A50" s="367">
        <f t="shared" si="12"/>
        <v>341</v>
      </c>
      <c r="B50" s="99" t="s">
        <v>377</v>
      </c>
      <c r="C50" s="379"/>
      <c r="D50" s="379"/>
      <c r="E50" s="138">
        <f t="shared" si="13"/>
        <v>0</v>
      </c>
      <c r="F50" s="379"/>
      <c r="G50" s="138">
        <f t="shared" si="17"/>
        <v>0</v>
      </c>
      <c r="H50" s="109">
        <f>Blad14!$C35</f>
        <v>15097</v>
      </c>
      <c r="I50" s="109">
        <f>Blad14!$D35</f>
        <v>7358</v>
      </c>
      <c r="J50" s="139">
        <f t="shared" si="18"/>
        <v>0</v>
      </c>
      <c r="K50" s="139">
        <f t="shared" si="19"/>
        <v>0</v>
      </c>
      <c r="L50" s="139">
        <f t="shared" si="20"/>
        <v>0</v>
      </c>
      <c r="M50" s="109">
        <f>Blad14!$E35</f>
        <v>15236.15</v>
      </c>
      <c r="N50" s="109">
        <f>Blad14!$F35</f>
        <v>7462.13</v>
      </c>
      <c r="O50" s="142">
        <f t="shared" si="14"/>
        <v>0</v>
      </c>
      <c r="P50" s="138">
        <f t="shared" si="15"/>
        <v>0</v>
      </c>
      <c r="Q50" s="139">
        <f t="shared" si="16"/>
        <v>0</v>
      </c>
    </row>
    <row r="51" spans="1:17" ht="12.75" customHeight="1">
      <c r="A51" s="367">
        <f t="shared" si="12"/>
        <v>342</v>
      </c>
      <c r="B51" s="99" t="s">
        <v>378</v>
      </c>
      <c r="C51" s="379"/>
      <c r="D51" s="379"/>
      <c r="E51" s="138">
        <f t="shared" si="13"/>
        <v>0</v>
      </c>
      <c r="F51" s="379"/>
      <c r="G51" s="138">
        <f t="shared" si="17"/>
        <v>0</v>
      </c>
      <c r="H51" s="109">
        <f>Blad14!$C36</f>
        <v>540</v>
      </c>
      <c r="I51" s="109">
        <f>Blad14!$D36</f>
        <v>2013</v>
      </c>
      <c r="J51" s="139">
        <f t="shared" si="18"/>
        <v>0</v>
      </c>
      <c r="K51" s="139">
        <f t="shared" si="19"/>
        <v>0</v>
      </c>
      <c r="L51" s="139">
        <f t="shared" si="20"/>
        <v>0</v>
      </c>
      <c r="M51" s="109">
        <f>Blad14!$E36</f>
        <v>544.67</v>
      </c>
      <c r="N51" s="109">
        <f>Blad14!$F36</f>
        <v>2041.91</v>
      </c>
      <c r="O51" s="142">
        <f t="shared" si="14"/>
        <v>0</v>
      </c>
      <c r="P51" s="138">
        <f t="shared" si="15"/>
        <v>0</v>
      </c>
      <c r="Q51" s="139">
        <f t="shared" si="16"/>
        <v>0</v>
      </c>
    </row>
    <row r="52" spans="1:17" ht="12.75" customHeight="1">
      <c r="A52" s="367">
        <f t="shared" si="12"/>
        <v>343</v>
      </c>
      <c r="B52" s="99" t="s">
        <v>379</v>
      </c>
      <c r="C52" s="379"/>
      <c r="D52" s="379"/>
      <c r="E52" s="138">
        <f t="shared" si="13"/>
        <v>0</v>
      </c>
      <c r="F52" s="379"/>
      <c r="G52" s="138">
        <f t="shared" si="17"/>
        <v>0</v>
      </c>
      <c r="H52" s="109">
        <f>Blad14!$C37</f>
        <v>1047</v>
      </c>
      <c r="I52" s="109">
        <f>Blad14!$D37</f>
        <v>4489</v>
      </c>
      <c r="J52" s="139">
        <f t="shared" si="18"/>
        <v>0</v>
      </c>
      <c r="K52" s="139">
        <f t="shared" si="19"/>
        <v>0</v>
      </c>
      <c r="L52" s="139">
        <f t="shared" si="20"/>
        <v>0</v>
      </c>
      <c r="M52" s="109">
        <f>Blad14!$E37</f>
        <v>1056.36</v>
      </c>
      <c r="N52" s="109">
        <f>Blad14!$F37</f>
        <v>4552.92</v>
      </c>
      <c r="O52" s="142">
        <f t="shared" si="14"/>
        <v>0</v>
      </c>
      <c r="P52" s="138">
        <f t="shared" si="15"/>
        <v>0</v>
      </c>
      <c r="Q52" s="139">
        <f t="shared" si="16"/>
        <v>0</v>
      </c>
    </row>
    <row r="53" spans="1:17" ht="12.75" customHeight="1">
      <c r="A53" s="367">
        <f t="shared" si="12"/>
        <v>344</v>
      </c>
      <c r="B53" s="99" t="s">
        <v>380</v>
      </c>
      <c r="C53" s="379"/>
      <c r="D53" s="379"/>
      <c r="E53" s="138">
        <f t="shared" si="13"/>
        <v>0</v>
      </c>
      <c r="F53" s="379"/>
      <c r="G53" s="138">
        <f t="shared" si="17"/>
        <v>0</v>
      </c>
      <c r="H53" s="109">
        <f>Blad14!$C38</f>
        <v>1305</v>
      </c>
      <c r="I53" s="109">
        <f>Blad14!$D38</f>
        <v>6571</v>
      </c>
      <c r="J53" s="139">
        <f t="shared" si="18"/>
        <v>0</v>
      </c>
      <c r="K53" s="139">
        <f t="shared" si="19"/>
        <v>0</v>
      </c>
      <c r="L53" s="139">
        <f t="shared" si="20"/>
        <v>0</v>
      </c>
      <c r="M53" s="109">
        <f>Blad14!$E38</f>
        <v>1317.48</v>
      </c>
      <c r="N53" s="109">
        <f>Blad14!$F38</f>
        <v>6664.52</v>
      </c>
      <c r="O53" s="142">
        <f t="shared" si="14"/>
        <v>0</v>
      </c>
      <c r="P53" s="138">
        <f t="shared" si="15"/>
        <v>0</v>
      </c>
      <c r="Q53" s="139">
        <f t="shared" si="16"/>
        <v>0</v>
      </c>
    </row>
    <row r="54" spans="1:17" ht="12.75" customHeight="1">
      <c r="A54" s="367">
        <f t="shared" si="12"/>
        <v>345</v>
      </c>
      <c r="B54" s="99" t="s">
        <v>381</v>
      </c>
      <c r="C54" s="379"/>
      <c r="D54" s="379"/>
      <c r="E54" s="138">
        <f t="shared" si="13"/>
        <v>0</v>
      </c>
      <c r="F54" s="379"/>
      <c r="G54" s="138">
        <f t="shared" si="17"/>
        <v>0</v>
      </c>
      <c r="H54" s="109">
        <f>Blad14!$C39</f>
        <v>20337</v>
      </c>
      <c r="I54" s="109">
        <f>Blad14!$D39</f>
        <v>2147</v>
      </c>
      <c r="J54" s="139">
        <f t="shared" si="18"/>
        <v>0</v>
      </c>
      <c r="K54" s="139">
        <f t="shared" si="19"/>
        <v>0</v>
      </c>
      <c r="L54" s="139">
        <f t="shared" si="20"/>
        <v>0</v>
      </c>
      <c r="M54" s="109">
        <f>Blad14!$E39</f>
        <v>20524.56</v>
      </c>
      <c r="N54" s="109">
        <f>Blad14!$F39</f>
        <v>2177.55</v>
      </c>
      <c r="O54" s="142">
        <f t="shared" si="14"/>
        <v>0</v>
      </c>
      <c r="P54" s="138">
        <f t="shared" si="15"/>
        <v>0</v>
      </c>
      <c r="Q54" s="139">
        <f t="shared" si="16"/>
        <v>0</v>
      </c>
    </row>
    <row r="55" spans="1:17" ht="12.75" customHeight="1">
      <c r="A55" s="367">
        <f t="shared" si="12"/>
        <v>346</v>
      </c>
      <c r="B55" s="99" t="s">
        <v>382</v>
      </c>
      <c r="C55" s="379"/>
      <c r="D55" s="379"/>
      <c r="E55" s="138">
        <f t="shared" si="13"/>
        <v>0</v>
      </c>
      <c r="F55" s="379"/>
      <c r="G55" s="138">
        <f t="shared" si="17"/>
        <v>0</v>
      </c>
      <c r="H55" s="109">
        <f>Blad14!$C40</f>
        <v>42852</v>
      </c>
      <c r="I55" s="109">
        <f>Blad14!$D40</f>
        <v>26691</v>
      </c>
      <c r="J55" s="139">
        <f t="shared" si="18"/>
        <v>0</v>
      </c>
      <c r="K55" s="139">
        <f t="shared" si="19"/>
        <v>0</v>
      </c>
      <c r="L55" s="139">
        <f t="shared" si="20"/>
        <v>0</v>
      </c>
      <c r="M55" s="109">
        <f>Blad14!$E40</f>
        <v>43246.28</v>
      </c>
      <c r="N55" s="109">
        <f>Blad14!$F40</f>
        <v>27069.95</v>
      </c>
      <c r="O55" s="142">
        <f t="shared" si="14"/>
        <v>0</v>
      </c>
      <c r="P55" s="138">
        <f t="shared" si="15"/>
        <v>0</v>
      </c>
      <c r="Q55" s="139">
        <f t="shared" si="16"/>
        <v>0</v>
      </c>
    </row>
    <row r="56" spans="1:17" ht="12.75" customHeight="1">
      <c r="A56" s="367">
        <f t="shared" si="12"/>
        <v>347</v>
      </c>
      <c r="B56" s="99" t="s">
        <v>383</v>
      </c>
      <c r="C56" s="379"/>
      <c r="D56" s="379"/>
      <c r="E56" s="138">
        <f t="shared" si="13"/>
        <v>0</v>
      </c>
      <c r="F56" s="379"/>
      <c r="G56" s="138">
        <f t="shared" si="17"/>
        <v>0</v>
      </c>
      <c r="H56" s="109">
        <f>Blad14!$C41</f>
        <v>15936</v>
      </c>
      <c r="I56" s="109">
        <f>Blad14!$D41</f>
        <v>7915</v>
      </c>
      <c r="J56" s="139">
        <f t="shared" si="18"/>
        <v>0</v>
      </c>
      <c r="K56" s="139">
        <f t="shared" si="19"/>
        <v>0</v>
      </c>
      <c r="L56" s="139">
        <f t="shared" si="20"/>
        <v>0</v>
      </c>
      <c r="M56" s="109">
        <f>Blad14!$E41</f>
        <v>16082.84</v>
      </c>
      <c r="N56" s="109">
        <f>Blad14!$F41</f>
        <v>8027.04</v>
      </c>
      <c r="O56" s="142">
        <f t="shared" si="14"/>
        <v>0</v>
      </c>
      <c r="P56" s="138">
        <f t="shared" si="15"/>
        <v>0</v>
      </c>
      <c r="Q56" s="139">
        <f t="shared" si="16"/>
        <v>0</v>
      </c>
    </row>
    <row r="57" spans="1:18" ht="12.75" customHeight="1">
      <c r="A57" s="368"/>
      <c r="B57" s="28"/>
      <c r="C57" s="90"/>
      <c r="D57" s="90"/>
      <c r="E57" s="90"/>
      <c r="O57" s="90"/>
      <c r="P57" s="90"/>
      <c r="Q57" s="153"/>
      <c r="R57" s="10"/>
    </row>
    <row r="58" spans="1:17" ht="12.75" customHeight="1">
      <c r="A58" s="367">
        <f>A56+1</f>
        <v>348</v>
      </c>
      <c r="B58" s="28" t="s">
        <v>183</v>
      </c>
      <c r="C58" s="90"/>
      <c r="D58" s="90"/>
      <c r="E58" s="90"/>
      <c r="J58" s="117">
        <f>SUM(J12:J56)</f>
        <v>0</v>
      </c>
      <c r="K58" s="117">
        <f>SUM(K12:K56)</f>
        <v>0</v>
      </c>
      <c r="L58" s="117">
        <f>SUM(L12:L56)</f>
        <v>0</v>
      </c>
      <c r="M58" s="117"/>
      <c r="N58" s="117"/>
      <c r="O58" s="117">
        <f>SUM(O12:O56)</f>
        <v>0</v>
      </c>
      <c r="P58" s="117">
        <f>SUM(P12:P56)</f>
        <v>0</v>
      </c>
      <c r="Q58" s="117">
        <f>SUM(Q12:Q56)</f>
        <v>0</v>
      </c>
    </row>
    <row r="59" spans="2:5" ht="12.75" customHeight="1">
      <c r="B59" s="28"/>
      <c r="C59" s="90"/>
      <c r="D59" s="90"/>
      <c r="E59" s="90"/>
    </row>
    <row r="60" spans="3:13" ht="12.75" customHeight="1">
      <c r="C60" s="89"/>
      <c r="D60" s="89"/>
      <c r="E60" s="89"/>
      <c r="F60" s="13"/>
      <c r="G60" s="13"/>
      <c r="H60" s="38"/>
      <c r="I60" s="38"/>
      <c r="J60" s="13"/>
      <c r="K60" s="13"/>
      <c r="L60" s="13"/>
      <c r="M60" s="13"/>
    </row>
    <row r="62" spans="2:5" ht="12.75" customHeight="1">
      <c r="B62" s="28"/>
      <c r="C62" s="90"/>
      <c r="D62" s="90"/>
      <c r="E62" s="90"/>
    </row>
    <row r="63" spans="2:5" ht="12.75" customHeight="1">
      <c r="B63" s="28"/>
      <c r="C63" s="90"/>
      <c r="D63" s="90"/>
      <c r="E63" s="90"/>
    </row>
    <row r="64" spans="2:5" ht="12.75" customHeight="1">
      <c r="B64" s="28"/>
      <c r="C64" s="90"/>
      <c r="D64" s="90"/>
      <c r="E64" s="90"/>
    </row>
    <row r="65" spans="2:18" ht="12.75" customHeight="1">
      <c r="B65" s="28"/>
      <c r="C65" s="90"/>
      <c r="D65" s="90"/>
      <c r="E65" s="90"/>
      <c r="R65" s="12">
        <f>Blad2!J60+1</f>
        <v>3</v>
      </c>
    </row>
    <row r="66" spans="2:5" ht="12.75" customHeight="1">
      <c r="B66" s="28"/>
      <c r="C66" s="90"/>
      <c r="D66" s="90"/>
      <c r="E66" s="90"/>
    </row>
    <row r="67" spans="2:5" ht="12.75" customHeight="1">
      <c r="B67" s="28"/>
      <c r="C67" s="90"/>
      <c r="D67" s="90"/>
      <c r="E67" s="90"/>
    </row>
    <row r="68" spans="2:5" ht="12.75" customHeight="1">
      <c r="B68" s="28"/>
      <c r="C68" s="90"/>
      <c r="D68" s="90"/>
      <c r="E68" s="90"/>
    </row>
    <row r="69" spans="2:5" ht="12.75" customHeight="1">
      <c r="B69" s="28"/>
      <c r="C69" s="90"/>
      <c r="D69" s="90"/>
      <c r="E69" s="90"/>
    </row>
    <row r="70" spans="2:5" ht="12.75" customHeight="1">
      <c r="B70" s="28"/>
      <c r="C70" s="90"/>
      <c r="D70" s="90"/>
      <c r="E70" s="90"/>
    </row>
    <row r="71" spans="2:5" ht="12.75" customHeight="1">
      <c r="B71" s="28"/>
      <c r="C71" s="90"/>
      <c r="D71" s="90"/>
      <c r="E71" s="90"/>
    </row>
    <row r="72" spans="2:5" ht="12.75" customHeight="1">
      <c r="B72" s="28"/>
      <c r="C72" s="90"/>
      <c r="D72" s="90"/>
      <c r="E72" s="90"/>
    </row>
    <row r="73" spans="2:5" ht="12.75" customHeight="1">
      <c r="B73" s="28"/>
      <c r="C73" s="90"/>
      <c r="D73" s="90"/>
      <c r="E73" s="90"/>
    </row>
    <row r="74" spans="2:5" ht="12.75" customHeight="1">
      <c r="B74" s="28"/>
      <c r="C74" s="90"/>
      <c r="D74" s="90"/>
      <c r="E74" s="90"/>
    </row>
    <row r="75" spans="2:5" ht="12.75" customHeight="1">
      <c r="B75" s="28"/>
      <c r="C75" s="90"/>
      <c r="D75" s="90"/>
      <c r="E75" s="90"/>
    </row>
    <row r="76" spans="2:5" ht="12.75" customHeight="1">
      <c r="B76" s="28"/>
      <c r="C76" s="90"/>
      <c r="D76" s="90"/>
      <c r="E76" s="90"/>
    </row>
    <row r="77" spans="2:5" ht="12.75" customHeight="1">
      <c r="B77" s="28"/>
      <c r="C77" s="90"/>
      <c r="D77" s="90"/>
      <c r="E77" s="90"/>
    </row>
    <row r="78" spans="2:5" ht="12.75" customHeight="1">
      <c r="B78" s="28"/>
      <c r="C78" s="90"/>
      <c r="D78" s="90"/>
      <c r="E78" s="90"/>
    </row>
    <row r="79" spans="2:5" ht="12.75" customHeight="1">
      <c r="B79" s="28"/>
      <c r="C79" s="90"/>
      <c r="D79" s="90"/>
      <c r="E79" s="90"/>
    </row>
    <row r="80" spans="2:5" ht="12.75" customHeight="1">
      <c r="B80" s="28"/>
      <c r="C80" s="90"/>
      <c r="D80" s="90"/>
      <c r="E80" s="90"/>
    </row>
    <row r="81" spans="2:5" ht="12.75" customHeight="1">
      <c r="B81" s="28"/>
      <c r="C81" s="90"/>
      <c r="D81" s="90"/>
      <c r="E81" s="90"/>
    </row>
    <row r="82" spans="2:5" ht="12.75" customHeight="1">
      <c r="B82" s="28"/>
      <c r="C82" s="90"/>
      <c r="D82" s="90"/>
      <c r="E82" s="90"/>
    </row>
    <row r="83" spans="2:5" ht="12.75" customHeight="1">
      <c r="B83" s="28"/>
      <c r="C83" s="90"/>
      <c r="D83" s="90"/>
      <c r="E83" s="90"/>
    </row>
    <row r="84" spans="2:5" ht="12.75" customHeight="1">
      <c r="B84" s="28"/>
      <c r="C84" s="90"/>
      <c r="D84" s="90"/>
      <c r="E84" s="90"/>
    </row>
    <row r="85" spans="2:5" ht="12.75" customHeight="1">
      <c r="B85" s="28"/>
      <c r="C85" s="90"/>
      <c r="D85" s="90"/>
      <c r="E85" s="90"/>
    </row>
    <row r="86" spans="2:5" ht="12.75" customHeight="1">
      <c r="B86" s="28"/>
      <c r="C86" s="90"/>
      <c r="D86" s="90"/>
      <c r="E86" s="90"/>
    </row>
    <row r="87" spans="2:5" ht="12.75" customHeight="1">
      <c r="B87" s="28"/>
      <c r="C87" s="90"/>
      <c r="D87" s="90"/>
      <c r="E87" s="90"/>
    </row>
    <row r="88" spans="2:5" ht="12.75" customHeight="1">
      <c r="B88" s="28"/>
      <c r="C88" s="90"/>
      <c r="D88" s="90"/>
      <c r="E88" s="90"/>
    </row>
    <row r="89" spans="2:5" ht="12.75" customHeight="1">
      <c r="B89" s="28"/>
      <c r="C89" s="90"/>
      <c r="D89" s="90"/>
      <c r="E89" s="90"/>
    </row>
    <row r="90" spans="2:5" ht="12.75" customHeight="1">
      <c r="B90" s="28"/>
      <c r="C90" s="90"/>
      <c r="D90" s="90"/>
      <c r="E90" s="90"/>
    </row>
    <row r="91" spans="2:5" ht="12.75" customHeight="1">
      <c r="B91" s="28"/>
      <c r="C91" s="90"/>
      <c r="D91" s="90"/>
      <c r="E91" s="90"/>
    </row>
    <row r="92" spans="2:5" ht="12.75" customHeight="1">
      <c r="B92" s="28"/>
      <c r="C92" s="90"/>
      <c r="D92" s="90"/>
      <c r="E92" s="90"/>
    </row>
    <row r="93" spans="2:5" ht="12.75" customHeight="1">
      <c r="B93" s="28"/>
      <c r="C93" s="90"/>
      <c r="D93" s="90"/>
      <c r="E93" s="90"/>
    </row>
    <row r="94" spans="2:5" ht="12.75" customHeight="1">
      <c r="B94" s="28"/>
      <c r="C94" s="90"/>
      <c r="D94" s="90"/>
      <c r="E94" s="90"/>
    </row>
    <row r="95" spans="2:5" ht="12.75" customHeight="1">
      <c r="B95" s="28"/>
      <c r="C95" s="90"/>
      <c r="D95" s="90"/>
      <c r="E95" s="90"/>
    </row>
    <row r="96" spans="2:5" ht="12.75" customHeight="1">
      <c r="B96" s="28"/>
      <c r="C96" s="90"/>
      <c r="D96" s="90"/>
      <c r="E96" s="90"/>
    </row>
    <row r="97" spans="2:5" ht="12.75" customHeight="1">
      <c r="B97" s="28"/>
      <c r="C97" s="90"/>
      <c r="D97" s="90"/>
      <c r="E97" s="90"/>
    </row>
    <row r="98" spans="2:5" ht="12.75" customHeight="1">
      <c r="B98" s="28"/>
      <c r="C98" s="90"/>
      <c r="D98" s="90"/>
      <c r="E98" s="90"/>
    </row>
    <row r="99" spans="2:5" ht="12.75" customHeight="1">
      <c r="B99" s="28"/>
      <c r="C99" s="90"/>
      <c r="D99" s="90"/>
      <c r="E99" s="90"/>
    </row>
    <row r="100" spans="2:5" ht="12.75" customHeight="1">
      <c r="B100" s="28"/>
      <c r="C100" s="90"/>
      <c r="D100" s="90"/>
      <c r="E100" s="90"/>
    </row>
    <row r="101" spans="2:5" ht="12.75" customHeight="1">
      <c r="B101" s="28"/>
      <c r="C101" s="90"/>
      <c r="D101" s="90"/>
      <c r="E101" s="90"/>
    </row>
    <row r="102" spans="2:5" ht="12.75" customHeight="1">
      <c r="B102" s="28"/>
      <c r="C102" s="90"/>
      <c r="D102" s="90"/>
      <c r="E102" s="90"/>
    </row>
    <row r="103" spans="2:17" ht="12.75" customHeight="1">
      <c r="B103" s="28"/>
      <c r="C103" s="90"/>
      <c r="D103" s="90"/>
      <c r="E103" s="90"/>
      <c r="H103" s="43"/>
      <c r="I103" s="43"/>
      <c r="J103" s="176"/>
      <c r="K103" s="176"/>
      <c r="L103" s="176"/>
      <c r="M103" s="176"/>
      <c r="N103" s="176"/>
      <c r="O103" s="176"/>
      <c r="P103" s="176"/>
      <c r="Q103" s="176"/>
    </row>
    <row r="104" spans="2:17" ht="12.75" customHeight="1">
      <c r="B104" s="28"/>
      <c r="C104" s="90"/>
      <c r="D104" s="90"/>
      <c r="E104" s="90"/>
      <c r="H104" s="43"/>
      <c r="I104" s="43"/>
      <c r="J104" s="176"/>
      <c r="K104" s="176"/>
      <c r="L104" s="176"/>
      <c r="M104" s="176"/>
      <c r="N104" s="176"/>
      <c r="O104" s="176"/>
      <c r="P104" s="176"/>
      <c r="Q104" s="176"/>
    </row>
    <row r="105" spans="2:17" ht="12.75" customHeight="1">
      <c r="B105" s="28"/>
      <c r="C105" s="90"/>
      <c r="D105" s="90"/>
      <c r="E105" s="90"/>
      <c r="H105" s="43"/>
      <c r="I105" s="43"/>
      <c r="J105" s="176"/>
      <c r="K105" s="176"/>
      <c r="L105" s="176"/>
      <c r="M105" s="176"/>
      <c r="N105" s="176"/>
      <c r="O105" s="176"/>
      <c r="P105" s="176"/>
      <c r="Q105" s="176"/>
    </row>
    <row r="106" spans="2:17" ht="12.75" customHeight="1">
      <c r="B106" s="28"/>
      <c r="C106" s="90"/>
      <c r="D106" s="90"/>
      <c r="E106" s="90"/>
      <c r="H106" s="43"/>
      <c r="I106" s="43"/>
      <c r="J106" s="176"/>
      <c r="K106" s="176"/>
      <c r="L106" s="176"/>
      <c r="M106" s="176"/>
      <c r="N106" s="176"/>
      <c r="O106" s="176"/>
      <c r="P106" s="176"/>
      <c r="Q106" s="176"/>
    </row>
    <row r="107" spans="2:17" ht="12.75" customHeight="1">
      <c r="B107" s="28"/>
      <c r="C107" s="90"/>
      <c r="D107" s="90"/>
      <c r="E107" s="90"/>
      <c r="J107" s="176"/>
      <c r="K107" s="176"/>
      <c r="L107" s="176"/>
      <c r="M107" s="176"/>
      <c r="N107" s="176"/>
      <c r="O107" s="176"/>
      <c r="P107" s="176"/>
      <c r="Q107" s="176"/>
    </row>
    <row r="108" spans="2:17" ht="12.75" customHeight="1">
      <c r="B108" s="28"/>
      <c r="C108" s="90"/>
      <c r="D108" s="90"/>
      <c r="E108" s="90"/>
      <c r="J108" s="176"/>
      <c r="K108" s="176"/>
      <c r="L108" s="176"/>
      <c r="M108" s="176"/>
      <c r="N108" s="176"/>
      <c r="O108" s="176"/>
      <c r="P108" s="176"/>
      <c r="Q108" s="176"/>
    </row>
    <row r="109" spans="2:17" ht="12.75" customHeight="1">
      <c r="B109" s="28"/>
      <c r="C109" s="90"/>
      <c r="D109" s="90"/>
      <c r="E109" s="90"/>
      <c r="J109" s="176"/>
      <c r="K109" s="176"/>
      <c r="L109" s="176"/>
      <c r="M109" s="176"/>
      <c r="N109" s="176"/>
      <c r="O109" s="176"/>
      <c r="P109" s="176"/>
      <c r="Q109" s="176"/>
    </row>
    <row r="110" spans="2:17" ht="12.75" customHeight="1">
      <c r="B110" s="28"/>
      <c r="C110" s="90"/>
      <c r="D110" s="90"/>
      <c r="E110" s="90"/>
      <c r="J110" s="176"/>
      <c r="K110" s="176"/>
      <c r="L110" s="176"/>
      <c r="M110" s="176"/>
      <c r="N110" s="176"/>
      <c r="O110" s="176"/>
      <c r="P110" s="176"/>
      <c r="Q110" s="176"/>
    </row>
    <row r="111" spans="2:17" ht="12.75" customHeight="1">
      <c r="B111" s="28"/>
      <c r="C111" s="90"/>
      <c r="D111" s="90"/>
      <c r="E111" s="90"/>
      <c r="J111" s="176"/>
      <c r="K111" s="176"/>
      <c r="L111" s="176"/>
      <c r="M111" s="176"/>
      <c r="N111" s="176"/>
      <c r="O111" s="176"/>
      <c r="P111" s="176"/>
      <c r="Q111" s="176"/>
    </row>
    <row r="112" spans="2:17" ht="12.75" customHeight="1">
      <c r="B112" s="28"/>
      <c r="C112" s="90"/>
      <c r="D112" s="90"/>
      <c r="E112" s="90"/>
      <c r="J112" s="176"/>
      <c r="K112" s="176"/>
      <c r="L112" s="176"/>
      <c r="M112" s="176"/>
      <c r="N112" s="176"/>
      <c r="O112" s="176"/>
      <c r="P112" s="176"/>
      <c r="Q112" s="176"/>
    </row>
    <row r="113" spans="2:17" ht="12.75" customHeight="1">
      <c r="B113" s="28"/>
      <c r="C113" s="90"/>
      <c r="D113" s="90"/>
      <c r="E113" s="90"/>
      <c r="J113" s="176"/>
      <c r="K113" s="176"/>
      <c r="L113" s="176"/>
      <c r="M113" s="176"/>
      <c r="N113" s="176"/>
      <c r="O113" s="176"/>
      <c r="P113" s="176"/>
      <c r="Q113" s="176"/>
    </row>
    <row r="114" spans="2:17" ht="12.75" customHeight="1">
      <c r="B114" s="28"/>
      <c r="C114" s="90"/>
      <c r="D114" s="90"/>
      <c r="E114" s="90"/>
      <c r="J114" s="176"/>
      <c r="K114" s="176"/>
      <c r="L114" s="176"/>
      <c r="M114" s="176"/>
      <c r="N114" s="176"/>
      <c r="O114" s="176"/>
      <c r="P114" s="176"/>
      <c r="Q114" s="176"/>
    </row>
    <row r="115" spans="2:17" ht="12.75" customHeight="1">
      <c r="B115" s="28"/>
      <c r="C115" s="90"/>
      <c r="D115" s="90"/>
      <c r="E115" s="90"/>
      <c r="J115" s="176"/>
      <c r="K115" s="176"/>
      <c r="L115" s="176"/>
      <c r="M115" s="176"/>
      <c r="N115" s="176"/>
      <c r="O115" s="176"/>
      <c r="P115" s="176"/>
      <c r="Q115" s="176"/>
    </row>
    <row r="116" spans="2:17" ht="12.75" customHeight="1">
      <c r="B116" s="28"/>
      <c r="C116" s="90"/>
      <c r="D116" s="90"/>
      <c r="E116" s="90"/>
      <c r="J116" s="176"/>
      <c r="K116" s="176"/>
      <c r="L116" s="176"/>
      <c r="M116" s="176"/>
      <c r="N116" s="176"/>
      <c r="O116" s="176"/>
      <c r="P116" s="176"/>
      <c r="Q116" s="176"/>
    </row>
    <row r="117" spans="2:17" ht="12.75" customHeight="1">
      <c r="B117" s="28"/>
      <c r="C117" s="90"/>
      <c r="D117" s="90"/>
      <c r="E117" s="90"/>
      <c r="J117" s="176"/>
      <c r="K117" s="176"/>
      <c r="L117" s="176"/>
      <c r="M117" s="176"/>
      <c r="N117" s="176"/>
      <c r="O117" s="176"/>
      <c r="P117" s="176"/>
      <c r="Q117" s="176"/>
    </row>
    <row r="118" spans="2:17" ht="12.75" customHeight="1">
      <c r="B118" s="28"/>
      <c r="C118" s="90"/>
      <c r="D118" s="90"/>
      <c r="E118" s="90"/>
      <c r="J118" s="176"/>
      <c r="K118" s="176"/>
      <c r="L118" s="176"/>
      <c r="M118" s="176"/>
      <c r="N118" s="176"/>
      <c r="O118" s="176"/>
      <c r="P118" s="176"/>
      <c r="Q118" s="176"/>
    </row>
    <row r="119" spans="2:17" ht="12.75" customHeight="1">
      <c r="B119" s="28"/>
      <c r="C119" s="90"/>
      <c r="D119" s="90"/>
      <c r="E119" s="90"/>
      <c r="J119" s="176"/>
      <c r="K119" s="176"/>
      <c r="L119" s="176"/>
      <c r="M119" s="176"/>
      <c r="N119" s="176"/>
      <c r="O119" s="176"/>
      <c r="P119" s="176"/>
      <c r="Q119" s="176"/>
    </row>
    <row r="120" spans="2:17" ht="12.75" customHeight="1">
      <c r="B120" s="28"/>
      <c r="C120" s="90"/>
      <c r="D120" s="90"/>
      <c r="E120" s="90"/>
      <c r="J120" s="176"/>
      <c r="K120" s="176"/>
      <c r="L120" s="176"/>
      <c r="M120" s="176"/>
      <c r="N120" s="176"/>
      <c r="O120" s="176"/>
      <c r="P120" s="176"/>
      <c r="Q120" s="176"/>
    </row>
    <row r="121" spans="2:17" ht="12.75" customHeight="1">
      <c r="B121" s="28"/>
      <c r="C121" s="90"/>
      <c r="D121" s="90"/>
      <c r="E121" s="90"/>
      <c r="J121" s="176"/>
      <c r="K121" s="176"/>
      <c r="L121" s="176"/>
      <c r="M121" s="176"/>
      <c r="N121" s="176"/>
      <c r="O121" s="176"/>
      <c r="P121" s="176"/>
      <c r="Q121" s="176"/>
    </row>
    <row r="122" spans="2:17" ht="12.75" customHeight="1">
      <c r="B122" s="28"/>
      <c r="C122" s="90"/>
      <c r="D122" s="90"/>
      <c r="E122" s="90"/>
      <c r="J122" s="176"/>
      <c r="K122" s="176"/>
      <c r="L122" s="176"/>
      <c r="M122" s="176"/>
      <c r="N122" s="176"/>
      <c r="O122" s="176"/>
      <c r="P122" s="176"/>
      <c r="Q122" s="176"/>
    </row>
    <row r="123" spans="2:17" ht="12.75" customHeight="1">
      <c r="B123" s="28"/>
      <c r="C123" s="90"/>
      <c r="D123" s="90"/>
      <c r="E123" s="90"/>
      <c r="J123" s="176"/>
      <c r="K123" s="176"/>
      <c r="L123" s="176"/>
      <c r="M123" s="176"/>
      <c r="N123" s="176"/>
      <c r="O123" s="176"/>
      <c r="P123" s="176"/>
      <c r="Q123" s="176"/>
    </row>
    <row r="124" spans="2:17" ht="12.75" customHeight="1">
      <c r="B124" s="28"/>
      <c r="C124" s="90"/>
      <c r="D124" s="90"/>
      <c r="E124" s="90"/>
      <c r="J124" s="176"/>
      <c r="K124" s="176"/>
      <c r="L124" s="176"/>
      <c r="M124" s="176"/>
      <c r="N124" s="176"/>
      <c r="O124" s="176"/>
      <c r="P124" s="176"/>
      <c r="Q124" s="176"/>
    </row>
    <row r="125" spans="2:17" ht="12.75" customHeight="1">
      <c r="B125" s="28"/>
      <c r="C125" s="90"/>
      <c r="D125" s="90"/>
      <c r="E125" s="90"/>
      <c r="J125" s="176"/>
      <c r="K125" s="176"/>
      <c r="L125" s="176"/>
      <c r="M125" s="176"/>
      <c r="N125" s="176"/>
      <c r="O125" s="176"/>
      <c r="P125" s="176"/>
      <c r="Q125" s="176"/>
    </row>
    <row r="126" spans="2:17" ht="12.75" customHeight="1">
      <c r="B126" s="28"/>
      <c r="C126" s="90"/>
      <c r="D126" s="90"/>
      <c r="E126" s="90"/>
      <c r="J126" s="176"/>
      <c r="K126" s="176"/>
      <c r="L126" s="176"/>
      <c r="M126" s="176"/>
      <c r="N126" s="176"/>
      <c r="O126" s="176"/>
      <c r="P126" s="176"/>
      <c r="Q126" s="176"/>
    </row>
    <row r="127" spans="2:17" ht="12.75" customHeight="1">
      <c r="B127" s="28"/>
      <c r="C127" s="90"/>
      <c r="D127" s="90"/>
      <c r="E127" s="90"/>
      <c r="J127" s="176"/>
      <c r="K127" s="176"/>
      <c r="L127" s="176"/>
      <c r="M127" s="176"/>
      <c r="N127" s="176"/>
      <c r="O127" s="176"/>
      <c r="P127" s="176"/>
      <c r="Q127" s="176"/>
    </row>
    <row r="128" spans="2:17" ht="12.75" customHeight="1">
      <c r="B128" s="28"/>
      <c r="C128" s="90"/>
      <c r="D128" s="90"/>
      <c r="E128" s="90"/>
      <c r="J128" s="176"/>
      <c r="K128" s="176"/>
      <c r="L128" s="176"/>
      <c r="M128" s="176"/>
      <c r="N128" s="176"/>
      <c r="O128" s="176"/>
      <c r="P128" s="176"/>
      <c r="Q128" s="176"/>
    </row>
    <row r="129" spans="2:17" ht="12.75" customHeight="1">
      <c r="B129" s="28"/>
      <c r="C129" s="90"/>
      <c r="D129" s="90"/>
      <c r="E129" s="90"/>
      <c r="J129" s="176"/>
      <c r="K129" s="176"/>
      <c r="L129" s="176"/>
      <c r="M129" s="176"/>
      <c r="N129" s="176"/>
      <c r="O129" s="176"/>
      <c r="P129" s="176"/>
      <c r="Q129" s="176"/>
    </row>
    <row r="130" spans="2:17" ht="12.75" customHeight="1">
      <c r="B130" s="28"/>
      <c r="C130" s="90"/>
      <c r="D130" s="90"/>
      <c r="E130" s="90"/>
      <c r="J130" s="176"/>
      <c r="K130" s="176"/>
      <c r="L130" s="176"/>
      <c r="M130" s="176"/>
      <c r="N130" s="176"/>
      <c r="O130" s="176"/>
      <c r="P130" s="176"/>
      <c r="Q130" s="176"/>
    </row>
    <row r="131" spans="2:17" ht="12.75" customHeight="1">
      <c r="B131" s="28"/>
      <c r="C131" s="90"/>
      <c r="D131" s="90"/>
      <c r="E131" s="90"/>
      <c r="J131" s="176"/>
      <c r="K131" s="176"/>
      <c r="L131" s="176"/>
      <c r="M131" s="176"/>
      <c r="N131" s="176"/>
      <c r="O131" s="176"/>
      <c r="P131" s="176"/>
      <c r="Q131" s="176"/>
    </row>
    <row r="132" spans="2:17" ht="12.75" customHeight="1">
      <c r="B132" s="28"/>
      <c r="C132" s="90"/>
      <c r="D132" s="90"/>
      <c r="E132" s="90"/>
      <c r="J132" s="176"/>
      <c r="K132" s="176"/>
      <c r="L132" s="176"/>
      <c r="M132" s="176"/>
      <c r="N132" s="176"/>
      <c r="O132" s="176"/>
      <c r="P132" s="176"/>
      <c r="Q132" s="176"/>
    </row>
    <row r="133" spans="2:17" ht="12.75" customHeight="1">
      <c r="B133" s="28"/>
      <c r="C133" s="90"/>
      <c r="D133" s="90"/>
      <c r="E133" s="90"/>
      <c r="J133" s="176"/>
      <c r="K133" s="176"/>
      <c r="L133" s="176"/>
      <c r="M133" s="176"/>
      <c r="N133" s="176"/>
      <c r="O133" s="176"/>
      <c r="P133" s="176"/>
      <c r="Q133" s="176"/>
    </row>
    <row r="134" spans="2:17" ht="12.75" customHeight="1">
      <c r="B134" s="28"/>
      <c r="C134" s="90"/>
      <c r="D134" s="90"/>
      <c r="E134" s="90"/>
      <c r="J134" s="176"/>
      <c r="K134" s="176"/>
      <c r="L134" s="176"/>
      <c r="M134" s="176"/>
      <c r="N134" s="176"/>
      <c r="O134" s="176"/>
      <c r="P134" s="176"/>
      <c r="Q134" s="176"/>
    </row>
    <row r="135" spans="2:17" ht="12.75" customHeight="1">
      <c r="B135" s="28"/>
      <c r="C135" s="90"/>
      <c r="D135" s="90"/>
      <c r="E135" s="90"/>
      <c r="J135" s="176"/>
      <c r="K135" s="176"/>
      <c r="L135" s="176"/>
      <c r="M135" s="176"/>
      <c r="N135" s="176"/>
      <c r="O135" s="176"/>
      <c r="P135" s="176"/>
      <c r="Q135" s="176"/>
    </row>
    <row r="136" spans="2:17" ht="12.75" customHeight="1">
      <c r="B136" s="28"/>
      <c r="C136" s="90"/>
      <c r="D136" s="90"/>
      <c r="E136" s="90"/>
      <c r="J136" s="176"/>
      <c r="K136" s="176"/>
      <c r="L136" s="176"/>
      <c r="M136" s="176"/>
      <c r="N136" s="176"/>
      <c r="O136" s="176"/>
      <c r="P136" s="176"/>
      <c r="Q136" s="176"/>
    </row>
    <row r="137" spans="2:17" ht="12.75" customHeight="1">
      <c r="B137" s="28"/>
      <c r="C137" s="90"/>
      <c r="D137" s="90"/>
      <c r="E137" s="90"/>
      <c r="J137" s="176"/>
      <c r="K137" s="176"/>
      <c r="L137" s="176"/>
      <c r="M137" s="176"/>
      <c r="N137" s="176"/>
      <c r="O137" s="176"/>
      <c r="P137" s="176"/>
      <c r="Q137" s="176"/>
    </row>
    <row r="138" spans="2:17" ht="12.75" customHeight="1">
      <c r="B138" s="28"/>
      <c r="C138" s="90"/>
      <c r="D138" s="90"/>
      <c r="E138" s="90"/>
      <c r="J138" s="176"/>
      <c r="K138" s="176"/>
      <c r="L138" s="176"/>
      <c r="M138" s="176"/>
      <c r="N138" s="176"/>
      <c r="O138" s="176"/>
      <c r="P138" s="176"/>
      <c r="Q138" s="176"/>
    </row>
    <row r="139" spans="2:5" ht="12.75" customHeight="1">
      <c r="B139" s="28"/>
      <c r="C139" s="90"/>
      <c r="D139" s="90"/>
      <c r="E139" s="90"/>
    </row>
    <row r="140" spans="2:5" ht="12.75" customHeight="1">
      <c r="B140" s="28"/>
      <c r="C140" s="90"/>
      <c r="D140" s="90"/>
      <c r="E140" s="90"/>
    </row>
    <row r="141" spans="2:5" ht="12.75" customHeight="1">
      <c r="B141" s="28"/>
      <c r="C141" s="90"/>
      <c r="D141" s="90"/>
      <c r="E141" s="90"/>
    </row>
    <row r="142" spans="2:5" ht="12.75" customHeight="1">
      <c r="B142" s="28"/>
      <c r="C142" s="90"/>
      <c r="D142" s="90"/>
      <c r="E142" s="90"/>
    </row>
    <row r="143" spans="2:5" ht="12.75" customHeight="1">
      <c r="B143" s="28"/>
      <c r="C143" s="90"/>
      <c r="D143" s="90"/>
      <c r="E143" s="90"/>
    </row>
    <row r="144" spans="2:5" ht="12.75" customHeight="1">
      <c r="B144" s="28"/>
      <c r="C144" s="90"/>
      <c r="D144" s="90"/>
      <c r="E144" s="90"/>
    </row>
    <row r="145" spans="2:5" ht="12.75" customHeight="1">
      <c r="B145" s="28"/>
      <c r="C145" s="90"/>
      <c r="D145" s="90"/>
      <c r="E145" s="90"/>
    </row>
    <row r="146" spans="2:5" ht="12.75" customHeight="1">
      <c r="B146" s="28"/>
      <c r="C146" s="90"/>
      <c r="D146" s="90"/>
      <c r="E146" s="90"/>
    </row>
    <row r="147" spans="2:5" ht="12.75" customHeight="1">
      <c r="B147" s="28"/>
      <c r="C147" s="90"/>
      <c r="D147" s="90"/>
      <c r="E147" s="90"/>
    </row>
    <row r="148" spans="2:5" ht="12.75" customHeight="1">
      <c r="B148" s="28"/>
      <c r="C148" s="90"/>
      <c r="D148" s="90"/>
      <c r="E148" s="90"/>
    </row>
    <row r="149" spans="2:5" ht="12.75" customHeight="1">
      <c r="B149" s="28"/>
      <c r="C149" s="90"/>
      <c r="D149" s="90"/>
      <c r="E149" s="90"/>
    </row>
    <row r="150" spans="2:5" ht="12.75" customHeight="1">
      <c r="B150" s="28"/>
      <c r="C150" s="90"/>
      <c r="D150" s="90"/>
      <c r="E150" s="90"/>
    </row>
    <row r="151" spans="2:5" ht="12.75" customHeight="1">
      <c r="B151" s="28"/>
      <c r="C151" s="90"/>
      <c r="D151" s="90"/>
      <c r="E151" s="90"/>
    </row>
    <row r="152" spans="2:5" ht="12.75" customHeight="1">
      <c r="B152" s="28"/>
      <c r="C152" s="90"/>
      <c r="D152" s="90"/>
      <c r="E152" s="90"/>
    </row>
    <row r="153" spans="2:5" ht="12.75" customHeight="1">
      <c r="B153" s="28"/>
      <c r="C153" s="90"/>
      <c r="D153" s="90"/>
      <c r="E153" s="90"/>
    </row>
    <row r="154" spans="2:5" ht="12.75" customHeight="1">
      <c r="B154" s="28"/>
      <c r="C154" s="90"/>
      <c r="D154" s="90"/>
      <c r="E154" s="90"/>
    </row>
    <row r="155" spans="2:5" ht="12.75" customHeight="1">
      <c r="B155" s="28"/>
      <c r="C155" s="90"/>
      <c r="D155" s="90"/>
      <c r="E155" s="90"/>
    </row>
    <row r="156" spans="2:5" ht="12.75" customHeight="1">
      <c r="B156" s="28"/>
      <c r="C156" s="90"/>
      <c r="D156" s="90"/>
      <c r="E156" s="90"/>
    </row>
    <row r="157" spans="2:5" ht="12.75" customHeight="1">
      <c r="B157" s="28"/>
      <c r="C157" s="90"/>
      <c r="D157" s="90"/>
      <c r="E157" s="90"/>
    </row>
    <row r="158" spans="2:5" ht="12.75" customHeight="1">
      <c r="B158" s="28"/>
      <c r="C158" s="90"/>
      <c r="D158" s="90"/>
      <c r="E158" s="90"/>
    </row>
    <row r="159" spans="2:5" ht="12.75" customHeight="1">
      <c r="B159" s="28"/>
      <c r="C159" s="90"/>
      <c r="D159" s="90"/>
      <c r="E159" s="90"/>
    </row>
    <row r="160" spans="2:5" ht="12.75" customHeight="1">
      <c r="B160" s="28"/>
      <c r="C160" s="90"/>
      <c r="D160" s="90"/>
      <c r="E160" s="90"/>
    </row>
    <row r="161" spans="2:5" ht="12.75" customHeight="1">
      <c r="B161" s="28"/>
      <c r="C161" s="90"/>
      <c r="D161" s="90"/>
      <c r="E161" s="90"/>
    </row>
    <row r="162" spans="2:5" ht="12.75" customHeight="1">
      <c r="B162" s="28"/>
      <c r="C162" s="90"/>
      <c r="D162" s="90"/>
      <c r="E162" s="90"/>
    </row>
    <row r="163" spans="2:5" ht="12.75" customHeight="1">
      <c r="B163" s="28"/>
      <c r="C163" s="90"/>
      <c r="D163" s="90"/>
      <c r="E163" s="90"/>
    </row>
    <row r="164" spans="2:5" ht="12.75" customHeight="1">
      <c r="B164" s="28"/>
      <c r="C164" s="90"/>
      <c r="D164" s="90"/>
      <c r="E164" s="90"/>
    </row>
    <row r="165" spans="2:5" ht="12.75" customHeight="1">
      <c r="B165" s="28"/>
      <c r="C165" s="90"/>
      <c r="D165" s="90"/>
      <c r="E165" s="90"/>
    </row>
    <row r="166" spans="2:5" ht="12.75" customHeight="1">
      <c r="B166" s="28"/>
      <c r="C166" s="90"/>
      <c r="D166" s="90"/>
      <c r="E166" s="90"/>
    </row>
    <row r="167" spans="2:5" ht="12.75" customHeight="1">
      <c r="B167" s="28"/>
      <c r="C167" s="90"/>
      <c r="D167" s="90"/>
      <c r="E167" s="90"/>
    </row>
    <row r="168" spans="2:5" ht="12.75" customHeight="1">
      <c r="B168" s="28"/>
      <c r="C168" s="90"/>
      <c r="D168" s="90"/>
      <c r="E168" s="90"/>
    </row>
    <row r="169" spans="2:5" ht="12.75" customHeight="1">
      <c r="B169" s="28"/>
      <c r="C169" s="90"/>
      <c r="D169" s="90"/>
      <c r="E169" s="90"/>
    </row>
    <row r="170" spans="2:5" ht="12.75" customHeight="1">
      <c r="B170" s="28"/>
      <c r="C170" s="90"/>
      <c r="D170" s="90"/>
      <c r="E170" s="90"/>
    </row>
    <row r="171" spans="2:5" ht="12.75" customHeight="1">
      <c r="B171" s="28"/>
      <c r="C171" s="90"/>
      <c r="D171" s="90"/>
      <c r="E171" s="90"/>
    </row>
    <row r="172" spans="2:5" ht="12.75" customHeight="1">
      <c r="B172" s="28"/>
      <c r="C172" s="90"/>
      <c r="D172" s="90"/>
      <c r="E172" s="90"/>
    </row>
    <row r="173" spans="2:5" ht="12.75" customHeight="1">
      <c r="B173" s="28"/>
      <c r="C173" s="90"/>
      <c r="D173" s="90"/>
      <c r="E173" s="90"/>
    </row>
    <row r="174" spans="2:5" ht="12.75" customHeight="1">
      <c r="B174" s="28"/>
      <c r="C174" s="90"/>
      <c r="D174" s="90"/>
      <c r="E174" s="90"/>
    </row>
    <row r="175" spans="2:5" ht="12.75" customHeight="1">
      <c r="B175" s="28"/>
      <c r="C175" s="90"/>
      <c r="D175" s="90"/>
      <c r="E175" s="90"/>
    </row>
    <row r="176" spans="2:5" ht="12.75" customHeight="1">
      <c r="B176" s="28"/>
      <c r="C176" s="90"/>
      <c r="D176" s="90"/>
      <c r="E176" s="90"/>
    </row>
    <row r="177" spans="2:5" ht="12.75" customHeight="1">
      <c r="B177" s="28"/>
      <c r="C177" s="90"/>
      <c r="D177" s="90"/>
      <c r="E177" s="90"/>
    </row>
    <row r="178" spans="2:5" ht="12.75" customHeight="1">
      <c r="B178" s="28"/>
      <c r="C178" s="90"/>
      <c r="D178" s="90"/>
      <c r="E178" s="90"/>
    </row>
    <row r="179" spans="2:5" ht="12.75" customHeight="1">
      <c r="B179" s="28"/>
      <c r="C179" s="90"/>
      <c r="D179" s="90"/>
      <c r="E179" s="90"/>
    </row>
    <row r="180" spans="2:5" ht="12.75" customHeight="1">
      <c r="B180" s="28"/>
      <c r="C180" s="90"/>
      <c r="D180" s="90"/>
      <c r="E180" s="90"/>
    </row>
    <row r="181" spans="2:5" ht="12.75" customHeight="1">
      <c r="B181" s="28"/>
      <c r="C181" s="90"/>
      <c r="D181" s="90"/>
      <c r="E181" s="90"/>
    </row>
    <row r="182" spans="2:5" ht="12.75" customHeight="1">
      <c r="B182" s="28"/>
      <c r="C182" s="90"/>
      <c r="D182" s="90"/>
      <c r="E182" s="90"/>
    </row>
    <row r="183" spans="2:5" ht="12.75" customHeight="1">
      <c r="B183" s="28"/>
      <c r="C183" s="90"/>
      <c r="D183" s="90"/>
      <c r="E183" s="90"/>
    </row>
    <row r="184" spans="2:5" ht="12.75" customHeight="1">
      <c r="B184" s="28"/>
      <c r="C184" s="90"/>
      <c r="D184" s="90"/>
      <c r="E184" s="90"/>
    </row>
    <row r="185" spans="2:5" ht="12.75" customHeight="1">
      <c r="B185" s="28"/>
      <c r="C185" s="90"/>
      <c r="D185" s="90"/>
      <c r="E185" s="90"/>
    </row>
    <row r="186" spans="2:5" ht="12.75" customHeight="1">
      <c r="B186" s="28"/>
      <c r="C186" s="90"/>
      <c r="D186" s="90"/>
      <c r="E186" s="90"/>
    </row>
    <row r="187" spans="2:5" ht="12.75" customHeight="1">
      <c r="B187" s="28"/>
      <c r="C187" s="90"/>
      <c r="D187" s="90"/>
      <c r="E187" s="90"/>
    </row>
    <row r="188" spans="2:5" ht="12.75" customHeight="1">
      <c r="B188" s="28"/>
      <c r="C188" s="90"/>
      <c r="D188" s="90"/>
      <c r="E188" s="90"/>
    </row>
    <row r="189" spans="2:5" ht="12.75" customHeight="1">
      <c r="B189" s="28"/>
      <c r="C189" s="90"/>
      <c r="D189" s="90"/>
      <c r="E189" s="90"/>
    </row>
    <row r="190" spans="2:5" ht="12.75" customHeight="1">
      <c r="B190" s="28"/>
      <c r="C190" s="90"/>
      <c r="D190" s="90"/>
      <c r="E190" s="90"/>
    </row>
    <row r="191" spans="2:5" ht="12.75" customHeight="1">
      <c r="B191" s="28"/>
      <c r="C191" s="90"/>
      <c r="D191" s="90"/>
      <c r="E191" s="90"/>
    </row>
    <row r="192" spans="2:5" ht="12.75" customHeight="1">
      <c r="B192" s="28"/>
      <c r="C192" s="90"/>
      <c r="D192" s="90"/>
      <c r="E192" s="90"/>
    </row>
    <row r="193" spans="2:5" ht="12.75" customHeight="1">
      <c r="B193" s="28"/>
      <c r="C193" s="90"/>
      <c r="D193" s="90"/>
      <c r="E193" s="90"/>
    </row>
    <row r="194" spans="2:5" ht="12.75" customHeight="1">
      <c r="B194" s="28"/>
      <c r="C194" s="90"/>
      <c r="D194" s="90"/>
      <c r="E194" s="90"/>
    </row>
    <row r="195" spans="2:5" ht="12.75" customHeight="1">
      <c r="B195" s="28"/>
      <c r="C195" s="90"/>
      <c r="D195" s="90"/>
      <c r="E195" s="90"/>
    </row>
    <row r="196" spans="2:5" ht="12.75" customHeight="1">
      <c r="B196" s="28"/>
      <c r="C196" s="90"/>
      <c r="D196" s="90"/>
      <c r="E196" s="90"/>
    </row>
    <row r="197" spans="2:5" ht="12.75" customHeight="1">
      <c r="B197" s="28"/>
      <c r="C197" s="90"/>
      <c r="D197" s="90"/>
      <c r="E197" s="90"/>
    </row>
    <row r="198" spans="2:5" ht="12.75" customHeight="1">
      <c r="B198" s="28"/>
      <c r="C198" s="90"/>
      <c r="D198" s="90"/>
      <c r="E198" s="90"/>
    </row>
    <row r="199" spans="2:5" ht="12.75" customHeight="1">
      <c r="B199" s="28"/>
      <c r="C199" s="90"/>
      <c r="D199" s="90"/>
      <c r="E199" s="90"/>
    </row>
    <row r="200" spans="2:5" ht="12.75" customHeight="1">
      <c r="B200" s="28"/>
      <c r="C200" s="90"/>
      <c r="D200" s="90"/>
      <c r="E200" s="90"/>
    </row>
    <row r="201" spans="2:5" ht="12.75" customHeight="1">
      <c r="B201" s="28"/>
      <c r="C201" s="90"/>
      <c r="D201" s="90"/>
      <c r="E201" s="90"/>
    </row>
    <row r="202" spans="2:5" ht="12.75" customHeight="1">
      <c r="B202" s="28"/>
      <c r="C202" s="90"/>
      <c r="D202" s="90"/>
      <c r="E202" s="90"/>
    </row>
    <row r="203" spans="2:5" ht="12.75" customHeight="1">
      <c r="B203" s="28"/>
      <c r="C203" s="90"/>
      <c r="D203" s="90"/>
      <c r="E203" s="90"/>
    </row>
    <row r="204" spans="2:5" ht="12.75" customHeight="1">
      <c r="B204" s="28"/>
      <c r="C204" s="90"/>
      <c r="D204" s="90"/>
      <c r="E204" s="90"/>
    </row>
    <row r="205" spans="2:5" ht="12.75" customHeight="1">
      <c r="B205" s="28"/>
      <c r="C205" s="90"/>
      <c r="D205" s="90"/>
      <c r="E205" s="90"/>
    </row>
    <row r="206" spans="2:5" ht="12.75" customHeight="1">
      <c r="B206" s="28"/>
      <c r="C206" s="90"/>
      <c r="D206" s="90"/>
      <c r="E206" s="90"/>
    </row>
    <row r="207" spans="2:5" ht="12.75" customHeight="1">
      <c r="B207" s="28"/>
      <c r="C207" s="90"/>
      <c r="D207" s="90"/>
      <c r="E207" s="90"/>
    </row>
    <row r="208" spans="2:5" ht="12.75" customHeight="1">
      <c r="B208" s="28"/>
      <c r="C208" s="90"/>
      <c r="D208" s="90"/>
      <c r="E208" s="90"/>
    </row>
    <row r="209" spans="2:5" ht="12.75" customHeight="1">
      <c r="B209" s="28"/>
      <c r="C209" s="90"/>
      <c r="D209" s="90"/>
      <c r="E209" s="90"/>
    </row>
    <row r="210" spans="2:5" ht="12.75" customHeight="1">
      <c r="B210" s="28"/>
      <c r="C210" s="90"/>
      <c r="D210" s="90"/>
      <c r="E210" s="90"/>
    </row>
    <row r="211" spans="2:5" ht="12.75" customHeight="1">
      <c r="B211" s="28"/>
      <c r="C211" s="90"/>
      <c r="D211" s="90"/>
      <c r="E211" s="90"/>
    </row>
    <row r="212" spans="2:5" ht="12.75" customHeight="1">
      <c r="B212" s="28"/>
      <c r="C212" s="90"/>
      <c r="D212" s="90"/>
      <c r="E212" s="90"/>
    </row>
    <row r="213" spans="2:5" ht="12.75" customHeight="1">
      <c r="B213" s="28"/>
      <c r="C213" s="90"/>
      <c r="D213" s="90"/>
      <c r="E213" s="90"/>
    </row>
    <row r="214" spans="2:5" ht="12.75" customHeight="1">
      <c r="B214" s="28"/>
      <c r="C214" s="90"/>
      <c r="D214" s="90"/>
      <c r="E214" s="90"/>
    </row>
    <row r="215" spans="2:5" ht="12.75" customHeight="1">
      <c r="B215" s="28"/>
      <c r="C215" s="90"/>
      <c r="D215" s="90"/>
      <c r="E215" s="90"/>
    </row>
    <row r="216" spans="2:5" ht="12.75" customHeight="1">
      <c r="B216" s="28"/>
      <c r="C216" s="90"/>
      <c r="D216" s="90"/>
      <c r="E216" s="90"/>
    </row>
    <row r="217" spans="2:5" ht="12.75" customHeight="1">
      <c r="B217" s="28"/>
      <c r="C217" s="90"/>
      <c r="D217" s="90"/>
      <c r="E217" s="90"/>
    </row>
    <row r="218" spans="2:5" ht="12.75" customHeight="1">
      <c r="B218" s="28"/>
      <c r="C218" s="90"/>
      <c r="D218" s="90"/>
      <c r="E218" s="90"/>
    </row>
    <row r="219" spans="2:5" ht="12.75" customHeight="1">
      <c r="B219" s="28"/>
      <c r="C219" s="90"/>
      <c r="D219" s="90"/>
      <c r="E219" s="90"/>
    </row>
    <row r="220" spans="2:5" ht="12.75" customHeight="1">
      <c r="B220" s="28"/>
      <c r="C220" s="90"/>
      <c r="D220" s="90"/>
      <c r="E220" s="90"/>
    </row>
    <row r="221" spans="2:5" ht="12.75" customHeight="1">
      <c r="B221" s="28"/>
      <c r="C221" s="90"/>
      <c r="D221" s="90"/>
      <c r="E221" s="90"/>
    </row>
    <row r="222" spans="2:5" ht="12.75" customHeight="1">
      <c r="B222" s="28"/>
      <c r="C222" s="90"/>
      <c r="D222" s="90"/>
      <c r="E222" s="90"/>
    </row>
    <row r="223" spans="2:5" ht="12.75" customHeight="1">
      <c r="B223" s="28"/>
      <c r="C223" s="90"/>
      <c r="D223" s="90"/>
      <c r="E223" s="90"/>
    </row>
    <row r="224" spans="2:5" ht="12.75" customHeight="1">
      <c r="B224" s="28"/>
      <c r="C224" s="90"/>
      <c r="D224" s="90"/>
      <c r="E224" s="90"/>
    </row>
    <row r="225" spans="2:5" ht="12.75" customHeight="1">
      <c r="B225" s="28"/>
      <c r="C225" s="90"/>
      <c r="D225" s="90"/>
      <c r="E225" s="90"/>
    </row>
    <row r="226" spans="2:5" ht="12.75" customHeight="1">
      <c r="B226" s="28"/>
      <c r="C226" s="90"/>
      <c r="D226" s="90"/>
      <c r="E226" s="90"/>
    </row>
    <row r="227" spans="2:5" ht="12.75" customHeight="1">
      <c r="B227" s="28"/>
      <c r="C227" s="90"/>
      <c r="D227" s="90"/>
      <c r="E227" s="90"/>
    </row>
    <row r="228" spans="2:5" ht="12.75" customHeight="1">
      <c r="B228" s="28"/>
      <c r="C228" s="90"/>
      <c r="D228" s="90"/>
      <c r="E228" s="90"/>
    </row>
    <row r="229" spans="2:5" ht="12.75" customHeight="1">
      <c r="B229" s="28"/>
      <c r="C229" s="90"/>
      <c r="D229" s="90"/>
      <c r="E229" s="90"/>
    </row>
    <row r="230" spans="2:5" ht="12.75" customHeight="1">
      <c r="B230" s="28"/>
      <c r="C230" s="90"/>
      <c r="D230" s="90"/>
      <c r="E230" s="90"/>
    </row>
    <row r="231" spans="2:5" ht="12.75" customHeight="1">
      <c r="B231" s="28"/>
      <c r="C231" s="90"/>
      <c r="D231" s="90"/>
      <c r="E231" s="90"/>
    </row>
    <row r="232" spans="2:5" ht="12.75" customHeight="1">
      <c r="B232" s="28"/>
      <c r="C232" s="90"/>
      <c r="D232" s="90"/>
      <c r="E232" s="90"/>
    </row>
    <row r="233" spans="2:5" ht="12.75" customHeight="1">
      <c r="B233" s="28"/>
      <c r="C233" s="90"/>
      <c r="D233" s="90"/>
      <c r="E233" s="90"/>
    </row>
    <row r="234" spans="2:5" ht="12.75" customHeight="1">
      <c r="B234" s="28"/>
      <c r="C234" s="90"/>
      <c r="D234" s="90"/>
      <c r="E234" s="90"/>
    </row>
    <row r="235" spans="2:5" ht="12.75" customHeight="1">
      <c r="B235" s="28"/>
      <c r="C235" s="90"/>
      <c r="D235" s="90"/>
      <c r="E235" s="90"/>
    </row>
    <row r="236" spans="2:5" ht="12.75" customHeight="1">
      <c r="B236" s="28"/>
      <c r="C236" s="90"/>
      <c r="D236" s="90"/>
      <c r="E236" s="90"/>
    </row>
    <row r="237" spans="2:5" ht="12.75" customHeight="1">
      <c r="B237" s="28"/>
      <c r="C237" s="90"/>
      <c r="D237" s="90"/>
      <c r="E237" s="90"/>
    </row>
    <row r="238" spans="2:5" ht="12.75" customHeight="1">
      <c r="B238" s="28"/>
      <c r="C238" s="90"/>
      <c r="D238" s="90"/>
      <c r="E238" s="90"/>
    </row>
    <row r="239" spans="2:5" ht="12.75" customHeight="1">
      <c r="B239" s="28"/>
      <c r="C239" s="90"/>
      <c r="D239" s="90"/>
      <c r="E239" s="90"/>
    </row>
    <row r="240" spans="2:5" ht="12.75" customHeight="1">
      <c r="B240" s="28"/>
      <c r="C240" s="90"/>
      <c r="D240" s="90"/>
      <c r="E240" s="90"/>
    </row>
    <row r="241" spans="2:5" ht="12.75" customHeight="1">
      <c r="B241" s="28"/>
      <c r="C241" s="90"/>
      <c r="D241" s="90"/>
      <c r="E241" s="90"/>
    </row>
    <row r="242" spans="2:5" ht="12.75" customHeight="1">
      <c r="B242" s="28"/>
      <c r="C242" s="90"/>
      <c r="D242" s="90"/>
      <c r="E242" s="90"/>
    </row>
    <row r="243" spans="2:5" ht="12.75" customHeight="1">
      <c r="B243" s="28"/>
      <c r="C243" s="90"/>
      <c r="D243" s="90"/>
      <c r="E243" s="90"/>
    </row>
    <row r="244" spans="2:5" ht="12.75" customHeight="1">
      <c r="B244" s="28"/>
      <c r="C244" s="90"/>
      <c r="D244" s="90"/>
      <c r="E244" s="90"/>
    </row>
    <row r="245" spans="2:5" ht="12.75" customHeight="1">
      <c r="B245" s="28"/>
      <c r="C245" s="90"/>
      <c r="D245" s="90"/>
      <c r="E245" s="90"/>
    </row>
    <row r="246" spans="2:5" ht="12.75" customHeight="1">
      <c r="B246" s="28"/>
      <c r="C246" s="90"/>
      <c r="D246" s="90"/>
      <c r="E246" s="90"/>
    </row>
    <row r="247" spans="2:5" ht="12.75" customHeight="1">
      <c r="B247" s="28"/>
      <c r="C247" s="90"/>
      <c r="D247" s="90"/>
      <c r="E247" s="90"/>
    </row>
    <row r="248" spans="2:5" ht="12.75" customHeight="1">
      <c r="B248" s="28"/>
      <c r="C248" s="90"/>
      <c r="D248" s="90"/>
      <c r="E248" s="90"/>
    </row>
    <row r="249" spans="2:5" ht="12.75" customHeight="1">
      <c r="B249" s="28"/>
      <c r="C249" s="90"/>
      <c r="D249" s="90"/>
      <c r="E249" s="90"/>
    </row>
    <row r="250" spans="2:5" ht="12.75" customHeight="1">
      <c r="B250" s="28"/>
      <c r="C250" s="90"/>
      <c r="D250" s="90"/>
      <c r="E250" s="90"/>
    </row>
    <row r="251" spans="2:5" ht="12.75" customHeight="1">
      <c r="B251" s="28"/>
      <c r="C251" s="90"/>
      <c r="D251" s="90"/>
      <c r="E251" s="90"/>
    </row>
    <row r="252" spans="2:5" ht="12.75" customHeight="1">
      <c r="B252" s="28"/>
      <c r="C252" s="90"/>
      <c r="D252" s="90"/>
      <c r="E252" s="90"/>
    </row>
    <row r="253" spans="2:5" ht="12.75" customHeight="1">
      <c r="B253" s="28"/>
      <c r="C253" s="90"/>
      <c r="D253" s="90"/>
      <c r="E253" s="90"/>
    </row>
    <row r="254" spans="2:5" ht="12.75" customHeight="1">
      <c r="B254" s="28"/>
      <c r="C254" s="90"/>
      <c r="D254" s="90"/>
      <c r="E254" s="90"/>
    </row>
    <row r="255" spans="2:5" ht="12.75" customHeight="1">
      <c r="B255" s="28"/>
      <c r="C255" s="90"/>
      <c r="D255" s="90"/>
      <c r="E255" s="90"/>
    </row>
    <row r="256" spans="2:5" ht="12.75" customHeight="1">
      <c r="B256" s="28"/>
      <c r="C256" s="90"/>
      <c r="D256" s="90"/>
      <c r="E256" s="90"/>
    </row>
    <row r="257" spans="2:5" ht="12.75" customHeight="1">
      <c r="B257" s="28"/>
      <c r="C257" s="90"/>
      <c r="D257" s="90"/>
      <c r="E257" s="90"/>
    </row>
    <row r="258" spans="2:5" ht="12.75" customHeight="1">
      <c r="B258" s="28"/>
      <c r="C258" s="90"/>
      <c r="D258" s="90"/>
      <c r="E258" s="90"/>
    </row>
    <row r="259" spans="2:5" ht="12.75" customHeight="1">
      <c r="B259" s="28"/>
      <c r="C259" s="90"/>
      <c r="D259" s="90"/>
      <c r="E259" s="90"/>
    </row>
    <row r="260" spans="2:5" ht="12.75" customHeight="1">
      <c r="B260" s="28"/>
      <c r="C260" s="90"/>
      <c r="D260" s="90"/>
      <c r="E260" s="90"/>
    </row>
    <row r="261" spans="2:5" ht="12.75" customHeight="1">
      <c r="B261" s="28"/>
      <c r="C261" s="90"/>
      <c r="D261" s="90"/>
      <c r="E261" s="90"/>
    </row>
    <row r="262" spans="2:5" ht="12.75" customHeight="1">
      <c r="B262" s="28"/>
      <c r="C262" s="90"/>
      <c r="D262" s="90"/>
      <c r="E262" s="90"/>
    </row>
    <row r="263" spans="2:5" ht="12.75" customHeight="1">
      <c r="B263" s="28"/>
      <c r="C263" s="90"/>
      <c r="D263" s="90"/>
      <c r="E263" s="90"/>
    </row>
    <row r="264" spans="2:5" ht="12.75" customHeight="1">
      <c r="B264" s="28"/>
      <c r="C264" s="90"/>
      <c r="D264" s="90"/>
      <c r="E264" s="90"/>
    </row>
    <row r="265" spans="2:5" ht="12.75" customHeight="1">
      <c r="B265" s="28"/>
      <c r="C265" s="90"/>
      <c r="D265" s="90"/>
      <c r="E265" s="90"/>
    </row>
    <row r="266" spans="2:5" ht="12.75" customHeight="1">
      <c r="B266" s="28"/>
      <c r="C266" s="90"/>
      <c r="D266" s="90"/>
      <c r="E266" s="90"/>
    </row>
    <row r="267" spans="2:5" ht="12.75" customHeight="1">
      <c r="B267" s="28"/>
      <c r="C267" s="90"/>
      <c r="D267" s="90"/>
      <c r="E267" s="90"/>
    </row>
    <row r="268" spans="2:5" ht="12.75" customHeight="1">
      <c r="B268" s="28"/>
      <c r="C268" s="90"/>
      <c r="D268" s="90"/>
      <c r="E268" s="90"/>
    </row>
    <row r="269" spans="2:5" ht="12.75" customHeight="1">
      <c r="B269" s="28"/>
      <c r="C269" s="90"/>
      <c r="D269" s="90"/>
      <c r="E269" s="90"/>
    </row>
    <row r="270" spans="2:5" ht="12.75" customHeight="1">
      <c r="B270" s="28"/>
      <c r="C270" s="90"/>
      <c r="D270" s="90"/>
      <c r="E270" s="90"/>
    </row>
    <row r="271" spans="2:5" ht="12.75" customHeight="1">
      <c r="B271" s="28"/>
      <c r="C271" s="90"/>
      <c r="D271" s="90"/>
      <c r="E271" s="90"/>
    </row>
    <row r="272" spans="2:5" ht="12.75" customHeight="1">
      <c r="B272" s="28"/>
      <c r="C272" s="90"/>
      <c r="D272" s="90"/>
      <c r="E272" s="90"/>
    </row>
    <row r="273" spans="2:5" ht="12.75" customHeight="1">
      <c r="B273" s="28"/>
      <c r="C273" s="90"/>
      <c r="D273" s="90"/>
      <c r="E273" s="90"/>
    </row>
    <row r="274" spans="2:5" ht="12.75" customHeight="1">
      <c r="B274" s="28"/>
      <c r="C274" s="90"/>
      <c r="D274" s="90"/>
      <c r="E274" s="90"/>
    </row>
    <row r="275" spans="2:5" ht="12.75" customHeight="1">
      <c r="B275" s="28"/>
      <c r="C275" s="90"/>
      <c r="D275" s="90"/>
      <c r="E275" s="90"/>
    </row>
    <row r="276" spans="2:5" ht="12.75" customHeight="1">
      <c r="B276" s="28"/>
      <c r="C276" s="90"/>
      <c r="D276" s="90"/>
      <c r="E276" s="90"/>
    </row>
    <row r="277" spans="2:5" ht="12.75" customHeight="1">
      <c r="B277" s="28"/>
      <c r="C277" s="90"/>
      <c r="D277" s="90"/>
      <c r="E277" s="90"/>
    </row>
    <row r="278" spans="2:5" ht="12.75" customHeight="1">
      <c r="B278" s="28"/>
      <c r="C278" s="90"/>
      <c r="D278" s="90"/>
      <c r="E278" s="90"/>
    </row>
    <row r="279" spans="2:5" ht="12.75" customHeight="1">
      <c r="B279" s="28"/>
      <c r="C279" s="90"/>
      <c r="D279" s="90"/>
      <c r="E279" s="90"/>
    </row>
    <row r="280" spans="2:5" ht="12.75" customHeight="1">
      <c r="B280" s="28"/>
      <c r="C280" s="90"/>
      <c r="D280" s="90"/>
      <c r="E280" s="90"/>
    </row>
    <row r="281" spans="2:5" ht="12.75" customHeight="1">
      <c r="B281" s="28"/>
      <c r="C281" s="90"/>
      <c r="D281" s="90"/>
      <c r="E281" s="90"/>
    </row>
    <row r="282" spans="2:5" ht="12.75" customHeight="1">
      <c r="B282" s="28"/>
      <c r="C282" s="90"/>
      <c r="D282" s="90"/>
      <c r="E282" s="90"/>
    </row>
    <row r="283" spans="2:5" ht="12.75" customHeight="1">
      <c r="B283" s="28"/>
      <c r="C283" s="90"/>
      <c r="D283" s="90"/>
      <c r="E283" s="90"/>
    </row>
    <row r="284" spans="2:5" ht="12.75" customHeight="1">
      <c r="B284" s="28"/>
      <c r="C284" s="90"/>
      <c r="D284" s="90"/>
      <c r="E284" s="90"/>
    </row>
    <row r="285" spans="2:5" ht="12.75" customHeight="1">
      <c r="B285" s="28"/>
      <c r="C285" s="90"/>
      <c r="D285" s="90"/>
      <c r="E285" s="90"/>
    </row>
    <row r="286" spans="2:5" ht="12.75" customHeight="1">
      <c r="B286" s="28"/>
      <c r="C286" s="90"/>
      <c r="D286" s="90"/>
      <c r="E286" s="90"/>
    </row>
    <row r="287" spans="2:5" ht="12.75" customHeight="1">
      <c r="B287" s="28"/>
      <c r="C287" s="90"/>
      <c r="D287" s="90"/>
      <c r="E287" s="90"/>
    </row>
    <row r="288" spans="2:5" ht="12.75" customHeight="1">
      <c r="B288" s="28"/>
      <c r="C288" s="90"/>
      <c r="D288" s="90"/>
      <c r="E288" s="90"/>
    </row>
    <row r="289" spans="2:5" ht="12.75" customHeight="1">
      <c r="B289" s="28"/>
      <c r="C289" s="90"/>
      <c r="D289" s="90"/>
      <c r="E289" s="90"/>
    </row>
    <row r="290" spans="2:5" ht="12.75" customHeight="1">
      <c r="B290" s="28"/>
      <c r="C290" s="90"/>
      <c r="D290" s="90"/>
      <c r="E290" s="90"/>
    </row>
    <row r="291" spans="2:5" ht="12.75" customHeight="1">
      <c r="B291" s="28"/>
      <c r="C291" s="90"/>
      <c r="D291" s="90"/>
      <c r="E291" s="90"/>
    </row>
    <row r="292" spans="2:5" ht="12.75" customHeight="1">
      <c r="B292" s="28"/>
      <c r="C292" s="90"/>
      <c r="D292" s="90"/>
      <c r="E292" s="90"/>
    </row>
    <row r="293" spans="2:5" ht="12.75" customHeight="1">
      <c r="B293" s="28"/>
      <c r="C293" s="90"/>
      <c r="D293" s="90"/>
      <c r="E293" s="90"/>
    </row>
    <row r="294" spans="2:5" ht="12.75" customHeight="1">
      <c r="B294" s="28"/>
      <c r="C294" s="90"/>
      <c r="D294" s="90"/>
      <c r="E294" s="90"/>
    </row>
    <row r="295" spans="2:5" ht="12.75" customHeight="1">
      <c r="B295" s="28"/>
      <c r="C295" s="90"/>
      <c r="D295" s="90"/>
      <c r="E295" s="90"/>
    </row>
    <row r="296" spans="2:5" ht="12.75" customHeight="1">
      <c r="B296" s="28"/>
      <c r="C296" s="90"/>
      <c r="D296" s="90"/>
      <c r="E296" s="90"/>
    </row>
    <row r="297" spans="2:5" ht="12.75" customHeight="1">
      <c r="B297" s="28"/>
      <c r="C297" s="90"/>
      <c r="D297" s="90"/>
      <c r="E297" s="90"/>
    </row>
    <row r="298" spans="2:5" ht="12.75" customHeight="1">
      <c r="B298" s="28"/>
      <c r="C298" s="90"/>
      <c r="D298" s="90"/>
      <c r="E298" s="90"/>
    </row>
    <row r="299" spans="2:5" ht="12.75" customHeight="1">
      <c r="B299" s="28"/>
      <c r="C299" s="90"/>
      <c r="D299" s="90"/>
      <c r="E299" s="90"/>
    </row>
    <row r="300" spans="2:5" ht="12.75" customHeight="1">
      <c r="B300" s="28"/>
      <c r="C300" s="90"/>
      <c r="D300" s="90"/>
      <c r="E300" s="90"/>
    </row>
    <row r="301" spans="2:5" ht="12.75" customHeight="1">
      <c r="B301" s="28"/>
      <c r="C301" s="90"/>
      <c r="D301" s="90"/>
      <c r="E301" s="90"/>
    </row>
    <row r="302" spans="2:5" ht="12.75" customHeight="1">
      <c r="B302" s="28"/>
      <c r="C302" s="90"/>
      <c r="D302" s="90"/>
      <c r="E302" s="90"/>
    </row>
    <row r="303" spans="2:5" ht="12.75" customHeight="1">
      <c r="B303" s="28"/>
      <c r="C303" s="90"/>
      <c r="D303" s="90"/>
      <c r="E303" s="90"/>
    </row>
    <row r="304" spans="2:5" ht="12.75" customHeight="1">
      <c r="B304" s="28"/>
      <c r="C304" s="90"/>
      <c r="D304" s="90"/>
      <c r="E304" s="90"/>
    </row>
    <row r="305" spans="2:5" ht="12.75" customHeight="1">
      <c r="B305" s="28"/>
      <c r="C305" s="90"/>
      <c r="D305" s="90"/>
      <c r="E305" s="90"/>
    </row>
    <row r="306" spans="2:5" ht="12.75" customHeight="1">
      <c r="B306" s="28"/>
      <c r="C306" s="90"/>
      <c r="D306" s="90"/>
      <c r="E306" s="90"/>
    </row>
    <row r="307" spans="2:5" ht="12.75" customHeight="1">
      <c r="B307" s="28"/>
      <c r="C307" s="90"/>
      <c r="D307" s="90"/>
      <c r="E307" s="90"/>
    </row>
    <row r="308" spans="2:5" ht="12.75" customHeight="1">
      <c r="B308" s="28"/>
      <c r="C308" s="90"/>
      <c r="D308" s="90"/>
      <c r="E308" s="90"/>
    </row>
    <row r="309" spans="2:5" ht="12.75" customHeight="1">
      <c r="B309" s="28"/>
      <c r="C309" s="90"/>
      <c r="D309" s="90"/>
      <c r="E309" s="90"/>
    </row>
    <row r="310" spans="2:5" ht="12.75" customHeight="1">
      <c r="B310" s="28"/>
      <c r="C310" s="90"/>
      <c r="D310" s="90"/>
      <c r="E310" s="90"/>
    </row>
    <row r="311" spans="2:5" ht="12.75" customHeight="1">
      <c r="B311" s="28"/>
      <c r="C311" s="90"/>
      <c r="D311" s="90"/>
      <c r="E311" s="90"/>
    </row>
    <row r="312" spans="2:5" ht="12.75" customHeight="1">
      <c r="B312" s="28"/>
      <c r="C312" s="90"/>
      <c r="D312" s="90"/>
      <c r="E312" s="90"/>
    </row>
    <row r="313" spans="2:5" ht="12.75" customHeight="1">
      <c r="B313" s="28"/>
      <c r="C313" s="90"/>
      <c r="D313" s="90"/>
      <c r="E313" s="90"/>
    </row>
    <row r="314" spans="2:5" ht="12.75" customHeight="1">
      <c r="B314" s="28"/>
      <c r="C314" s="90"/>
      <c r="D314" s="90"/>
      <c r="E314" s="90"/>
    </row>
    <row r="315" spans="2:5" ht="12.75" customHeight="1">
      <c r="B315" s="28"/>
      <c r="C315" s="90"/>
      <c r="D315" s="90"/>
      <c r="E315" s="90"/>
    </row>
    <row r="316" spans="2:5" ht="12.75" customHeight="1">
      <c r="B316" s="28"/>
      <c r="C316" s="90"/>
      <c r="D316" s="90"/>
      <c r="E316" s="90"/>
    </row>
    <row r="317" spans="2:5" ht="12.75" customHeight="1">
      <c r="B317" s="28"/>
      <c r="C317" s="90"/>
      <c r="D317" s="90"/>
      <c r="E317" s="90"/>
    </row>
    <row r="318" spans="2:5" ht="12.75" customHeight="1">
      <c r="B318" s="28"/>
      <c r="C318" s="90"/>
      <c r="D318" s="90"/>
      <c r="E318" s="90"/>
    </row>
    <row r="319" spans="2:5" ht="12.75" customHeight="1">
      <c r="B319" s="28"/>
      <c r="C319" s="90"/>
      <c r="D319" s="90"/>
      <c r="E319" s="90"/>
    </row>
    <row r="320" spans="2:5" ht="12.75" customHeight="1">
      <c r="B320" s="28"/>
      <c r="C320" s="90"/>
      <c r="D320" s="90"/>
      <c r="E320" s="90"/>
    </row>
    <row r="321" spans="2:5" ht="12.75" customHeight="1">
      <c r="B321" s="28"/>
      <c r="C321" s="90"/>
      <c r="D321" s="90"/>
      <c r="E321" s="90"/>
    </row>
    <row r="322" spans="2:5" ht="12.75" customHeight="1">
      <c r="B322" s="28"/>
      <c r="C322" s="90"/>
      <c r="D322" s="90"/>
      <c r="E322" s="90"/>
    </row>
    <row r="323" spans="2:5" ht="12.75" customHeight="1">
      <c r="B323" s="28"/>
      <c r="C323" s="90"/>
      <c r="D323" s="90"/>
      <c r="E323" s="90"/>
    </row>
    <row r="324" spans="2:5" ht="12.75" customHeight="1">
      <c r="B324" s="28"/>
      <c r="C324" s="90"/>
      <c r="D324" s="90"/>
      <c r="E324" s="90"/>
    </row>
    <row r="325" spans="2:5" ht="12.75" customHeight="1">
      <c r="B325" s="28"/>
      <c r="C325" s="90"/>
      <c r="D325" s="90"/>
      <c r="E325" s="90"/>
    </row>
    <row r="326" spans="2:5" ht="12.75" customHeight="1">
      <c r="B326" s="28"/>
      <c r="C326" s="90"/>
      <c r="D326" s="90"/>
      <c r="E326" s="90"/>
    </row>
    <row r="327" spans="2:5" ht="12.75" customHeight="1">
      <c r="B327" s="28"/>
      <c r="C327" s="90"/>
      <c r="D327" s="90"/>
      <c r="E327" s="90"/>
    </row>
    <row r="328" spans="2:5" ht="12.75" customHeight="1">
      <c r="B328" s="28"/>
      <c r="C328" s="90"/>
      <c r="D328" s="90"/>
      <c r="E328" s="90"/>
    </row>
    <row r="329" spans="2:5" ht="12.75" customHeight="1">
      <c r="B329" s="28"/>
      <c r="C329" s="90"/>
      <c r="D329" s="90"/>
      <c r="E329" s="90"/>
    </row>
    <row r="330" spans="2:5" ht="12.75" customHeight="1">
      <c r="B330" s="28"/>
      <c r="C330" s="90"/>
      <c r="D330" s="90"/>
      <c r="E330" s="90"/>
    </row>
    <row r="331" spans="2:5" ht="12.75" customHeight="1">
      <c r="B331" s="28"/>
      <c r="C331" s="90"/>
      <c r="D331" s="90"/>
      <c r="E331" s="90"/>
    </row>
    <row r="332" spans="2:5" ht="12.75" customHeight="1">
      <c r="B332" s="28"/>
      <c r="C332" s="90"/>
      <c r="D332" s="90"/>
      <c r="E332" s="90"/>
    </row>
    <row r="333" spans="2:5" ht="12.75" customHeight="1">
      <c r="B333" s="28"/>
      <c r="C333" s="90"/>
      <c r="D333" s="90"/>
      <c r="E333" s="90"/>
    </row>
    <row r="334" spans="2:5" ht="12.75" customHeight="1">
      <c r="B334" s="28"/>
      <c r="C334" s="90"/>
      <c r="D334" s="90"/>
      <c r="E334" s="90"/>
    </row>
    <row r="335" spans="2:5" ht="12.75" customHeight="1">
      <c r="B335" s="28"/>
      <c r="C335" s="90"/>
      <c r="D335" s="90"/>
      <c r="E335" s="90"/>
    </row>
    <row r="336" spans="2:5" ht="12.75" customHeight="1">
      <c r="B336" s="28"/>
      <c r="C336" s="90"/>
      <c r="D336" s="90"/>
      <c r="E336" s="90"/>
    </row>
    <row r="337" spans="2:5" ht="12.75" customHeight="1">
      <c r="B337" s="28"/>
      <c r="C337" s="90"/>
      <c r="D337" s="90"/>
      <c r="E337" s="90"/>
    </row>
    <row r="338" spans="2:5" ht="12.75" customHeight="1">
      <c r="B338" s="28"/>
      <c r="C338" s="90"/>
      <c r="D338" s="90"/>
      <c r="E338" s="90"/>
    </row>
    <row r="339" spans="2:5" ht="12.75" customHeight="1">
      <c r="B339" s="28"/>
      <c r="C339" s="90"/>
      <c r="D339" s="90"/>
      <c r="E339" s="90"/>
    </row>
    <row r="340" spans="2:5" ht="12.75" customHeight="1">
      <c r="B340" s="28"/>
      <c r="C340" s="90"/>
      <c r="D340" s="90"/>
      <c r="E340" s="90"/>
    </row>
    <row r="341" spans="2:5" ht="12.75" customHeight="1">
      <c r="B341" s="28"/>
      <c r="C341" s="90"/>
      <c r="D341" s="90"/>
      <c r="E341" s="90"/>
    </row>
    <row r="342" spans="2:5" ht="12.75" customHeight="1">
      <c r="B342" s="28"/>
      <c r="C342" s="90"/>
      <c r="D342" s="90"/>
      <c r="E342" s="90"/>
    </row>
    <row r="343" spans="2:5" ht="12.75" customHeight="1">
      <c r="B343" s="28"/>
      <c r="C343" s="90"/>
      <c r="D343" s="90"/>
      <c r="E343" s="90"/>
    </row>
    <row r="344" spans="2:5" ht="12.75" customHeight="1">
      <c r="B344" s="28"/>
      <c r="C344" s="90"/>
      <c r="D344" s="90"/>
      <c r="E344" s="90"/>
    </row>
    <row r="345" spans="2:5" ht="12.75" customHeight="1">
      <c r="B345" s="28"/>
      <c r="C345" s="90"/>
      <c r="D345" s="90"/>
      <c r="E345" s="90"/>
    </row>
    <row r="346" spans="2:5" ht="12.75" customHeight="1">
      <c r="B346" s="28"/>
      <c r="C346" s="90"/>
      <c r="D346" s="90"/>
      <c r="E346" s="90"/>
    </row>
    <row r="347" spans="2:5" ht="12.75" customHeight="1">
      <c r="B347" s="28"/>
      <c r="C347" s="90"/>
      <c r="D347" s="90"/>
      <c r="E347" s="90"/>
    </row>
    <row r="348" spans="2:5" ht="12.75" customHeight="1">
      <c r="B348" s="28"/>
      <c r="C348" s="90"/>
      <c r="D348" s="90"/>
      <c r="E348" s="90"/>
    </row>
    <row r="349" spans="2:5" ht="12.75" customHeight="1">
      <c r="B349" s="28"/>
      <c r="C349" s="90"/>
      <c r="D349" s="90"/>
      <c r="E349" s="90"/>
    </row>
    <row r="350" spans="2:5" ht="12.75" customHeight="1">
      <c r="B350" s="28"/>
      <c r="C350" s="90"/>
      <c r="D350" s="90"/>
      <c r="E350" s="90"/>
    </row>
    <row r="351" spans="2:5" ht="12.75" customHeight="1">
      <c r="B351" s="28"/>
      <c r="C351" s="90"/>
      <c r="D351" s="90"/>
      <c r="E351" s="90"/>
    </row>
    <row r="352" spans="2:5" ht="12.75" customHeight="1">
      <c r="B352" s="28"/>
      <c r="C352" s="90"/>
      <c r="D352" s="90"/>
      <c r="E352" s="90"/>
    </row>
    <row r="353" spans="2:5" ht="12.75" customHeight="1">
      <c r="B353" s="28"/>
      <c r="C353" s="90"/>
      <c r="D353" s="90"/>
      <c r="E353" s="90"/>
    </row>
    <row r="354" spans="2:5" ht="12.75" customHeight="1">
      <c r="B354" s="28"/>
      <c r="C354" s="90"/>
      <c r="D354" s="90"/>
      <c r="E354" s="90"/>
    </row>
    <row r="355" spans="2:5" ht="12.75" customHeight="1">
      <c r="B355" s="28"/>
      <c r="C355" s="90"/>
      <c r="D355" s="90"/>
      <c r="E355" s="90"/>
    </row>
    <row r="356" spans="2:5" ht="12.75" customHeight="1">
      <c r="B356" s="28"/>
      <c r="C356" s="90"/>
      <c r="D356" s="90"/>
      <c r="E356" s="90"/>
    </row>
    <row r="357" spans="2:5" ht="12.75" customHeight="1">
      <c r="B357" s="28"/>
      <c r="C357" s="90"/>
      <c r="D357" s="90"/>
      <c r="E357" s="90"/>
    </row>
    <row r="358" spans="2:5" ht="12.75" customHeight="1">
      <c r="B358" s="28"/>
      <c r="C358" s="90"/>
      <c r="D358" s="90"/>
      <c r="E358" s="90"/>
    </row>
    <row r="359" spans="2:5" ht="12.75" customHeight="1">
      <c r="B359" s="28"/>
      <c r="C359" s="90"/>
      <c r="D359" s="90"/>
      <c r="E359" s="90"/>
    </row>
    <row r="360" spans="2:5" ht="12.75" customHeight="1">
      <c r="B360" s="28"/>
      <c r="C360" s="90"/>
      <c r="D360" s="90"/>
      <c r="E360" s="90"/>
    </row>
    <row r="361" spans="2:5" ht="12.75" customHeight="1">
      <c r="B361" s="28"/>
      <c r="C361" s="90"/>
      <c r="D361" s="90"/>
      <c r="E361" s="90"/>
    </row>
    <row r="362" spans="2:5" ht="12.75" customHeight="1">
      <c r="B362" s="28"/>
      <c r="C362" s="90"/>
      <c r="D362" s="90"/>
      <c r="E362" s="90"/>
    </row>
    <row r="363" spans="2:5" ht="12.75" customHeight="1">
      <c r="B363" s="28"/>
      <c r="C363" s="90"/>
      <c r="D363" s="90"/>
      <c r="E363" s="90"/>
    </row>
    <row r="364" spans="2:5" ht="12.75" customHeight="1">
      <c r="B364" s="28"/>
      <c r="C364" s="90"/>
      <c r="D364" s="90"/>
      <c r="E364" s="90"/>
    </row>
    <row r="365" spans="2:5" ht="12.75" customHeight="1">
      <c r="B365" s="28"/>
      <c r="C365" s="90"/>
      <c r="D365" s="90"/>
      <c r="E365" s="90"/>
    </row>
    <row r="366" spans="2:5" ht="12.75" customHeight="1">
      <c r="B366" s="28"/>
      <c r="C366" s="90"/>
      <c r="D366" s="90"/>
      <c r="E366" s="90"/>
    </row>
    <row r="367" spans="2:5" ht="12.75" customHeight="1">
      <c r="B367" s="28"/>
      <c r="C367" s="90"/>
      <c r="D367" s="90"/>
      <c r="E367" s="90"/>
    </row>
    <row r="368" spans="2:5" ht="12.75" customHeight="1">
      <c r="B368" s="28"/>
      <c r="C368" s="90"/>
      <c r="D368" s="90"/>
      <c r="E368" s="90"/>
    </row>
    <row r="369" spans="2:5" ht="12.75" customHeight="1">
      <c r="B369" s="28"/>
      <c r="C369" s="90"/>
      <c r="D369" s="90"/>
      <c r="E369" s="90"/>
    </row>
    <row r="370" spans="2:5" ht="12.75" customHeight="1">
      <c r="B370" s="28"/>
      <c r="C370" s="90"/>
      <c r="D370" s="90"/>
      <c r="E370" s="90"/>
    </row>
    <row r="371" spans="2:5" ht="12.75" customHeight="1">
      <c r="B371" s="28"/>
      <c r="C371" s="90"/>
      <c r="D371" s="90"/>
      <c r="E371" s="90"/>
    </row>
    <row r="372" spans="2:5" ht="12.75" customHeight="1">
      <c r="B372" s="28"/>
      <c r="C372" s="90"/>
      <c r="D372" s="90"/>
      <c r="E372" s="90"/>
    </row>
    <row r="373" spans="2:5" ht="12.75" customHeight="1">
      <c r="B373" s="28"/>
      <c r="C373" s="90"/>
      <c r="D373" s="90"/>
      <c r="E373" s="90"/>
    </row>
    <row r="374" spans="2:5" ht="12.75" customHeight="1">
      <c r="B374" s="28"/>
      <c r="C374" s="90"/>
      <c r="D374" s="90"/>
      <c r="E374" s="90"/>
    </row>
    <row r="375" spans="2:5" ht="12.75" customHeight="1">
      <c r="B375" s="28"/>
      <c r="C375" s="90"/>
      <c r="D375" s="90"/>
      <c r="E375" s="90"/>
    </row>
    <row r="376" spans="2:5" ht="12.75" customHeight="1">
      <c r="B376" s="28"/>
      <c r="C376" s="90"/>
      <c r="D376" s="90"/>
      <c r="E376" s="90"/>
    </row>
    <row r="377" spans="2:5" ht="12.75" customHeight="1">
      <c r="B377" s="28"/>
      <c r="C377" s="90"/>
      <c r="D377" s="90"/>
      <c r="E377" s="90"/>
    </row>
    <row r="378" spans="2:5" ht="12.75" customHeight="1">
      <c r="B378" s="28"/>
      <c r="C378" s="90"/>
      <c r="D378" s="90"/>
      <c r="E378" s="90"/>
    </row>
    <row r="379" spans="2:5" ht="12.75" customHeight="1">
      <c r="B379" s="28"/>
      <c r="C379" s="90"/>
      <c r="D379" s="90"/>
      <c r="E379" s="90"/>
    </row>
    <row r="380" spans="2:5" ht="12.75" customHeight="1">
      <c r="B380" s="28"/>
      <c r="C380" s="90"/>
      <c r="D380" s="90"/>
      <c r="E380" s="90"/>
    </row>
    <row r="381" spans="2:5" ht="12.75" customHeight="1">
      <c r="B381" s="28"/>
      <c r="C381" s="90"/>
      <c r="D381" s="90"/>
      <c r="E381" s="90"/>
    </row>
    <row r="382" spans="2:5" ht="12.75" customHeight="1">
      <c r="B382" s="28"/>
      <c r="C382" s="90"/>
      <c r="D382" s="90"/>
      <c r="E382" s="90"/>
    </row>
    <row r="383" spans="2:5" ht="12.75" customHeight="1">
      <c r="B383" s="28"/>
      <c r="C383" s="90"/>
      <c r="D383" s="90"/>
      <c r="E383" s="90"/>
    </row>
    <row r="384" spans="2:5" ht="12.75" customHeight="1">
      <c r="B384" s="28"/>
      <c r="C384" s="90"/>
      <c r="D384" s="90"/>
      <c r="E384" s="90"/>
    </row>
    <row r="385" spans="2:5" ht="12.75" customHeight="1">
      <c r="B385" s="28"/>
      <c r="C385" s="90"/>
      <c r="D385" s="90"/>
      <c r="E385" s="90"/>
    </row>
    <row r="386" spans="2:5" ht="12.75" customHeight="1">
      <c r="B386" s="28"/>
      <c r="C386" s="90"/>
      <c r="D386" s="90"/>
      <c r="E386" s="90"/>
    </row>
    <row r="387" spans="2:5" ht="12.75" customHeight="1">
      <c r="B387" s="28"/>
      <c r="C387" s="90"/>
      <c r="D387" s="90"/>
      <c r="E387" s="90"/>
    </row>
    <row r="388" spans="2:5" ht="12.75" customHeight="1">
      <c r="B388" s="28"/>
      <c r="C388" s="90"/>
      <c r="D388" s="90"/>
      <c r="E388" s="90"/>
    </row>
    <row r="389" spans="2:5" ht="12.75" customHeight="1">
      <c r="B389" s="28"/>
      <c r="C389" s="90"/>
      <c r="D389" s="90"/>
      <c r="E389" s="90"/>
    </row>
    <row r="390" spans="2:5" ht="12.75" customHeight="1">
      <c r="B390" s="28"/>
      <c r="C390" s="90"/>
      <c r="D390" s="90"/>
      <c r="E390" s="90"/>
    </row>
    <row r="391" spans="2:5" ht="12.75" customHeight="1">
      <c r="B391" s="28"/>
      <c r="C391" s="90"/>
      <c r="D391" s="90"/>
      <c r="E391" s="90"/>
    </row>
    <row r="392" spans="2:5" ht="12.75" customHeight="1">
      <c r="B392" s="28"/>
      <c r="C392" s="90"/>
      <c r="D392" s="90"/>
      <c r="E392" s="90"/>
    </row>
    <row r="393" spans="2:5" ht="12.75" customHeight="1">
      <c r="B393" s="28"/>
      <c r="C393" s="90"/>
      <c r="D393" s="90"/>
      <c r="E393" s="90"/>
    </row>
    <row r="394" spans="2:5" ht="12.75" customHeight="1">
      <c r="B394" s="28"/>
      <c r="C394" s="90"/>
      <c r="D394" s="90"/>
      <c r="E394" s="90"/>
    </row>
    <row r="395" spans="2:5" ht="12.75" customHeight="1">
      <c r="B395" s="28"/>
      <c r="C395" s="90"/>
      <c r="D395" s="90"/>
      <c r="E395" s="90"/>
    </row>
    <row r="396" spans="2:5" ht="12.75" customHeight="1">
      <c r="B396" s="28"/>
      <c r="C396" s="90"/>
      <c r="D396" s="90"/>
      <c r="E396" s="90"/>
    </row>
    <row r="397" spans="2:5" ht="12.75" customHeight="1">
      <c r="B397" s="28"/>
      <c r="C397" s="90"/>
      <c r="D397" s="90"/>
      <c r="E397" s="90"/>
    </row>
    <row r="398" spans="2:5" ht="12.75" customHeight="1">
      <c r="B398" s="28"/>
      <c r="C398" s="90"/>
      <c r="D398" s="90"/>
      <c r="E398" s="90"/>
    </row>
    <row r="399" spans="2:5" ht="12.75" customHeight="1">
      <c r="B399" s="28"/>
      <c r="C399" s="90"/>
      <c r="D399" s="90"/>
      <c r="E399" s="90"/>
    </row>
    <row r="400" spans="2:5" ht="12.75" customHeight="1">
      <c r="B400" s="28"/>
      <c r="C400" s="90"/>
      <c r="D400" s="90"/>
      <c r="E400" s="90"/>
    </row>
    <row r="401" spans="2:5" ht="12.75" customHeight="1">
      <c r="B401" s="28"/>
      <c r="C401" s="90"/>
      <c r="D401" s="90"/>
      <c r="E401" s="90"/>
    </row>
    <row r="402" spans="2:5" ht="12.75" customHeight="1">
      <c r="B402" s="28"/>
      <c r="C402" s="90"/>
      <c r="D402" s="90"/>
      <c r="E402" s="90"/>
    </row>
    <row r="403" spans="2:5" ht="12.75" customHeight="1">
      <c r="B403" s="28"/>
      <c r="C403" s="90"/>
      <c r="D403" s="90"/>
      <c r="E403" s="90"/>
    </row>
    <row r="404" spans="2:5" ht="12.75" customHeight="1">
      <c r="B404" s="28"/>
      <c r="C404" s="90"/>
      <c r="D404" s="90"/>
      <c r="E404" s="90"/>
    </row>
    <row r="405" spans="2:5" ht="12.75" customHeight="1">
      <c r="B405" s="28"/>
      <c r="C405" s="90"/>
      <c r="D405" s="90"/>
      <c r="E405" s="90"/>
    </row>
    <row r="406" spans="2:5" ht="12.75" customHeight="1">
      <c r="B406" s="28"/>
      <c r="C406" s="90"/>
      <c r="D406" s="90"/>
      <c r="E406" s="90"/>
    </row>
    <row r="407" spans="2:5" ht="12.75" customHeight="1">
      <c r="B407" s="28"/>
      <c r="C407" s="90"/>
      <c r="D407" s="90"/>
      <c r="E407" s="90"/>
    </row>
    <row r="408" spans="2:5" ht="12.75" customHeight="1">
      <c r="B408" s="28"/>
      <c r="C408" s="90"/>
      <c r="D408" s="90"/>
      <c r="E408" s="90"/>
    </row>
    <row r="409" spans="2:5" ht="12.75" customHeight="1">
      <c r="B409" s="28"/>
      <c r="C409" s="90"/>
      <c r="D409" s="90"/>
      <c r="E409" s="90"/>
    </row>
    <row r="410" spans="2:5" ht="12.75" customHeight="1">
      <c r="B410" s="28"/>
      <c r="C410" s="90"/>
      <c r="D410" s="90"/>
      <c r="E410" s="90"/>
    </row>
    <row r="411" spans="2:5" ht="12.75" customHeight="1">
      <c r="B411" s="28"/>
      <c r="C411" s="90"/>
      <c r="D411" s="90"/>
      <c r="E411" s="90"/>
    </row>
    <row r="412" spans="2:5" ht="12.75" customHeight="1">
      <c r="B412" s="28"/>
      <c r="C412" s="90"/>
      <c r="D412" s="90"/>
      <c r="E412" s="90"/>
    </row>
    <row r="413" spans="2:5" ht="12.75" customHeight="1">
      <c r="B413" s="28"/>
      <c r="C413" s="90"/>
      <c r="D413" s="90"/>
      <c r="E413" s="90"/>
    </row>
    <row r="414" spans="2:5" ht="12.75" customHeight="1">
      <c r="B414" s="28"/>
      <c r="C414" s="90"/>
      <c r="D414" s="90"/>
      <c r="E414" s="90"/>
    </row>
    <row r="415" spans="2:5" ht="12.75" customHeight="1">
      <c r="B415" s="28"/>
      <c r="C415" s="90"/>
      <c r="D415" s="90"/>
      <c r="E415" s="90"/>
    </row>
    <row r="416" spans="2:5" ht="12.75" customHeight="1">
      <c r="B416" s="28"/>
      <c r="C416" s="90"/>
      <c r="D416" s="90"/>
      <c r="E416" s="90"/>
    </row>
    <row r="417" spans="2:5" ht="12.75" customHeight="1">
      <c r="B417" s="28"/>
      <c r="C417" s="90"/>
      <c r="D417" s="90"/>
      <c r="E417" s="90"/>
    </row>
    <row r="418" spans="2:5" ht="12.75" customHeight="1">
      <c r="B418" s="28"/>
      <c r="C418" s="90"/>
      <c r="D418" s="90"/>
      <c r="E418" s="90"/>
    </row>
    <row r="419" spans="2:5" ht="12.75" customHeight="1">
      <c r="B419" s="28"/>
      <c r="C419" s="90"/>
      <c r="D419" s="90"/>
      <c r="E419" s="90"/>
    </row>
    <row r="420" spans="2:5" ht="12.75" customHeight="1">
      <c r="B420" s="28"/>
      <c r="C420" s="90"/>
      <c r="D420" s="90"/>
      <c r="E420" s="90"/>
    </row>
    <row r="421" spans="2:5" ht="12.75" customHeight="1">
      <c r="B421" s="28"/>
      <c r="C421" s="90"/>
      <c r="D421" s="90"/>
      <c r="E421" s="90"/>
    </row>
    <row r="422" spans="2:5" ht="12.75" customHeight="1">
      <c r="B422" s="28"/>
      <c r="C422" s="90"/>
      <c r="D422" s="90"/>
      <c r="E422" s="90"/>
    </row>
    <row r="423" spans="2:5" ht="12.75" customHeight="1">
      <c r="B423" s="28"/>
      <c r="C423" s="90"/>
      <c r="D423" s="90"/>
      <c r="E423" s="90"/>
    </row>
    <row r="424" spans="2:5" ht="12.75" customHeight="1">
      <c r="B424" s="28"/>
      <c r="C424" s="90"/>
      <c r="D424" s="90"/>
      <c r="E424" s="90"/>
    </row>
    <row r="425" spans="2:5" ht="12.75" customHeight="1">
      <c r="B425" s="28"/>
      <c r="C425" s="90"/>
      <c r="D425" s="90"/>
      <c r="E425" s="90"/>
    </row>
    <row r="426" spans="2:5" ht="12.75" customHeight="1">
      <c r="B426" s="28"/>
      <c r="C426" s="90"/>
      <c r="D426" s="90"/>
      <c r="E426" s="90"/>
    </row>
    <row r="427" spans="2:5" ht="12.75" customHeight="1">
      <c r="B427" s="28"/>
      <c r="C427" s="90"/>
      <c r="D427" s="90"/>
      <c r="E427" s="90"/>
    </row>
    <row r="428" spans="2:5" ht="12.75" customHeight="1">
      <c r="B428" s="28"/>
      <c r="C428" s="90"/>
      <c r="D428" s="90"/>
      <c r="E428" s="90"/>
    </row>
    <row r="429" spans="2:5" ht="12.75" customHeight="1">
      <c r="B429" s="28"/>
      <c r="C429" s="90"/>
      <c r="D429" s="90"/>
      <c r="E429" s="90"/>
    </row>
    <row r="430" spans="2:5" ht="12.75" customHeight="1">
      <c r="B430" s="28"/>
      <c r="C430" s="90"/>
      <c r="D430" s="90"/>
      <c r="E430" s="90"/>
    </row>
    <row r="431" spans="2:5" ht="12.75" customHeight="1">
      <c r="B431" s="28"/>
      <c r="C431" s="90"/>
      <c r="D431" s="90"/>
      <c r="E431" s="90"/>
    </row>
    <row r="432" spans="2:5" ht="12.75" customHeight="1">
      <c r="B432" s="28"/>
      <c r="C432" s="90"/>
      <c r="D432" s="90"/>
      <c r="E432" s="90"/>
    </row>
    <row r="433" spans="2:5" ht="12.75" customHeight="1">
      <c r="B433" s="28"/>
      <c r="C433" s="90"/>
      <c r="D433" s="90"/>
      <c r="E433" s="90"/>
    </row>
    <row r="434" spans="2:5" ht="12.75" customHeight="1">
      <c r="B434" s="28"/>
      <c r="C434" s="90"/>
      <c r="D434" s="90"/>
      <c r="E434" s="90"/>
    </row>
    <row r="435" spans="2:5" ht="12.75" customHeight="1">
      <c r="B435" s="28"/>
      <c r="C435" s="90"/>
      <c r="D435" s="90"/>
      <c r="E435" s="90"/>
    </row>
    <row r="436" spans="2:5" ht="12.75" customHeight="1">
      <c r="B436" s="28"/>
      <c r="C436" s="90"/>
      <c r="D436" s="90"/>
      <c r="E436" s="90"/>
    </row>
    <row r="437" spans="2:5" ht="12.75" customHeight="1">
      <c r="B437" s="28"/>
      <c r="C437" s="90"/>
      <c r="D437" s="90"/>
      <c r="E437" s="90"/>
    </row>
    <row r="438" spans="2:5" ht="12.75" customHeight="1">
      <c r="B438" s="28"/>
      <c r="C438" s="90"/>
      <c r="D438" s="90"/>
      <c r="E438" s="90"/>
    </row>
    <row r="439" spans="2:5" ht="12.75" customHeight="1">
      <c r="B439" s="28"/>
      <c r="C439" s="90"/>
      <c r="D439" s="90"/>
      <c r="E439" s="90"/>
    </row>
    <row r="440" spans="2:5" ht="12.75" customHeight="1">
      <c r="B440" s="28"/>
      <c r="C440" s="90"/>
      <c r="D440" s="90"/>
      <c r="E440" s="90"/>
    </row>
    <row r="441" spans="2:5" ht="12.75" customHeight="1">
      <c r="B441" s="28"/>
      <c r="C441" s="90"/>
      <c r="D441" s="90"/>
      <c r="E441" s="90"/>
    </row>
    <row r="442" spans="2:5" ht="12.75" customHeight="1">
      <c r="B442" s="28"/>
      <c r="C442" s="90"/>
      <c r="D442" s="90"/>
      <c r="E442" s="90"/>
    </row>
    <row r="443" spans="2:5" ht="12.75" customHeight="1">
      <c r="B443" s="28"/>
      <c r="C443" s="90"/>
      <c r="D443" s="90"/>
      <c r="E443" s="90"/>
    </row>
    <row r="444" spans="2:5" ht="12.75" customHeight="1">
      <c r="B444" s="28"/>
      <c r="C444" s="90"/>
      <c r="D444" s="90"/>
      <c r="E444" s="90"/>
    </row>
    <row r="445" spans="2:5" ht="12.75" customHeight="1">
      <c r="B445" s="28"/>
      <c r="C445" s="90"/>
      <c r="D445" s="90"/>
      <c r="E445" s="90"/>
    </row>
    <row r="446" spans="2:5" ht="12.75" customHeight="1">
      <c r="B446" s="28"/>
      <c r="C446" s="90"/>
      <c r="D446" s="90"/>
      <c r="E446" s="90"/>
    </row>
    <row r="447" spans="2:5" ht="12.75" customHeight="1">
      <c r="B447" s="28"/>
      <c r="C447" s="90"/>
      <c r="D447" s="90"/>
      <c r="E447" s="90"/>
    </row>
    <row r="448" spans="2:5" ht="12.75" customHeight="1">
      <c r="B448" s="28"/>
      <c r="C448" s="90"/>
      <c r="D448" s="90"/>
      <c r="E448" s="90"/>
    </row>
    <row r="449" spans="2:5" ht="12.75" customHeight="1">
      <c r="B449" s="28"/>
      <c r="C449" s="90"/>
      <c r="D449" s="90"/>
      <c r="E449" s="90"/>
    </row>
    <row r="450" spans="2:5" ht="12.75" customHeight="1">
      <c r="B450" s="28"/>
      <c r="C450" s="90"/>
      <c r="D450" s="90"/>
      <c r="E450" s="90"/>
    </row>
    <row r="451" spans="2:5" ht="12.75" customHeight="1">
      <c r="B451" s="28"/>
      <c r="C451" s="90"/>
      <c r="D451" s="90"/>
      <c r="E451" s="90"/>
    </row>
    <row r="452" spans="2:5" ht="12.75" customHeight="1">
      <c r="B452" s="28"/>
      <c r="C452" s="90"/>
      <c r="D452" s="90"/>
      <c r="E452" s="90"/>
    </row>
    <row r="453" spans="2:5" ht="12.75" customHeight="1">
      <c r="B453" s="28"/>
      <c r="C453" s="90"/>
      <c r="D453" s="90"/>
      <c r="E453" s="90"/>
    </row>
    <row r="454" spans="2:5" ht="12.75" customHeight="1">
      <c r="B454" s="28"/>
      <c r="C454" s="90"/>
      <c r="D454" s="90"/>
      <c r="E454" s="90"/>
    </row>
    <row r="455" spans="2:5" ht="12.75" customHeight="1">
      <c r="B455" s="28"/>
      <c r="C455" s="90"/>
      <c r="D455" s="90"/>
      <c r="E455" s="90"/>
    </row>
    <row r="456" spans="2:5" ht="12.75" customHeight="1">
      <c r="B456" s="28"/>
      <c r="C456" s="90"/>
      <c r="D456" s="90"/>
      <c r="E456" s="90"/>
    </row>
    <row r="457" spans="2:5" ht="12.75" customHeight="1">
      <c r="B457" s="28"/>
      <c r="C457" s="90"/>
      <c r="D457" s="90"/>
      <c r="E457" s="90"/>
    </row>
    <row r="458" spans="2:5" ht="12.75" customHeight="1">
      <c r="B458" s="28"/>
      <c r="C458" s="90"/>
      <c r="D458" s="90"/>
      <c r="E458" s="90"/>
    </row>
    <row r="459" spans="2:5" ht="12.75" customHeight="1">
      <c r="B459" s="28"/>
      <c r="C459" s="90"/>
      <c r="D459" s="90"/>
      <c r="E459" s="90"/>
    </row>
    <row r="460" spans="2:5" ht="12.75" customHeight="1">
      <c r="B460" s="28"/>
      <c r="C460" s="90"/>
      <c r="D460" s="90"/>
      <c r="E460" s="90"/>
    </row>
    <row r="461" spans="2:5" ht="12.75" customHeight="1">
      <c r="B461" s="28"/>
      <c r="C461" s="90"/>
      <c r="D461" s="90"/>
      <c r="E461" s="90"/>
    </row>
    <row r="462" spans="2:5" ht="12.75" customHeight="1">
      <c r="B462" s="28"/>
      <c r="C462" s="90"/>
      <c r="D462" s="90"/>
      <c r="E462" s="90"/>
    </row>
    <row r="463" spans="2:5" ht="12.75" customHeight="1">
      <c r="B463" s="28"/>
      <c r="C463" s="90"/>
      <c r="D463" s="90"/>
      <c r="E463" s="90"/>
    </row>
    <row r="464" spans="2:5" ht="12.75" customHeight="1">
      <c r="B464" s="28"/>
      <c r="C464" s="90"/>
      <c r="D464" s="90"/>
      <c r="E464" s="90"/>
    </row>
    <row r="465" spans="2:5" ht="12.75" customHeight="1">
      <c r="B465" s="28"/>
      <c r="C465" s="90"/>
      <c r="D465" s="90"/>
      <c r="E465" s="90"/>
    </row>
    <row r="466" spans="2:5" ht="12.75" customHeight="1">
      <c r="B466" s="28"/>
      <c r="C466" s="90"/>
      <c r="D466" s="90"/>
      <c r="E466" s="90"/>
    </row>
    <row r="467" spans="2:5" ht="12.75" customHeight="1">
      <c r="B467" s="28"/>
      <c r="C467" s="90"/>
      <c r="D467" s="90"/>
      <c r="E467" s="90"/>
    </row>
    <row r="468" spans="2:5" ht="12.75" customHeight="1">
      <c r="B468" s="28"/>
      <c r="C468" s="90"/>
      <c r="D468" s="90"/>
      <c r="E468" s="90"/>
    </row>
    <row r="469" spans="2:5" ht="12.75" customHeight="1">
      <c r="B469" s="28"/>
      <c r="C469" s="90"/>
      <c r="D469" s="90"/>
      <c r="E469" s="90"/>
    </row>
    <row r="470" spans="2:5" ht="12.75" customHeight="1">
      <c r="B470" s="28"/>
      <c r="C470" s="90"/>
      <c r="D470" s="90"/>
      <c r="E470" s="90"/>
    </row>
    <row r="471" spans="2:5" ht="12.75" customHeight="1">
      <c r="B471" s="28"/>
      <c r="C471" s="90"/>
      <c r="D471" s="90"/>
      <c r="E471" s="90"/>
    </row>
    <row r="472" spans="2:5" ht="12.75" customHeight="1">
      <c r="B472" s="28"/>
      <c r="C472" s="90"/>
      <c r="D472" s="90"/>
      <c r="E472" s="90"/>
    </row>
    <row r="473" spans="2:5" ht="12.75" customHeight="1">
      <c r="B473" s="28"/>
      <c r="C473" s="90"/>
      <c r="D473" s="90"/>
      <c r="E473" s="90"/>
    </row>
    <row r="474" spans="2:5" ht="12.75" customHeight="1">
      <c r="B474" s="28"/>
      <c r="C474" s="90"/>
      <c r="D474" s="90"/>
      <c r="E474" s="90"/>
    </row>
    <row r="475" spans="2:5" ht="12.75" customHeight="1">
      <c r="B475" s="28"/>
      <c r="C475" s="90"/>
      <c r="D475" s="90"/>
      <c r="E475" s="90"/>
    </row>
    <row r="476" spans="2:5" ht="12.75" customHeight="1">
      <c r="B476" s="28"/>
      <c r="C476" s="90"/>
      <c r="D476" s="90"/>
      <c r="E476" s="90"/>
    </row>
    <row r="477" spans="2:5" ht="12.75" customHeight="1">
      <c r="B477" s="28"/>
      <c r="C477" s="90"/>
      <c r="D477" s="90"/>
      <c r="E477" s="90"/>
    </row>
    <row r="478" spans="2:5" ht="12.75" customHeight="1">
      <c r="B478" s="28"/>
      <c r="C478" s="90"/>
      <c r="D478" s="90"/>
      <c r="E478" s="90"/>
    </row>
    <row r="479" spans="2:5" ht="12.75" customHeight="1">
      <c r="B479" s="28"/>
      <c r="C479" s="90"/>
      <c r="D479" s="90"/>
      <c r="E479" s="90"/>
    </row>
    <row r="480" spans="2:5" ht="12.75" customHeight="1">
      <c r="B480" s="28"/>
      <c r="C480" s="90"/>
      <c r="D480" s="90"/>
      <c r="E480" s="90"/>
    </row>
    <row r="481" spans="2:5" ht="12.75" customHeight="1">
      <c r="B481" s="28"/>
      <c r="C481" s="90"/>
      <c r="D481" s="90"/>
      <c r="E481" s="90"/>
    </row>
    <row r="482" spans="2:5" ht="12.75" customHeight="1">
      <c r="B482" s="28"/>
      <c r="C482" s="90"/>
      <c r="D482" s="90"/>
      <c r="E482" s="90"/>
    </row>
    <row r="483" spans="2:5" ht="12.75" customHeight="1">
      <c r="B483" s="28"/>
      <c r="C483" s="90"/>
      <c r="D483" s="90"/>
      <c r="E483" s="90"/>
    </row>
    <row r="484" spans="2:5" ht="12.75" customHeight="1">
      <c r="B484" s="28"/>
      <c r="C484" s="90"/>
      <c r="D484" s="90"/>
      <c r="E484" s="90"/>
    </row>
    <row r="485" spans="2:5" ht="12.75" customHeight="1">
      <c r="B485" s="28"/>
      <c r="C485" s="90"/>
      <c r="D485" s="90"/>
      <c r="E485" s="90"/>
    </row>
    <row r="486" spans="2:5" ht="12.75" customHeight="1">
      <c r="B486" s="28"/>
      <c r="C486" s="90"/>
      <c r="D486" s="90"/>
      <c r="E486" s="90"/>
    </row>
    <row r="487" spans="2:5" ht="12.75" customHeight="1">
      <c r="B487" s="28"/>
      <c r="C487" s="90"/>
      <c r="D487" s="90"/>
      <c r="E487" s="90"/>
    </row>
    <row r="488" spans="2:5" ht="12.75" customHeight="1">
      <c r="B488" s="28"/>
      <c r="C488" s="90"/>
      <c r="D488" s="90"/>
      <c r="E488" s="90"/>
    </row>
    <row r="489" spans="2:5" ht="12.75" customHeight="1">
      <c r="B489" s="28"/>
      <c r="C489" s="90"/>
      <c r="D489" s="90"/>
      <c r="E489" s="90"/>
    </row>
    <row r="490" spans="2:5" ht="12.75" customHeight="1">
      <c r="B490" s="28"/>
      <c r="C490" s="90"/>
      <c r="D490" s="90"/>
      <c r="E490" s="90"/>
    </row>
    <row r="491" spans="2:5" ht="12.75" customHeight="1">
      <c r="B491" s="28"/>
      <c r="C491" s="90"/>
      <c r="D491" s="90"/>
      <c r="E491" s="90"/>
    </row>
    <row r="492" spans="2:5" ht="12.75" customHeight="1">
      <c r="B492" s="28"/>
      <c r="C492" s="90"/>
      <c r="D492" s="90"/>
      <c r="E492" s="90"/>
    </row>
    <row r="493" spans="2:5" ht="12.75" customHeight="1">
      <c r="B493" s="28"/>
      <c r="C493" s="90"/>
      <c r="D493" s="90"/>
      <c r="E493" s="90"/>
    </row>
    <row r="494" spans="2:5" ht="12.75" customHeight="1">
      <c r="B494" s="28"/>
      <c r="C494" s="90"/>
      <c r="D494" s="90"/>
      <c r="E494" s="90"/>
    </row>
    <row r="495" spans="2:5" ht="12.75" customHeight="1">
      <c r="B495" s="28"/>
      <c r="C495" s="90"/>
      <c r="D495" s="90"/>
      <c r="E495" s="90"/>
    </row>
    <row r="496" spans="2:5" ht="12.75" customHeight="1">
      <c r="B496" s="28"/>
      <c r="C496" s="90"/>
      <c r="D496" s="90"/>
      <c r="E496" s="90"/>
    </row>
    <row r="497" spans="2:5" ht="12.75" customHeight="1">
      <c r="B497" s="28"/>
      <c r="C497" s="90"/>
      <c r="D497" s="90"/>
      <c r="E497" s="90"/>
    </row>
    <row r="498" spans="2:5" ht="12.75" customHeight="1">
      <c r="B498" s="28"/>
      <c r="C498" s="90"/>
      <c r="D498" s="90"/>
      <c r="E498" s="90"/>
    </row>
    <row r="499" spans="2:5" ht="12.75" customHeight="1">
      <c r="B499" s="28"/>
      <c r="C499" s="90"/>
      <c r="D499" s="90"/>
      <c r="E499" s="90"/>
    </row>
    <row r="500" spans="2:5" ht="12.75" customHeight="1">
      <c r="B500" s="28"/>
      <c r="C500" s="90"/>
      <c r="D500" s="90"/>
      <c r="E500" s="90"/>
    </row>
    <row r="501" spans="2:5" ht="12.75" customHeight="1">
      <c r="B501" s="28"/>
      <c r="C501" s="90"/>
      <c r="D501" s="90"/>
      <c r="E501" s="90"/>
    </row>
    <row r="502" spans="2:5" ht="12.75" customHeight="1">
      <c r="B502" s="28"/>
      <c r="C502" s="90"/>
      <c r="D502" s="90"/>
      <c r="E502" s="90"/>
    </row>
    <row r="503" spans="2:5" ht="12.75" customHeight="1">
      <c r="B503" s="28"/>
      <c r="C503" s="90"/>
      <c r="D503" s="90"/>
      <c r="E503" s="90"/>
    </row>
    <row r="504" spans="2:5" ht="12.75" customHeight="1">
      <c r="B504" s="28"/>
      <c r="C504" s="90"/>
      <c r="D504" s="90"/>
      <c r="E504" s="90"/>
    </row>
    <row r="505" spans="2:5" ht="12.75" customHeight="1">
      <c r="B505" s="28"/>
      <c r="C505" s="90"/>
      <c r="D505" s="90"/>
      <c r="E505" s="90"/>
    </row>
    <row r="506" spans="2:5" ht="12.75" customHeight="1">
      <c r="B506" s="28"/>
      <c r="C506" s="90"/>
      <c r="D506" s="90"/>
      <c r="E506" s="90"/>
    </row>
    <row r="507" spans="2:5" ht="12.75" customHeight="1">
      <c r="B507" s="28"/>
      <c r="C507" s="90"/>
      <c r="D507" s="90"/>
      <c r="E507" s="90"/>
    </row>
    <row r="508" spans="2:5" ht="12.75" customHeight="1">
      <c r="B508" s="28"/>
      <c r="C508" s="90"/>
      <c r="D508" s="90"/>
      <c r="E508" s="90"/>
    </row>
    <row r="509" spans="2:5" ht="12.75" customHeight="1">
      <c r="B509" s="28"/>
      <c r="C509" s="90"/>
      <c r="D509" s="90"/>
      <c r="E509" s="90"/>
    </row>
    <row r="510" spans="2:5" ht="12.75" customHeight="1">
      <c r="B510" s="28"/>
      <c r="C510" s="90"/>
      <c r="D510" s="90"/>
      <c r="E510" s="90"/>
    </row>
    <row r="511" spans="2:5" ht="12.75" customHeight="1">
      <c r="B511" s="28"/>
      <c r="C511" s="90"/>
      <c r="D511" s="90"/>
      <c r="E511" s="90"/>
    </row>
    <row r="512" spans="2:5" ht="12.75" customHeight="1">
      <c r="B512" s="28"/>
      <c r="C512" s="90"/>
      <c r="D512" s="90"/>
      <c r="E512" s="90"/>
    </row>
    <row r="513" spans="2:5" ht="12.75" customHeight="1">
      <c r="B513" s="28"/>
      <c r="C513" s="90"/>
      <c r="D513" s="90"/>
      <c r="E513" s="90"/>
    </row>
    <row r="514" spans="2:5" ht="12.75" customHeight="1">
      <c r="B514" s="28"/>
      <c r="C514" s="90"/>
      <c r="D514" s="90"/>
      <c r="E514" s="90"/>
    </row>
    <row r="515" spans="2:5" ht="12.75" customHeight="1">
      <c r="B515" s="28"/>
      <c r="C515" s="90"/>
      <c r="D515" s="90"/>
      <c r="E515" s="90"/>
    </row>
    <row r="516" spans="2:5" ht="12.75" customHeight="1">
      <c r="B516" s="28"/>
      <c r="C516" s="90"/>
      <c r="D516" s="90"/>
      <c r="E516" s="90"/>
    </row>
    <row r="517" spans="2:5" ht="12.75" customHeight="1">
      <c r="B517" s="28"/>
      <c r="C517" s="90"/>
      <c r="D517" s="90"/>
      <c r="E517" s="90"/>
    </row>
    <row r="518" spans="2:5" ht="12.75" customHeight="1">
      <c r="B518" s="28"/>
      <c r="C518" s="90"/>
      <c r="D518" s="90"/>
      <c r="E518" s="90"/>
    </row>
    <row r="519" spans="2:5" ht="12.75" customHeight="1">
      <c r="B519" s="28"/>
      <c r="C519" s="90"/>
      <c r="D519" s="90"/>
      <c r="E519" s="90"/>
    </row>
    <row r="520" spans="2:5" ht="12.75" customHeight="1">
      <c r="B520" s="28"/>
      <c r="C520" s="90"/>
      <c r="D520" s="90"/>
      <c r="E520" s="90"/>
    </row>
    <row r="521" spans="2:5" ht="12.75" customHeight="1">
      <c r="B521" s="28"/>
      <c r="C521" s="90"/>
      <c r="D521" s="90"/>
      <c r="E521" s="90"/>
    </row>
    <row r="522" spans="2:5" ht="12.75" customHeight="1">
      <c r="B522" s="28"/>
      <c r="C522" s="90"/>
      <c r="D522" s="90"/>
      <c r="E522" s="90"/>
    </row>
    <row r="523" spans="2:5" ht="12.75" customHeight="1">
      <c r="B523" s="28"/>
      <c r="C523" s="90"/>
      <c r="D523" s="90"/>
      <c r="E523" s="90"/>
    </row>
    <row r="524" spans="2:5" ht="12.75" customHeight="1">
      <c r="B524" s="28"/>
      <c r="C524" s="90"/>
      <c r="D524" s="90"/>
      <c r="E524" s="90"/>
    </row>
    <row r="525" spans="2:5" ht="12.75" customHeight="1">
      <c r="B525" s="28"/>
      <c r="C525" s="90"/>
      <c r="D525" s="90"/>
      <c r="E525" s="90"/>
    </row>
    <row r="526" spans="2:5" ht="12.75" customHeight="1">
      <c r="B526" s="28"/>
      <c r="C526" s="90"/>
      <c r="D526" s="90"/>
      <c r="E526" s="90"/>
    </row>
    <row r="527" spans="2:5" ht="12.75" customHeight="1">
      <c r="B527" s="28"/>
      <c r="C527" s="90"/>
      <c r="D527" s="90"/>
      <c r="E527" s="90"/>
    </row>
    <row r="528" spans="2:5" ht="12.75" customHeight="1">
      <c r="B528" s="28"/>
      <c r="C528" s="90"/>
      <c r="D528" s="90"/>
      <c r="E528" s="90"/>
    </row>
    <row r="529" spans="2:5" ht="12.75" customHeight="1">
      <c r="B529" s="28"/>
      <c r="C529" s="90"/>
      <c r="D529" s="90"/>
      <c r="E529" s="90"/>
    </row>
    <row r="530" spans="2:5" ht="12.75" customHeight="1">
      <c r="B530" s="28"/>
      <c r="C530" s="90"/>
      <c r="D530" s="90"/>
      <c r="E530" s="90"/>
    </row>
    <row r="531" spans="2:5" ht="12.75" customHeight="1">
      <c r="B531" s="28"/>
      <c r="C531" s="90"/>
      <c r="D531" s="90"/>
      <c r="E531" s="90"/>
    </row>
    <row r="532" spans="2:5" ht="12.75" customHeight="1">
      <c r="B532" s="28"/>
      <c r="C532" s="90"/>
      <c r="D532" s="90"/>
      <c r="E532" s="90"/>
    </row>
    <row r="533" spans="2:5" ht="12.75" customHeight="1">
      <c r="B533" s="28"/>
      <c r="C533" s="90"/>
      <c r="D533" s="90"/>
      <c r="E533" s="90"/>
    </row>
    <row r="534" spans="2:5" ht="12.75" customHeight="1">
      <c r="B534" s="28"/>
      <c r="C534" s="90"/>
      <c r="D534" s="90"/>
      <c r="E534" s="90"/>
    </row>
    <row r="535" spans="2:5" ht="12.75" customHeight="1">
      <c r="B535" s="28"/>
      <c r="C535" s="90"/>
      <c r="D535" s="90"/>
      <c r="E535" s="90"/>
    </row>
    <row r="536" spans="2:5" ht="12.75" customHeight="1">
      <c r="B536" s="28"/>
      <c r="C536" s="90"/>
      <c r="D536" s="90"/>
      <c r="E536" s="90"/>
    </row>
    <row r="537" spans="2:5" ht="12.75" customHeight="1">
      <c r="B537" s="28"/>
      <c r="C537" s="90"/>
      <c r="D537" s="90"/>
      <c r="E537" s="90"/>
    </row>
    <row r="538" spans="2:5" ht="12.75" customHeight="1">
      <c r="B538" s="28"/>
      <c r="C538" s="90"/>
      <c r="D538" s="90"/>
      <c r="E538" s="90"/>
    </row>
    <row r="539" spans="2:5" ht="12.75" customHeight="1">
      <c r="B539" s="28"/>
      <c r="C539" s="90"/>
      <c r="D539" s="90"/>
      <c r="E539" s="90"/>
    </row>
    <row r="540" spans="2:5" ht="12.75" customHeight="1">
      <c r="B540" s="28"/>
      <c r="C540" s="90"/>
      <c r="D540" s="90"/>
      <c r="E540" s="90"/>
    </row>
    <row r="541" spans="2:5" ht="12.75" customHeight="1">
      <c r="B541" s="28"/>
      <c r="C541" s="90"/>
      <c r="D541" s="90"/>
      <c r="E541" s="90"/>
    </row>
    <row r="542" spans="2:5" ht="12.75" customHeight="1">
      <c r="B542" s="28"/>
      <c r="C542" s="90"/>
      <c r="D542" s="90"/>
      <c r="E542" s="90"/>
    </row>
    <row r="543" spans="2:5" ht="12.75" customHeight="1">
      <c r="B543" s="28"/>
      <c r="C543" s="90"/>
      <c r="D543" s="90"/>
      <c r="E543" s="90"/>
    </row>
    <row r="544" spans="2:5" ht="12.75" customHeight="1">
      <c r="B544" s="28"/>
      <c r="C544" s="90"/>
      <c r="D544" s="90"/>
      <c r="E544" s="90"/>
    </row>
    <row r="545" spans="2:5" ht="12.75" customHeight="1">
      <c r="B545" s="28"/>
      <c r="C545" s="90"/>
      <c r="D545" s="90"/>
      <c r="E545" s="90"/>
    </row>
    <row r="546" spans="2:5" ht="12.75" customHeight="1">
      <c r="B546" s="28"/>
      <c r="C546" s="90"/>
      <c r="D546" s="90"/>
      <c r="E546" s="90"/>
    </row>
    <row r="547" spans="2:5" ht="12.75" customHeight="1">
      <c r="B547" s="28"/>
      <c r="C547" s="90"/>
      <c r="D547" s="90"/>
      <c r="E547" s="90"/>
    </row>
    <row r="548" spans="2:5" ht="12.75" customHeight="1">
      <c r="B548" s="28"/>
      <c r="C548" s="90"/>
      <c r="D548" s="90"/>
      <c r="E548" s="90"/>
    </row>
    <row r="549" spans="2:5" ht="12.75" customHeight="1">
      <c r="B549" s="28"/>
      <c r="C549" s="90"/>
      <c r="D549" s="90"/>
      <c r="E549" s="90"/>
    </row>
    <row r="550" spans="2:5" ht="12.75" customHeight="1">
      <c r="B550" s="28"/>
      <c r="C550" s="90"/>
      <c r="D550" s="90"/>
      <c r="E550" s="90"/>
    </row>
    <row r="551" spans="2:5" ht="12.75" customHeight="1">
      <c r="B551" s="28"/>
      <c r="C551" s="90"/>
      <c r="D551" s="90"/>
      <c r="E551" s="90"/>
    </row>
    <row r="552" spans="2:5" ht="12.75" customHeight="1">
      <c r="B552" s="28"/>
      <c r="C552" s="90"/>
      <c r="D552" s="90"/>
      <c r="E552" s="90"/>
    </row>
    <row r="553" spans="2:5" ht="12.75" customHeight="1">
      <c r="B553" s="28"/>
      <c r="C553" s="90"/>
      <c r="D553" s="90"/>
      <c r="E553" s="90"/>
    </row>
    <row r="554" spans="2:5" ht="12.75" customHeight="1">
      <c r="B554" s="28"/>
      <c r="C554" s="90"/>
      <c r="D554" s="90"/>
      <c r="E554" s="90"/>
    </row>
    <row r="555" spans="2:5" ht="12.75" customHeight="1">
      <c r="B555" s="28"/>
      <c r="C555" s="90"/>
      <c r="D555" s="90"/>
      <c r="E555" s="90"/>
    </row>
    <row r="556" spans="2:5" ht="12.75" customHeight="1">
      <c r="B556" s="28"/>
      <c r="C556" s="90"/>
      <c r="D556" s="90"/>
      <c r="E556" s="90"/>
    </row>
    <row r="557" spans="2:5" ht="12.75" customHeight="1">
      <c r="B557" s="28"/>
      <c r="C557" s="90"/>
      <c r="D557" s="90"/>
      <c r="E557" s="90"/>
    </row>
    <row r="558" spans="2:5" ht="12.75" customHeight="1">
      <c r="B558" s="28"/>
      <c r="C558" s="90"/>
      <c r="D558" s="90"/>
      <c r="E558" s="90"/>
    </row>
    <row r="559" spans="2:5" ht="12.75" customHeight="1">
      <c r="B559" s="28"/>
      <c r="C559" s="90"/>
      <c r="D559" s="90"/>
      <c r="E559" s="90"/>
    </row>
    <row r="560" spans="2:5" ht="12.75" customHeight="1">
      <c r="B560" s="28"/>
      <c r="C560" s="90"/>
      <c r="D560" s="90"/>
      <c r="E560" s="90"/>
    </row>
    <row r="561" spans="2:5" ht="12.75" customHeight="1">
      <c r="B561" s="28"/>
      <c r="C561" s="90"/>
      <c r="D561" s="90"/>
      <c r="E561" s="90"/>
    </row>
    <row r="562" spans="2:5" ht="12.75" customHeight="1">
      <c r="B562" s="28"/>
      <c r="C562" s="90"/>
      <c r="D562" s="90"/>
      <c r="E562" s="90"/>
    </row>
    <row r="563" spans="2:5" ht="12.75" customHeight="1">
      <c r="B563" s="28"/>
      <c r="C563" s="90"/>
      <c r="D563" s="90"/>
      <c r="E563" s="90"/>
    </row>
    <row r="564" spans="2:5" ht="12.75" customHeight="1">
      <c r="B564" s="28"/>
      <c r="C564" s="90"/>
      <c r="D564" s="90"/>
      <c r="E564" s="90"/>
    </row>
    <row r="565" spans="2:5" ht="12.75" customHeight="1">
      <c r="B565" s="28"/>
      <c r="C565" s="90"/>
      <c r="D565" s="90"/>
      <c r="E565" s="90"/>
    </row>
    <row r="566" spans="2:5" ht="12.75" customHeight="1">
      <c r="B566" s="28"/>
      <c r="C566" s="90"/>
      <c r="D566" s="90"/>
      <c r="E566" s="90"/>
    </row>
    <row r="567" spans="2:5" ht="12.75" customHeight="1">
      <c r="B567" s="28"/>
      <c r="C567" s="90"/>
      <c r="D567" s="90"/>
      <c r="E567" s="90"/>
    </row>
    <row r="568" spans="2:5" ht="12.75" customHeight="1">
      <c r="B568" s="28"/>
      <c r="C568" s="90"/>
      <c r="D568" s="90"/>
      <c r="E568" s="90"/>
    </row>
    <row r="569" spans="2:5" ht="12.75" customHeight="1">
      <c r="B569" s="28"/>
      <c r="C569" s="90"/>
      <c r="D569" s="90"/>
      <c r="E569" s="90"/>
    </row>
    <row r="570" spans="2:5" ht="12.75" customHeight="1">
      <c r="B570" s="28"/>
      <c r="C570" s="90"/>
      <c r="D570" s="90"/>
      <c r="E570" s="90"/>
    </row>
    <row r="571" spans="2:5" ht="12.75" customHeight="1">
      <c r="B571" s="28"/>
      <c r="C571" s="90"/>
      <c r="D571" s="90"/>
      <c r="E571" s="90"/>
    </row>
    <row r="572" spans="2:5" ht="12.75" customHeight="1">
      <c r="B572" s="28"/>
      <c r="C572" s="90"/>
      <c r="D572" s="90"/>
      <c r="E572" s="90"/>
    </row>
    <row r="573" spans="2:5" ht="12.75" customHeight="1">
      <c r="B573" s="28"/>
      <c r="C573" s="90"/>
      <c r="D573" s="90"/>
      <c r="E573" s="90"/>
    </row>
    <row r="574" spans="2:5" ht="12.75" customHeight="1">
      <c r="B574" s="28"/>
      <c r="C574" s="90"/>
      <c r="D574" s="90"/>
      <c r="E574" s="90"/>
    </row>
    <row r="575" spans="2:5" ht="12.75" customHeight="1">
      <c r="B575" s="28"/>
      <c r="C575" s="90"/>
      <c r="D575" s="90"/>
      <c r="E575" s="90"/>
    </row>
    <row r="576" spans="2:5" ht="12.75" customHeight="1">
      <c r="B576" s="28"/>
      <c r="C576" s="90"/>
      <c r="D576" s="90"/>
      <c r="E576" s="90"/>
    </row>
    <row r="577" spans="2:5" ht="12.75" customHeight="1">
      <c r="B577" s="28"/>
      <c r="C577" s="90"/>
      <c r="D577" s="90"/>
      <c r="E577" s="90"/>
    </row>
    <row r="578" spans="2:5" ht="12.75" customHeight="1">
      <c r="B578" s="28"/>
      <c r="C578" s="90"/>
      <c r="D578" s="90"/>
      <c r="E578" s="90"/>
    </row>
    <row r="579" spans="2:5" ht="12.75" customHeight="1">
      <c r="B579" s="28"/>
      <c r="C579" s="90"/>
      <c r="D579" s="90"/>
      <c r="E579" s="90"/>
    </row>
    <row r="580" spans="2:5" ht="12.75" customHeight="1">
      <c r="B580" s="28"/>
      <c r="C580" s="90"/>
      <c r="D580" s="90"/>
      <c r="E580" s="90"/>
    </row>
    <row r="581" spans="2:5" ht="12.75" customHeight="1">
      <c r="B581" s="28"/>
      <c r="C581" s="90"/>
      <c r="D581" s="90"/>
      <c r="E581" s="90"/>
    </row>
    <row r="582" spans="2:5" ht="12.75" customHeight="1">
      <c r="B582" s="28"/>
      <c r="C582" s="90"/>
      <c r="D582" s="90"/>
      <c r="E582" s="90"/>
    </row>
    <row r="583" spans="2:5" ht="12.75" customHeight="1">
      <c r="B583" s="28"/>
      <c r="C583" s="90"/>
      <c r="D583" s="90"/>
      <c r="E583" s="90"/>
    </row>
    <row r="584" spans="2:5" ht="12.75" customHeight="1">
      <c r="B584" s="28"/>
      <c r="C584" s="90"/>
      <c r="D584" s="90"/>
      <c r="E584" s="90"/>
    </row>
    <row r="585" spans="2:5" ht="12.75" customHeight="1">
      <c r="B585" s="28"/>
      <c r="C585" s="90"/>
      <c r="D585" s="90"/>
      <c r="E585" s="90"/>
    </row>
    <row r="586" spans="2:5" ht="12.75" customHeight="1">
      <c r="B586" s="28"/>
      <c r="C586" s="90"/>
      <c r="D586" s="90"/>
      <c r="E586" s="90"/>
    </row>
    <row r="587" spans="2:5" ht="12.75" customHeight="1">
      <c r="B587" s="28"/>
      <c r="C587" s="90"/>
      <c r="D587" s="90"/>
      <c r="E587" s="90"/>
    </row>
    <row r="588" spans="2:5" ht="12.75" customHeight="1">
      <c r="B588" s="28"/>
      <c r="C588" s="90"/>
      <c r="D588" s="90"/>
      <c r="E588" s="90"/>
    </row>
    <row r="589" spans="2:5" ht="12.75" customHeight="1">
      <c r="B589" s="28"/>
      <c r="C589" s="90"/>
      <c r="D589" s="90"/>
      <c r="E589" s="90"/>
    </row>
    <row r="590" spans="2:5" ht="12.75" customHeight="1">
      <c r="B590" s="28"/>
      <c r="C590" s="90"/>
      <c r="D590" s="90"/>
      <c r="E590" s="90"/>
    </row>
    <row r="591" spans="2:5" ht="12.75" customHeight="1">
      <c r="B591" s="28"/>
      <c r="C591" s="90"/>
      <c r="D591" s="90"/>
      <c r="E591" s="90"/>
    </row>
    <row r="592" spans="2:5" ht="12.75" customHeight="1">
      <c r="B592" s="28"/>
      <c r="C592" s="90"/>
      <c r="D592" s="90"/>
      <c r="E592" s="90"/>
    </row>
    <row r="593" spans="2:5" ht="12.75" customHeight="1">
      <c r="B593" s="28"/>
      <c r="C593" s="90"/>
      <c r="D593" s="90"/>
      <c r="E593" s="90"/>
    </row>
    <row r="594" spans="2:5" ht="12.75" customHeight="1">
      <c r="B594" s="28"/>
      <c r="C594" s="90"/>
      <c r="D594" s="90"/>
      <c r="E594" s="90"/>
    </row>
    <row r="595" spans="2:5" ht="12.75" customHeight="1">
      <c r="B595" s="28"/>
      <c r="C595" s="90"/>
      <c r="D595" s="90"/>
      <c r="E595" s="90"/>
    </row>
    <row r="596" spans="2:5" ht="12.75" customHeight="1">
      <c r="B596" s="28"/>
      <c r="C596" s="90"/>
      <c r="D596" s="90"/>
      <c r="E596" s="90"/>
    </row>
    <row r="597" spans="2:5" ht="12.75" customHeight="1">
      <c r="B597" s="28"/>
      <c r="C597" s="90"/>
      <c r="D597" s="90"/>
      <c r="E597" s="90"/>
    </row>
    <row r="598" spans="2:5" ht="12.75" customHeight="1">
      <c r="B598" s="28"/>
      <c r="C598" s="90"/>
      <c r="D598" s="90"/>
      <c r="E598" s="90"/>
    </row>
    <row r="599" spans="2:5" ht="12.75" customHeight="1">
      <c r="B599" s="28"/>
      <c r="C599" s="90"/>
      <c r="D599" s="90"/>
      <c r="E599" s="90"/>
    </row>
    <row r="600" spans="2:5" ht="12.75" customHeight="1">
      <c r="B600" s="28"/>
      <c r="C600" s="90"/>
      <c r="D600" s="90"/>
      <c r="E600" s="90"/>
    </row>
    <row r="601" spans="2:5" ht="12.75" customHeight="1">
      <c r="B601" s="28"/>
      <c r="C601" s="90"/>
      <c r="D601" s="90"/>
      <c r="E601" s="90"/>
    </row>
    <row r="602" spans="2:5" ht="12.75" customHeight="1">
      <c r="B602" s="28"/>
      <c r="C602" s="90"/>
      <c r="D602" s="90"/>
      <c r="E602" s="90"/>
    </row>
    <row r="603" spans="2:5" ht="12.75" customHeight="1">
      <c r="B603" s="28"/>
      <c r="C603" s="90"/>
      <c r="D603" s="90"/>
      <c r="E603" s="90"/>
    </row>
    <row r="604" spans="2:5" ht="12.75" customHeight="1">
      <c r="B604" s="28"/>
      <c r="C604" s="90"/>
      <c r="D604" s="90"/>
      <c r="E604" s="90"/>
    </row>
    <row r="605" spans="2:5" ht="12.75" customHeight="1">
      <c r="B605" s="28"/>
      <c r="C605" s="90"/>
      <c r="D605" s="90"/>
      <c r="E605" s="90"/>
    </row>
    <row r="606" spans="2:5" ht="12.75" customHeight="1">
      <c r="B606" s="28"/>
      <c r="C606" s="90"/>
      <c r="D606" s="90"/>
      <c r="E606" s="90"/>
    </row>
    <row r="607" spans="2:5" ht="12.75" customHeight="1">
      <c r="B607" s="28"/>
      <c r="C607" s="90"/>
      <c r="D607" s="90"/>
      <c r="E607" s="90"/>
    </row>
    <row r="608" spans="2:5" ht="12.75" customHeight="1">
      <c r="B608" s="28"/>
      <c r="C608" s="90"/>
      <c r="D608" s="90"/>
      <c r="E608" s="90"/>
    </row>
    <row r="609" spans="2:5" ht="12.75" customHeight="1">
      <c r="B609" s="28"/>
      <c r="C609" s="90"/>
      <c r="D609" s="90"/>
      <c r="E609" s="90"/>
    </row>
    <row r="610" spans="2:5" ht="12.75" customHeight="1">
      <c r="B610" s="28"/>
      <c r="C610" s="90"/>
      <c r="D610" s="90"/>
      <c r="E610" s="90"/>
    </row>
    <row r="611" spans="2:5" ht="12.75" customHeight="1">
      <c r="B611" s="28"/>
      <c r="C611" s="90"/>
      <c r="D611" s="90"/>
      <c r="E611" s="90"/>
    </row>
    <row r="612" spans="2:5" ht="12.75" customHeight="1">
      <c r="B612" s="28"/>
      <c r="C612" s="90"/>
      <c r="D612" s="90"/>
      <c r="E612" s="90"/>
    </row>
    <row r="613" spans="2:5" ht="12.75" customHeight="1">
      <c r="B613" s="28"/>
      <c r="C613" s="90"/>
      <c r="D613" s="90"/>
      <c r="E613" s="90"/>
    </row>
    <row r="614" spans="2:5" ht="12.75" customHeight="1">
      <c r="B614" s="28"/>
      <c r="C614" s="90"/>
      <c r="D614" s="90"/>
      <c r="E614" s="90"/>
    </row>
    <row r="615" spans="2:5" ht="12.75" customHeight="1">
      <c r="B615" s="28"/>
      <c r="C615" s="90"/>
      <c r="D615" s="90"/>
      <c r="E615" s="90"/>
    </row>
    <row r="616" spans="2:5" ht="12.75" customHeight="1">
      <c r="B616" s="28"/>
      <c r="C616" s="90"/>
      <c r="D616" s="90"/>
      <c r="E616" s="90"/>
    </row>
    <row r="617" spans="2:5" ht="12.75" customHeight="1">
      <c r="B617" s="28"/>
      <c r="C617" s="90"/>
      <c r="D617" s="90"/>
      <c r="E617" s="90"/>
    </row>
    <row r="618" spans="2:5" ht="12.75" customHeight="1">
      <c r="B618" s="28"/>
      <c r="C618" s="90"/>
      <c r="D618" s="90"/>
      <c r="E618" s="90"/>
    </row>
    <row r="619" spans="2:5" ht="12.75" customHeight="1">
      <c r="B619" s="28"/>
      <c r="C619" s="90"/>
      <c r="D619" s="90"/>
      <c r="E619" s="90"/>
    </row>
    <row r="620" spans="2:5" ht="12.75" customHeight="1">
      <c r="B620" s="28"/>
      <c r="C620" s="90"/>
      <c r="D620" s="90"/>
      <c r="E620" s="90"/>
    </row>
    <row r="621" spans="2:5" ht="12.75" customHeight="1">
      <c r="B621" s="28"/>
      <c r="C621" s="90"/>
      <c r="D621" s="90"/>
      <c r="E621" s="90"/>
    </row>
    <row r="622" spans="2:5" ht="12.75" customHeight="1">
      <c r="B622" s="28"/>
      <c r="C622" s="90"/>
      <c r="D622" s="90"/>
      <c r="E622" s="90"/>
    </row>
    <row r="623" spans="2:5" ht="12.75" customHeight="1">
      <c r="B623" s="28"/>
      <c r="C623" s="90"/>
      <c r="D623" s="90"/>
      <c r="E623" s="90"/>
    </row>
    <row r="624" spans="2:5" ht="12.75" customHeight="1">
      <c r="B624" s="28"/>
      <c r="C624" s="90"/>
      <c r="D624" s="90"/>
      <c r="E624" s="90"/>
    </row>
    <row r="625" spans="2:5" ht="12.75" customHeight="1">
      <c r="B625" s="28"/>
      <c r="C625" s="90"/>
      <c r="D625" s="90"/>
      <c r="E625" s="90"/>
    </row>
    <row r="626" spans="2:5" ht="12.75" customHeight="1">
      <c r="B626" s="28"/>
      <c r="C626" s="90"/>
      <c r="D626" s="90"/>
      <c r="E626" s="90"/>
    </row>
    <row r="627" spans="2:5" ht="12.75" customHeight="1">
      <c r="B627" s="28"/>
      <c r="C627" s="90"/>
      <c r="D627" s="90"/>
      <c r="E627" s="90"/>
    </row>
    <row r="628" spans="2:5" ht="12.75" customHeight="1">
      <c r="B628" s="28"/>
      <c r="C628" s="90"/>
      <c r="D628" s="90"/>
      <c r="E628" s="90"/>
    </row>
    <row r="629" spans="2:5" ht="12.75" customHeight="1">
      <c r="B629" s="28"/>
      <c r="C629" s="90"/>
      <c r="D629" s="90"/>
      <c r="E629" s="90"/>
    </row>
    <row r="630" spans="2:5" ht="12.75" customHeight="1">
      <c r="B630" s="28"/>
      <c r="C630" s="90"/>
      <c r="D630" s="90"/>
      <c r="E630" s="90"/>
    </row>
    <row r="631" spans="2:5" ht="12.75" customHeight="1">
      <c r="B631" s="28"/>
      <c r="C631" s="90"/>
      <c r="D631" s="90"/>
      <c r="E631" s="90"/>
    </row>
    <row r="632" spans="2:5" ht="12.75" customHeight="1">
      <c r="B632" s="28"/>
      <c r="C632" s="90"/>
      <c r="D632" s="90"/>
      <c r="E632" s="90"/>
    </row>
    <row r="633" spans="2:5" ht="12.75" customHeight="1">
      <c r="B633" s="28"/>
      <c r="C633" s="90"/>
      <c r="D633" s="90"/>
      <c r="E633" s="90"/>
    </row>
    <row r="634" spans="2:5" ht="12.75" customHeight="1">
      <c r="B634" s="28"/>
      <c r="C634" s="90"/>
      <c r="D634" s="90"/>
      <c r="E634" s="90"/>
    </row>
    <row r="635" spans="2:5" ht="12.75" customHeight="1">
      <c r="B635" s="28"/>
      <c r="C635" s="90"/>
      <c r="D635" s="90"/>
      <c r="E635" s="90"/>
    </row>
    <row r="636" spans="2:5" ht="12.75" customHeight="1">
      <c r="B636" s="28"/>
      <c r="C636" s="90"/>
      <c r="D636" s="90"/>
      <c r="E636" s="90"/>
    </row>
    <row r="637" spans="2:5" ht="12.75" customHeight="1">
      <c r="B637" s="28"/>
      <c r="C637" s="90"/>
      <c r="D637" s="90"/>
      <c r="E637" s="90"/>
    </row>
    <row r="638" spans="2:5" ht="12.75" customHeight="1">
      <c r="B638" s="28"/>
      <c r="C638" s="90"/>
      <c r="D638" s="90"/>
      <c r="E638" s="90"/>
    </row>
    <row r="639" spans="2:5" ht="12.75" customHeight="1">
      <c r="B639" s="28"/>
      <c r="C639" s="90"/>
      <c r="D639" s="90"/>
      <c r="E639" s="90"/>
    </row>
    <row r="640" spans="2:5" ht="12.75" customHeight="1">
      <c r="B640" s="28"/>
      <c r="C640" s="90"/>
      <c r="D640" s="90"/>
      <c r="E640" s="90"/>
    </row>
    <row r="641" spans="2:5" ht="12.75" customHeight="1">
      <c r="B641" s="28"/>
      <c r="C641" s="90"/>
      <c r="D641" s="90"/>
      <c r="E641" s="90"/>
    </row>
    <row r="642" spans="2:5" ht="12.75" customHeight="1">
      <c r="B642" s="28"/>
      <c r="C642" s="90"/>
      <c r="D642" s="90"/>
      <c r="E642" s="90"/>
    </row>
    <row r="643" spans="2:5" ht="12.75" customHeight="1">
      <c r="B643" s="28"/>
      <c r="C643" s="90"/>
      <c r="D643" s="90"/>
      <c r="E643" s="90"/>
    </row>
    <row r="644" spans="2:5" ht="12.75" customHeight="1">
      <c r="B644" s="28"/>
      <c r="C644" s="90"/>
      <c r="D644" s="90"/>
      <c r="E644" s="90"/>
    </row>
    <row r="645" spans="2:5" ht="12.75" customHeight="1">
      <c r="B645" s="28"/>
      <c r="C645" s="90"/>
      <c r="D645" s="90"/>
      <c r="E645" s="90"/>
    </row>
    <row r="646" spans="2:5" ht="12.75" customHeight="1">
      <c r="B646" s="28"/>
      <c r="C646" s="90"/>
      <c r="D646" s="90"/>
      <c r="E646" s="90"/>
    </row>
    <row r="647" spans="2:5" ht="12.75" customHeight="1">
      <c r="B647" s="28"/>
      <c r="C647" s="90"/>
      <c r="D647" s="90"/>
      <c r="E647" s="90"/>
    </row>
    <row r="648" spans="2:5" ht="12.75" customHeight="1">
      <c r="B648" s="28"/>
      <c r="C648" s="90"/>
      <c r="D648" s="90"/>
      <c r="E648" s="90"/>
    </row>
    <row r="649" spans="2:5" ht="12.75" customHeight="1">
      <c r="B649" s="28"/>
      <c r="C649" s="90"/>
      <c r="D649" s="90"/>
      <c r="E649" s="90"/>
    </row>
    <row r="650" spans="2:5" ht="12.75" customHeight="1">
      <c r="B650" s="28"/>
      <c r="C650" s="90"/>
      <c r="D650" s="90"/>
      <c r="E650" s="90"/>
    </row>
    <row r="651" spans="2:5" ht="12.75" customHeight="1">
      <c r="B651" s="28"/>
      <c r="C651" s="90"/>
      <c r="D651" s="90"/>
      <c r="E651" s="90"/>
    </row>
    <row r="652" spans="2:5" ht="12.75" customHeight="1">
      <c r="B652" s="28"/>
      <c r="C652" s="90"/>
      <c r="D652" s="90"/>
      <c r="E652" s="90"/>
    </row>
    <row r="653" spans="2:5" ht="12.75" customHeight="1">
      <c r="B653" s="28"/>
      <c r="C653" s="90"/>
      <c r="D653" s="90"/>
      <c r="E653" s="90"/>
    </row>
    <row r="654" spans="2:5" ht="12.75" customHeight="1">
      <c r="B654" s="28"/>
      <c r="C654" s="90"/>
      <c r="D654" s="90"/>
      <c r="E654" s="90"/>
    </row>
    <row r="655" spans="2:5" ht="12.75" customHeight="1">
      <c r="B655" s="28"/>
      <c r="C655" s="90"/>
      <c r="D655" s="90"/>
      <c r="E655" s="90"/>
    </row>
    <row r="656" spans="2:5" ht="12.75" customHeight="1">
      <c r="B656" s="28"/>
      <c r="C656" s="90"/>
      <c r="D656" s="90"/>
      <c r="E656" s="90"/>
    </row>
    <row r="657" spans="2:5" ht="12.75" customHeight="1">
      <c r="B657" s="28"/>
      <c r="C657" s="90"/>
      <c r="D657" s="90"/>
      <c r="E657" s="90"/>
    </row>
    <row r="658" spans="2:5" ht="12.75" customHeight="1">
      <c r="B658" s="28"/>
      <c r="C658" s="90"/>
      <c r="D658" s="90"/>
      <c r="E658" s="90"/>
    </row>
    <row r="659" spans="2:5" ht="12.75" customHeight="1">
      <c r="B659" s="28"/>
      <c r="C659" s="90"/>
      <c r="D659" s="90"/>
      <c r="E659" s="90"/>
    </row>
    <row r="660" spans="2:5" ht="12.75" customHeight="1">
      <c r="B660" s="28"/>
      <c r="C660" s="90"/>
      <c r="D660" s="90"/>
      <c r="E660" s="90"/>
    </row>
    <row r="661" spans="2:5" ht="12.75" customHeight="1">
      <c r="B661" s="28"/>
      <c r="C661" s="90"/>
      <c r="D661" s="90"/>
      <c r="E661" s="90"/>
    </row>
    <row r="662" spans="2:5" ht="12.75" customHeight="1">
      <c r="B662" s="28"/>
      <c r="C662" s="90"/>
      <c r="D662" s="90"/>
      <c r="E662" s="90"/>
    </row>
    <row r="663" spans="2:5" ht="12.75" customHeight="1">
      <c r="B663" s="28"/>
      <c r="C663" s="90"/>
      <c r="D663" s="90"/>
      <c r="E663" s="90"/>
    </row>
    <row r="664" spans="2:5" ht="12.75" customHeight="1">
      <c r="B664" s="28"/>
      <c r="C664" s="90"/>
      <c r="D664" s="90"/>
      <c r="E664" s="90"/>
    </row>
    <row r="665" spans="2:5" ht="12.75" customHeight="1">
      <c r="B665" s="28"/>
      <c r="C665" s="90"/>
      <c r="D665" s="90"/>
      <c r="E665" s="90"/>
    </row>
    <row r="666" spans="2:5" ht="12.75" customHeight="1">
      <c r="B666" s="28"/>
      <c r="C666" s="90"/>
      <c r="D666" s="90"/>
      <c r="E666" s="90"/>
    </row>
    <row r="667" spans="2:5" ht="12.75" customHeight="1">
      <c r="B667" s="28"/>
      <c r="C667" s="90"/>
      <c r="D667" s="90"/>
      <c r="E667" s="90"/>
    </row>
    <row r="668" spans="2:5" ht="12.75" customHeight="1">
      <c r="B668" s="28"/>
      <c r="C668" s="90"/>
      <c r="D668" s="90"/>
      <c r="E668" s="90"/>
    </row>
    <row r="669" spans="2:5" ht="12.75" customHeight="1">
      <c r="B669" s="28"/>
      <c r="C669" s="90"/>
      <c r="D669" s="90"/>
      <c r="E669" s="90"/>
    </row>
    <row r="670" spans="2:5" ht="12.75" customHeight="1">
      <c r="B670" s="28"/>
      <c r="C670" s="90"/>
      <c r="D670" s="90"/>
      <c r="E670" s="90"/>
    </row>
    <row r="671" spans="2:5" ht="12.75" customHeight="1">
      <c r="B671" s="28"/>
      <c r="C671" s="90"/>
      <c r="D671" s="90"/>
      <c r="E671" s="90"/>
    </row>
    <row r="672" spans="2:5" ht="12.75" customHeight="1">
      <c r="B672" s="28"/>
      <c r="C672" s="90"/>
      <c r="D672" s="90"/>
      <c r="E672" s="90"/>
    </row>
    <row r="673" spans="2:5" ht="12.75" customHeight="1">
      <c r="B673" s="28"/>
      <c r="C673" s="90"/>
      <c r="D673" s="90"/>
      <c r="E673" s="90"/>
    </row>
    <row r="674" spans="2:5" ht="12.75" customHeight="1">
      <c r="B674" s="28"/>
      <c r="C674" s="90"/>
      <c r="D674" s="90"/>
      <c r="E674" s="90"/>
    </row>
    <row r="675" spans="2:5" ht="12.75" customHeight="1">
      <c r="B675" s="28"/>
      <c r="C675" s="90"/>
      <c r="D675" s="90"/>
      <c r="E675" s="90"/>
    </row>
    <row r="676" spans="2:5" ht="12.75" customHeight="1">
      <c r="B676" s="28"/>
      <c r="C676" s="90"/>
      <c r="D676" s="90"/>
      <c r="E676" s="90"/>
    </row>
    <row r="677" spans="2:5" ht="12.75" customHeight="1">
      <c r="B677" s="28"/>
      <c r="C677" s="90"/>
      <c r="D677" s="90"/>
      <c r="E677" s="90"/>
    </row>
    <row r="678" spans="2:5" ht="12.75" customHeight="1">
      <c r="B678" s="28"/>
      <c r="C678" s="90"/>
      <c r="D678" s="90"/>
      <c r="E678" s="90"/>
    </row>
    <row r="679" spans="2:5" ht="12.75" customHeight="1">
      <c r="B679" s="28"/>
      <c r="C679" s="90"/>
      <c r="D679" s="90"/>
      <c r="E679" s="90"/>
    </row>
    <row r="680" spans="2:5" ht="12.75" customHeight="1">
      <c r="B680" s="28"/>
      <c r="C680" s="90"/>
      <c r="D680" s="90"/>
      <c r="E680" s="90"/>
    </row>
    <row r="681" spans="2:5" ht="12.75" customHeight="1">
      <c r="B681" s="28"/>
      <c r="C681" s="90"/>
      <c r="D681" s="90"/>
      <c r="E681" s="90"/>
    </row>
    <row r="682" spans="2:5" ht="12.75" customHeight="1">
      <c r="B682" s="28"/>
      <c r="C682" s="90"/>
      <c r="D682" s="90"/>
      <c r="E682" s="90"/>
    </row>
    <row r="683" spans="2:5" ht="12.75" customHeight="1">
      <c r="B683" s="28"/>
      <c r="C683" s="90"/>
      <c r="D683" s="90"/>
      <c r="E683" s="90"/>
    </row>
    <row r="684" spans="2:5" ht="12.75" customHeight="1">
      <c r="B684" s="28"/>
      <c r="C684" s="90"/>
      <c r="D684" s="90"/>
      <c r="E684" s="90"/>
    </row>
    <row r="685" spans="2:5" ht="12.75" customHeight="1">
      <c r="B685" s="28"/>
      <c r="C685" s="90"/>
      <c r="D685" s="90"/>
      <c r="E685" s="90"/>
    </row>
    <row r="686" spans="2:5" ht="12.75" customHeight="1">
      <c r="B686" s="28"/>
      <c r="C686" s="90"/>
      <c r="D686" s="90"/>
      <c r="E686" s="90"/>
    </row>
    <row r="687" spans="2:5" ht="12.75" customHeight="1">
      <c r="B687" s="28"/>
      <c r="C687" s="90"/>
      <c r="D687" s="90"/>
      <c r="E687" s="90"/>
    </row>
    <row r="688" spans="2:5" ht="12.75" customHeight="1">
      <c r="B688" s="28"/>
      <c r="C688" s="90"/>
      <c r="D688" s="90"/>
      <c r="E688" s="90"/>
    </row>
    <row r="689" spans="2:5" ht="12.75" customHeight="1">
      <c r="B689" s="28"/>
      <c r="C689" s="90"/>
      <c r="D689" s="90"/>
      <c r="E689" s="90"/>
    </row>
    <row r="690" spans="2:5" ht="12.75" customHeight="1">
      <c r="B690" s="28"/>
      <c r="C690" s="90"/>
      <c r="D690" s="90"/>
      <c r="E690" s="90"/>
    </row>
    <row r="691" spans="2:5" ht="12.75" customHeight="1">
      <c r="B691" s="28"/>
      <c r="C691" s="90"/>
      <c r="D691" s="90"/>
      <c r="E691" s="90"/>
    </row>
    <row r="692" spans="2:5" ht="12.75" customHeight="1">
      <c r="B692" s="28"/>
      <c r="C692" s="90"/>
      <c r="D692" s="90"/>
      <c r="E692" s="90"/>
    </row>
    <row r="693" spans="2:5" ht="12.75" customHeight="1">
      <c r="B693" s="28"/>
      <c r="C693" s="90"/>
      <c r="D693" s="90"/>
      <c r="E693" s="90"/>
    </row>
    <row r="694" spans="2:5" ht="12.75" customHeight="1">
      <c r="B694" s="28"/>
      <c r="C694" s="90"/>
      <c r="D694" s="90"/>
      <c r="E694" s="90"/>
    </row>
    <row r="695" spans="2:5" ht="12.75" customHeight="1">
      <c r="B695" s="28"/>
      <c r="C695" s="90"/>
      <c r="D695" s="90"/>
      <c r="E695" s="90"/>
    </row>
    <row r="696" spans="2:5" ht="12.75" customHeight="1">
      <c r="B696" s="28"/>
      <c r="C696" s="90"/>
      <c r="D696" s="90"/>
      <c r="E696" s="90"/>
    </row>
    <row r="697" spans="2:5" ht="12.75" customHeight="1">
      <c r="B697" s="28"/>
      <c r="C697" s="90"/>
      <c r="D697" s="90"/>
      <c r="E697" s="90"/>
    </row>
    <row r="698" spans="2:5" ht="12.75" customHeight="1">
      <c r="B698" s="28"/>
      <c r="C698" s="90"/>
      <c r="D698" s="90"/>
      <c r="E698" s="90"/>
    </row>
    <row r="699" spans="2:5" ht="12.75" customHeight="1">
      <c r="B699" s="28"/>
      <c r="C699" s="90"/>
      <c r="D699" s="90"/>
      <c r="E699" s="90"/>
    </row>
    <row r="700" spans="2:5" ht="12.75" customHeight="1">
      <c r="B700" s="28"/>
      <c r="C700" s="90"/>
      <c r="D700" s="90"/>
      <c r="E700" s="90"/>
    </row>
    <row r="701" spans="2:5" ht="12.75" customHeight="1">
      <c r="B701" s="28"/>
      <c r="C701" s="90"/>
      <c r="D701" s="90"/>
      <c r="E701" s="90"/>
    </row>
    <row r="702" spans="2:5" ht="12.75" customHeight="1">
      <c r="B702" s="28"/>
      <c r="C702" s="90"/>
      <c r="D702" s="90"/>
      <c r="E702" s="90"/>
    </row>
    <row r="703" spans="2:5" ht="12.75" customHeight="1">
      <c r="B703" s="28"/>
      <c r="C703" s="90"/>
      <c r="D703" s="90"/>
      <c r="E703" s="90"/>
    </row>
    <row r="704" spans="2:5" ht="12.75" customHeight="1">
      <c r="B704" s="28"/>
      <c r="C704" s="90"/>
      <c r="D704" s="90"/>
      <c r="E704" s="90"/>
    </row>
    <row r="705" spans="2:5" ht="12.75" customHeight="1">
      <c r="B705" s="28"/>
      <c r="C705" s="90"/>
      <c r="D705" s="90"/>
      <c r="E705" s="90"/>
    </row>
    <row r="706" spans="2:5" ht="12.75" customHeight="1">
      <c r="B706" s="28"/>
      <c r="C706" s="90"/>
      <c r="D706" s="90"/>
      <c r="E706" s="90"/>
    </row>
    <row r="707" spans="2:5" ht="12.75" customHeight="1">
      <c r="B707" s="28"/>
      <c r="C707" s="90"/>
      <c r="D707" s="90"/>
      <c r="E707" s="90"/>
    </row>
    <row r="708" spans="2:5" ht="12.75" customHeight="1">
      <c r="B708" s="28"/>
      <c r="C708" s="90"/>
      <c r="D708" s="90"/>
      <c r="E708" s="90"/>
    </row>
    <row r="709" spans="2:5" ht="12.75" customHeight="1">
      <c r="B709" s="28"/>
      <c r="C709" s="90"/>
      <c r="D709" s="90"/>
      <c r="E709" s="90"/>
    </row>
    <row r="710" spans="2:5" ht="12.75" customHeight="1">
      <c r="B710" s="28"/>
      <c r="C710" s="90"/>
      <c r="D710" s="90"/>
      <c r="E710" s="90"/>
    </row>
    <row r="711" spans="2:5" ht="12.75" customHeight="1">
      <c r="B711" s="28"/>
      <c r="C711" s="90"/>
      <c r="D711" s="90"/>
      <c r="E711" s="90"/>
    </row>
    <row r="712" spans="2:5" ht="12.75" customHeight="1">
      <c r="B712" s="28"/>
      <c r="C712" s="90"/>
      <c r="D712" s="90"/>
      <c r="E712" s="90"/>
    </row>
    <row r="713" spans="2:5" ht="12.75" customHeight="1">
      <c r="B713" s="28"/>
      <c r="C713" s="90"/>
      <c r="D713" s="90"/>
      <c r="E713" s="90"/>
    </row>
    <row r="714" spans="2:5" ht="12.75" customHeight="1">
      <c r="B714" s="28"/>
      <c r="C714" s="90"/>
      <c r="D714" s="90"/>
      <c r="E714" s="90"/>
    </row>
    <row r="715" spans="2:5" ht="12.75" customHeight="1">
      <c r="B715" s="28"/>
      <c r="C715" s="90"/>
      <c r="D715" s="90"/>
      <c r="E715" s="90"/>
    </row>
    <row r="716" spans="2:5" ht="12.75" customHeight="1">
      <c r="B716" s="28"/>
      <c r="C716" s="90"/>
      <c r="D716" s="90"/>
      <c r="E716" s="90"/>
    </row>
    <row r="717" spans="2:5" ht="12.75" customHeight="1">
      <c r="B717" s="28"/>
      <c r="C717" s="90"/>
      <c r="D717" s="90"/>
      <c r="E717" s="90"/>
    </row>
    <row r="718" spans="2:5" ht="12.75" customHeight="1">
      <c r="B718" s="28"/>
      <c r="C718" s="90"/>
      <c r="D718" s="90"/>
      <c r="E718" s="90"/>
    </row>
    <row r="719" spans="2:5" ht="12.75" customHeight="1">
      <c r="B719" s="28"/>
      <c r="C719" s="90"/>
      <c r="D719" s="90"/>
      <c r="E719" s="90"/>
    </row>
    <row r="720" spans="2:5" ht="12.75" customHeight="1">
      <c r="B720" s="28"/>
      <c r="C720" s="90"/>
      <c r="D720" s="90"/>
      <c r="E720" s="90"/>
    </row>
    <row r="721" spans="2:5" ht="12.75" customHeight="1">
      <c r="B721" s="28"/>
      <c r="C721" s="90"/>
      <c r="D721" s="90"/>
      <c r="E721" s="90"/>
    </row>
    <row r="722" spans="2:5" ht="12.75" customHeight="1">
      <c r="B722" s="28"/>
      <c r="C722" s="90"/>
      <c r="D722" s="90"/>
      <c r="E722" s="90"/>
    </row>
    <row r="723" spans="2:5" ht="12.75" customHeight="1">
      <c r="B723" s="28"/>
      <c r="C723" s="90"/>
      <c r="D723" s="90"/>
      <c r="E723" s="90"/>
    </row>
    <row r="724" spans="2:5" ht="12.75" customHeight="1">
      <c r="B724" s="28"/>
      <c r="C724" s="90"/>
      <c r="D724" s="90"/>
      <c r="E724" s="90"/>
    </row>
    <row r="725" spans="2:5" ht="12.75" customHeight="1">
      <c r="B725" s="28"/>
      <c r="C725" s="90"/>
      <c r="D725" s="90"/>
      <c r="E725" s="90"/>
    </row>
    <row r="726" spans="2:5" ht="12.75" customHeight="1">
      <c r="B726" s="28"/>
      <c r="C726" s="90"/>
      <c r="D726" s="90"/>
      <c r="E726" s="90"/>
    </row>
    <row r="727" spans="2:5" ht="12.75" customHeight="1">
      <c r="B727" s="28"/>
      <c r="C727" s="90"/>
      <c r="D727" s="90"/>
      <c r="E727" s="90"/>
    </row>
    <row r="728" spans="2:5" ht="12.75" customHeight="1">
      <c r="B728" s="28"/>
      <c r="C728" s="90"/>
      <c r="D728" s="90"/>
      <c r="E728" s="90"/>
    </row>
    <row r="729" spans="2:5" ht="12.75" customHeight="1">
      <c r="B729" s="28"/>
      <c r="C729" s="90"/>
      <c r="D729" s="90"/>
      <c r="E729" s="90"/>
    </row>
    <row r="730" spans="2:5" ht="12.75" customHeight="1">
      <c r="B730" s="28"/>
      <c r="C730" s="90"/>
      <c r="D730" s="90"/>
      <c r="E730" s="90"/>
    </row>
    <row r="731" spans="2:5" ht="12.75" customHeight="1">
      <c r="B731" s="28"/>
      <c r="C731" s="90"/>
      <c r="D731" s="90"/>
      <c r="E731" s="90"/>
    </row>
    <row r="732" spans="2:5" ht="12.75" customHeight="1">
      <c r="B732" s="28"/>
      <c r="C732" s="90"/>
      <c r="D732" s="90"/>
      <c r="E732" s="90"/>
    </row>
    <row r="733" spans="2:5" ht="12.75" customHeight="1">
      <c r="B733" s="28"/>
      <c r="C733" s="90"/>
      <c r="D733" s="90"/>
      <c r="E733" s="90"/>
    </row>
    <row r="734" spans="2:5" ht="12.75" customHeight="1">
      <c r="B734" s="28"/>
      <c r="C734" s="90"/>
      <c r="D734" s="90"/>
      <c r="E734" s="90"/>
    </row>
    <row r="735" spans="2:5" ht="12.75" customHeight="1">
      <c r="B735" s="28"/>
      <c r="C735" s="90"/>
      <c r="D735" s="90"/>
      <c r="E735" s="90"/>
    </row>
    <row r="736" spans="2:5" ht="12.75" customHeight="1">
      <c r="B736" s="28"/>
      <c r="C736" s="90"/>
      <c r="D736" s="90"/>
      <c r="E736" s="90"/>
    </row>
    <row r="737" spans="2:5" ht="12.75" customHeight="1">
      <c r="B737" s="28"/>
      <c r="C737" s="90"/>
      <c r="D737" s="90"/>
      <c r="E737" s="90"/>
    </row>
    <row r="738" spans="2:5" ht="12.75" customHeight="1">
      <c r="B738" s="28"/>
      <c r="C738" s="90"/>
      <c r="D738" s="90"/>
      <c r="E738" s="90"/>
    </row>
    <row r="739" spans="2:5" ht="12.75" customHeight="1">
      <c r="B739" s="28"/>
      <c r="C739" s="90"/>
      <c r="D739" s="90"/>
      <c r="E739" s="90"/>
    </row>
    <row r="740" spans="2:5" ht="12.75" customHeight="1">
      <c r="B740" s="28"/>
      <c r="C740" s="90"/>
      <c r="D740" s="90"/>
      <c r="E740" s="90"/>
    </row>
    <row r="741" spans="2:5" ht="12.75" customHeight="1">
      <c r="B741" s="28"/>
      <c r="C741" s="90"/>
      <c r="D741" s="90"/>
      <c r="E741" s="90"/>
    </row>
    <row r="742" spans="2:5" ht="12.75" customHeight="1">
      <c r="B742" s="28"/>
      <c r="C742" s="90"/>
      <c r="D742" s="90"/>
      <c r="E742" s="90"/>
    </row>
    <row r="743" spans="2:5" ht="12.75" customHeight="1">
      <c r="B743" s="28"/>
      <c r="C743" s="90"/>
      <c r="D743" s="90"/>
      <c r="E743" s="90"/>
    </row>
    <row r="744" spans="2:5" ht="12.75" customHeight="1">
      <c r="B744" s="28"/>
      <c r="C744" s="90"/>
      <c r="D744" s="90"/>
      <c r="E744" s="90"/>
    </row>
    <row r="745" spans="2:5" ht="12.75" customHeight="1">
      <c r="B745" s="28"/>
      <c r="C745" s="90"/>
      <c r="D745" s="90"/>
      <c r="E745" s="90"/>
    </row>
    <row r="746" spans="2:5" ht="12.75" customHeight="1">
      <c r="B746" s="28"/>
      <c r="C746" s="90"/>
      <c r="D746" s="90"/>
      <c r="E746" s="90"/>
    </row>
    <row r="747" spans="2:5" ht="12.75" customHeight="1">
      <c r="B747" s="28"/>
      <c r="C747" s="90"/>
      <c r="D747" s="90"/>
      <c r="E747" s="90"/>
    </row>
    <row r="748" spans="2:5" ht="12.75" customHeight="1">
      <c r="B748" s="28"/>
      <c r="C748" s="90"/>
      <c r="D748" s="90"/>
      <c r="E748" s="90"/>
    </row>
    <row r="749" spans="2:5" ht="12.75" customHeight="1">
      <c r="B749" s="28"/>
      <c r="C749" s="90"/>
      <c r="D749" s="90"/>
      <c r="E749" s="90"/>
    </row>
    <row r="750" spans="2:5" ht="12.75" customHeight="1">
      <c r="B750" s="28"/>
      <c r="C750" s="90"/>
      <c r="D750" s="90"/>
      <c r="E750" s="90"/>
    </row>
    <row r="751" spans="2:5" ht="12.75" customHeight="1">
      <c r="B751" s="28"/>
      <c r="C751" s="90"/>
      <c r="D751" s="90"/>
      <c r="E751" s="90"/>
    </row>
    <row r="752" spans="2:5" ht="12.75" customHeight="1">
      <c r="B752" s="28"/>
      <c r="C752" s="90"/>
      <c r="D752" s="90"/>
      <c r="E752" s="90"/>
    </row>
    <row r="753" spans="2:5" ht="12.75" customHeight="1">
      <c r="B753" s="28"/>
      <c r="C753" s="90"/>
      <c r="D753" s="90"/>
      <c r="E753" s="90"/>
    </row>
    <row r="754" spans="2:5" ht="12.75" customHeight="1">
      <c r="B754" s="28"/>
      <c r="C754" s="90"/>
      <c r="D754" s="90"/>
      <c r="E754" s="90"/>
    </row>
    <row r="755" spans="2:5" ht="12.75" customHeight="1">
      <c r="B755" s="28"/>
      <c r="C755" s="90"/>
      <c r="D755" s="90"/>
      <c r="E755" s="90"/>
    </row>
    <row r="756" spans="2:5" ht="12.75" customHeight="1">
      <c r="B756" s="28"/>
      <c r="C756" s="90"/>
      <c r="D756" s="90"/>
      <c r="E756" s="90"/>
    </row>
    <row r="757" spans="2:5" ht="12.75" customHeight="1">
      <c r="B757" s="28"/>
      <c r="C757" s="90"/>
      <c r="D757" s="90"/>
      <c r="E757" s="90"/>
    </row>
    <row r="758" spans="2:5" ht="12.75" customHeight="1">
      <c r="B758" s="28"/>
      <c r="C758" s="90"/>
      <c r="D758" s="90"/>
      <c r="E758" s="90"/>
    </row>
    <row r="759" spans="2:5" ht="12.75" customHeight="1">
      <c r="B759" s="28"/>
      <c r="C759" s="90"/>
      <c r="D759" s="90"/>
      <c r="E759" s="90"/>
    </row>
    <row r="760" spans="2:5" ht="12.75" customHeight="1">
      <c r="B760" s="28"/>
      <c r="C760" s="90"/>
      <c r="D760" s="90"/>
      <c r="E760" s="90"/>
    </row>
    <row r="761" spans="2:5" ht="12.75" customHeight="1">
      <c r="B761" s="28"/>
      <c r="C761" s="90"/>
      <c r="D761" s="90"/>
      <c r="E761" s="90"/>
    </row>
    <row r="762" spans="2:5" ht="12.75" customHeight="1">
      <c r="B762" s="28"/>
      <c r="C762" s="90"/>
      <c r="D762" s="90"/>
      <c r="E762" s="90"/>
    </row>
    <row r="763" spans="2:5" ht="12.75" customHeight="1">
      <c r="B763" s="28"/>
      <c r="C763" s="90"/>
      <c r="D763" s="90"/>
      <c r="E763" s="90"/>
    </row>
    <row r="764" spans="2:5" ht="12.75" customHeight="1">
      <c r="B764" s="28"/>
      <c r="C764" s="90"/>
      <c r="D764" s="90"/>
      <c r="E764" s="90"/>
    </row>
    <row r="765" spans="2:5" ht="12.75" customHeight="1">
      <c r="B765" s="28"/>
      <c r="C765" s="90"/>
      <c r="D765" s="90"/>
      <c r="E765" s="90"/>
    </row>
    <row r="766" spans="2:5" ht="12.75" customHeight="1">
      <c r="B766" s="28"/>
      <c r="C766" s="90"/>
      <c r="D766" s="90"/>
      <c r="E766" s="90"/>
    </row>
    <row r="767" spans="2:5" ht="12.75" customHeight="1">
      <c r="B767" s="28"/>
      <c r="C767" s="90"/>
      <c r="D767" s="90"/>
      <c r="E767" s="90"/>
    </row>
    <row r="768" spans="2:5" ht="12.75" customHeight="1">
      <c r="B768" s="28"/>
      <c r="C768" s="90"/>
      <c r="D768" s="90"/>
      <c r="E768" s="90"/>
    </row>
    <row r="769" spans="2:5" ht="12.75" customHeight="1">
      <c r="B769" s="28"/>
      <c r="C769" s="90"/>
      <c r="D769" s="90"/>
      <c r="E769" s="90"/>
    </row>
    <row r="770" spans="2:5" ht="12.75" customHeight="1">
      <c r="B770" s="28"/>
      <c r="C770" s="90"/>
      <c r="D770" s="90"/>
      <c r="E770" s="90"/>
    </row>
    <row r="771" spans="2:5" ht="12.75" customHeight="1">
      <c r="B771" s="28"/>
      <c r="C771" s="90"/>
      <c r="D771" s="90"/>
      <c r="E771" s="90"/>
    </row>
    <row r="772" spans="2:5" ht="12.75" customHeight="1">
      <c r="B772" s="28"/>
      <c r="C772" s="90"/>
      <c r="D772" s="90"/>
      <c r="E772" s="90"/>
    </row>
    <row r="773" spans="2:5" ht="12.75" customHeight="1">
      <c r="B773" s="28"/>
      <c r="C773" s="90"/>
      <c r="D773" s="90"/>
      <c r="E773" s="90"/>
    </row>
    <row r="774" spans="2:5" ht="12.75" customHeight="1">
      <c r="B774" s="28"/>
      <c r="C774" s="90"/>
      <c r="D774" s="90"/>
      <c r="E774" s="90"/>
    </row>
    <row r="775" spans="2:5" ht="12.75" customHeight="1">
      <c r="B775" s="28"/>
      <c r="C775" s="90"/>
      <c r="D775" s="90"/>
      <c r="E775" s="90"/>
    </row>
    <row r="776" spans="2:5" ht="12.75" customHeight="1">
      <c r="B776" s="28"/>
      <c r="C776" s="90"/>
      <c r="D776" s="90"/>
      <c r="E776" s="90"/>
    </row>
    <row r="777" spans="2:5" ht="12.75" customHeight="1">
      <c r="B777" s="28"/>
      <c r="C777" s="90"/>
      <c r="D777" s="90"/>
      <c r="E777" s="90"/>
    </row>
    <row r="778" spans="2:5" ht="12.75" customHeight="1">
      <c r="B778" s="28"/>
      <c r="C778" s="90"/>
      <c r="D778" s="90"/>
      <c r="E778" s="90"/>
    </row>
    <row r="779" spans="2:5" ht="12.75" customHeight="1">
      <c r="B779" s="28"/>
      <c r="C779" s="90"/>
      <c r="D779" s="90"/>
      <c r="E779" s="90"/>
    </row>
    <row r="780" spans="2:5" ht="12.75" customHeight="1">
      <c r="B780" s="28"/>
      <c r="C780" s="90"/>
      <c r="D780" s="90"/>
      <c r="E780" s="90"/>
    </row>
    <row r="781" spans="2:5" ht="12.75" customHeight="1">
      <c r="B781" s="28"/>
      <c r="C781" s="90"/>
      <c r="D781" s="90"/>
      <c r="E781" s="90"/>
    </row>
    <row r="782" spans="2:5" ht="12.75" customHeight="1">
      <c r="B782" s="28"/>
      <c r="C782" s="90"/>
      <c r="D782" s="90"/>
      <c r="E782" s="90"/>
    </row>
    <row r="783" spans="2:5" ht="12.75" customHeight="1">
      <c r="B783" s="28"/>
      <c r="C783" s="90"/>
      <c r="D783" s="90"/>
      <c r="E783" s="90"/>
    </row>
    <row r="784" spans="2:5" ht="12.75" customHeight="1">
      <c r="B784" s="28"/>
      <c r="C784" s="90"/>
      <c r="D784" s="90"/>
      <c r="E784" s="90"/>
    </row>
    <row r="785" spans="2:5" ht="12.75" customHeight="1">
      <c r="B785" s="28"/>
      <c r="C785" s="90"/>
      <c r="D785" s="90"/>
      <c r="E785" s="90"/>
    </row>
    <row r="786" spans="2:5" ht="12.75" customHeight="1">
      <c r="B786" s="28"/>
      <c r="C786" s="90"/>
      <c r="D786" s="90"/>
      <c r="E786" s="90"/>
    </row>
    <row r="787" spans="2:5" ht="12.75" customHeight="1">
      <c r="B787" s="28"/>
      <c r="C787" s="90"/>
      <c r="D787" s="90"/>
      <c r="E787" s="90"/>
    </row>
    <row r="788" spans="2:5" ht="12.75" customHeight="1">
      <c r="B788" s="28"/>
      <c r="C788" s="90"/>
      <c r="D788" s="90"/>
      <c r="E788" s="90"/>
    </row>
    <row r="789" spans="2:5" ht="12.75" customHeight="1">
      <c r="B789" s="28"/>
      <c r="C789" s="90"/>
      <c r="D789" s="90"/>
      <c r="E789" s="90"/>
    </row>
    <row r="790" spans="2:5" ht="12.75" customHeight="1">
      <c r="B790" s="28"/>
      <c r="C790" s="90"/>
      <c r="D790" s="90"/>
      <c r="E790" s="90"/>
    </row>
    <row r="791" spans="2:5" ht="12.75" customHeight="1">
      <c r="B791" s="28"/>
      <c r="C791" s="90"/>
      <c r="D791" s="90"/>
      <c r="E791" s="90"/>
    </row>
    <row r="792" spans="2:5" ht="12.75" customHeight="1">
      <c r="B792" s="28"/>
      <c r="C792" s="90"/>
      <c r="D792" s="90"/>
      <c r="E792" s="90"/>
    </row>
    <row r="793" spans="2:5" ht="12.75" customHeight="1">
      <c r="B793" s="28"/>
      <c r="C793" s="90"/>
      <c r="D793" s="90"/>
      <c r="E793" s="90"/>
    </row>
    <row r="794" spans="2:5" ht="12.75" customHeight="1">
      <c r="B794" s="28"/>
      <c r="C794" s="90"/>
      <c r="D794" s="90"/>
      <c r="E794" s="90"/>
    </row>
    <row r="795" spans="2:5" ht="12.75" customHeight="1">
      <c r="B795" s="28"/>
      <c r="C795" s="90"/>
      <c r="D795" s="90"/>
      <c r="E795" s="90"/>
    </row>
    <row r="796" spans="2:5" ht="12.75" customHeight="1">
      <c r="B796" s="28"/>
      <c r="C796" s="90"/>
      <c r="D796" s="90"/>
      <c r="E796" s="90"/>
    </row>
    <row r="797" spans="2:5" ht="12.75" customHeight="1">
      <c r="B797" s="28"/>
      <c r="C797" s="90"/>
      <c r="D797" s="90"/>
      <c r="E797" s="90"/>
    </row>
    <row r="798" spans="2:5" ht="12.75" customHeight="1">
      <c r="B798" s="28"/>
      <c r="C798" s="90"/>
      <c r="D798" s="90"/>
      <c r="E798" s="90"/>
    </row>
    <row r="799" spans="2:5" ht="12.75" customHeight="1">
      <c r="B799" s="28"/>
      <c r="C799" s="90"/>
      <c r="D799" s="90"/>
      <c r="E799" s="90"/>
    </row>
    <row r="800" spans="2:5" ht="12.75" customHeight="1">
      <c r="B800" s="28"/>
      <c r="C800" s="90"/>
      <c r="D800" s="90"/>
      <c r="E800" s="90"/>
    </row>
    <row r="801" spans="2:5" ht="12.75" customHeight="1">
      <c r="B801" s="28"/>
      <c r="C801" s="90"/>
      <c r="D801" s="90"/>
      <c r="E801" s="90"/>
    </row>
    <row r="802" spans="2:5" ht="12.75" customHeight="1">
      <c r="B802" s="28"/>
      <c r="C802" s="90"/>
      <c r="D802" s="90"/>
      <c r="E802" s="90"/>
    </row>
    <row r="803" spans="2:5" ht="12.75" customHeight="1">
      <c r="B803" s="28"/>
      <c r="C803" s="90"/>
      <c r="D803" s="90"/>
      <c r="E803" s="90"/>
    </row>
    <row r="804" spans="2:5" ht="12.75" customHeight="1">
      <c r="B804" s="28"/>
      <c r="C804" s="90"/>
      <c r="D804" s="90"/>
      <c r="E804" s="90"/>
    </row>
    <row r="805" spans="2:5" ht="12.75" customHeight="1">
      <c r="B805" s="28"/>
      <c r="C805" s="90"/>
      <c r="D805" s="90"/>
      <c r="E805" s="90"/>
    </row>
    <row r="806" spans="2:5" ht="12.75" customHeight="1">
      <c r="B806" s="28"/>
      <c r="C806" s="90"/>
      <c r="D806" s="90"/>
      <c r="E806" s="90"/>
    </row>
    <row r="807" spans="2:5" ht="12.75" customHeight="1">
      <c r="B807" s="28"/>
      <c r="C807" s="90"/>
      <c r="D807" s="90"/>
      <c r="E807" s="90"/>
    </row>
    <row r="808" spans="2:5" ht="12.75" customHeight="1">
      <c r="B808" s="28"/>
      <c r="C808" s="90"/>
      <c r="D808" s="90"/>
      <c r="E808" s="90"/>
    </row>
    <row r="809" spans="2:5" ht="12.75" customHeight="1">
      <c r="B809" s="28"/>
      <c r="C809" s="90"/>
      <c r="D809" s="90"/>
      <c r="E809" s="90"/>
    </row>
    <row r="810" spans="2:5" ht="12.75" customHeight="1">
      <c r="B810" s="28"/>
      <c r="C810" s="90"/>
      <c r="D810" s="90"/>
      <c r="E810" s="90"/>
    </row>
    <row r="811" spans="2:5" ht="12.75" customHeight="1">
      <c r="B811" s="28"/>
      <c r="C811" s="90"/>
      <c r="D811" s="90"/>
      <c r="E811" s="90"/>
    </row>
    <row r="812" spans="2:5" ht="12.75" customHeight="1">
      <c r="B812" s="28"/>
      <c r="C812" s="90"/>
      <c r="D812" s="90"/>
      <c r="E812" s="90"/>
    </row>
    <row r="813" spans="2:5" ht="12.75" customHeight="1">
      <c r="B813" s="28"/>
      <c r="C813" s="90"/>
      <c r="D813" s="90"/>
      <c r="E813" s="90"/>
    </row>
    <row r="814" spans="2:5" ht="12.75" customHeight="1">
      <c r="B814" s="28"/>
      <c r="C814" s="90"/>
      <c r="D814" s="90"/>
      <c r="E814" s="90"/>
    </row>
    <row r="815" spans="2:5" ht="12.75" customHeight="1">
      <c r="B815" s="28"/>
      <c r="C815" s="90"/>
      <c r="D815" s="90"/>
      <c r="E815" s="90"/>
    </row>
    <row r="816" spans="2:5" ht="12.75" customHeight="1">
      <c r="B816" s="28"/>
      <c r="C816" s="90"/>
      <c r="D816" s="90"/>
      <c r="E816" s="90"/>
    </row>
    <row r="817" spans="2:5" ht="12.75" customHeight="1">
      <c r="B817" s="28"/>
      <c r="C817" s="90"/>
      <c r="D817" s="90"/>
      <c r="E817" s="90"/>
    </row>
    <row r="818" spans="2:5" ht="12.75" customHeight="1">
      <c r="B818" s="28"/>
      <c r="C818" s="90"/>
      <c r="D818" s="90"/>
      <c r="E818" s="90"/>
    </row>
    <row r="819" spans="2:5" ht="12.75" customHeight="1">
      <c r="B819" s="28"/>
      <c r="C819" s="90"/>
      <c r="D819" s="90"/>
      <c r="E819" s="90"/>
    </row>
    <row r="820" spans="2:5" ht="12.75" customHeight="1">
      <c r="B820" s="28"/>
      <c r="C820" s="90"/>
      <c r="D820" s="90"/>
      <c r="E820" s="90"/>
    </row>
    <row r="821" spans="2:5" ht="12.75" customHeight="1">
      <c r="B821" s="28"/>
      <c r="C821" s="90"/>
      <c r="D821" s="90"/>
      <c r="E821" s="90"/>
    </row>
    <row r="822" spans="2:5" ht="12.75" customHeight="1">
      <c r="B822" s="28"/>
      <c r="C822" s="90"/>
      <c r="D822" s="90"/>
      <c r="E822" s="90"/>
    </row>
    <row r="823" spans="2:5" ht="12.75" customHeight="1">
      <c r="B823" s="28"/>
      <c r="C823" s="90"/>
      <c r="D823" s="90"/>
      <c r="E823" s="90"/>
    </row>
    <row r="824" spans="2:5" ht="12.75" customHeight="1">
      <c r="B824" s="28"/>
      <c r="C824" s="90"/>
      <c r="D824" s="90"/>
      <c r="E824" s="90"/>
    </row>
    <row r="825" spans="2:5" ht="12.75" customHeight="1">
      <c r="B825" s="28"/>
      <c r="C825" s="90"/>
      <c r="D825" s="90"/>
      <c r="E825" s="90"/>
    </row>
    <row r="826" spans="2:5" ht="12.75" customHeight="1">
      <c r="B826" s="28"/>
      <c r="C826" s="90"/>
      <c r="D826" s="90"/>
      <c r="E826" s="90"/>
    </row>
    <row r="827" spans="2:5" ht="12.75" customHeight="1">
      <c r="B827" s="28"/>
      <c r="C827" s="90"/>
      <c r="D827" s="90"/>
      <c r="E827" s="90"/>
    </row>
    <row r="828" spans="2:5" ht="12.75" customHeight="1">
      <c r="B828" s="28"/>
      <c r="C828" s="90"/>
      <c r="D828" s="90"/>
      <c r="E828" s="90"/>
    </row>
    <row r="829" spans="2:5" ht="12.75" customHeight="1">
      <c r="B829" s="28"/>
      <c r="C829" s="90"/>
      <c r="D829" s="90"/>
      <c r="E829" s="90"/>
    </row>
    <row r="830" spans="2:5" ht="12.75" customHeight="1">
      <c r="B830" s="28"/>
      <c r="C830" s="90"/>
      <c r="D830" s="90"/>
      <c r="E830" s="90"/>
    </row>
    <row r="831" spans="2:5" ht="12.75" customHeight="1">
      <c r="B831" s="28"/>
      <c r="C831" s="90"/>
      <c r="D831" s="90"/>
      <c r="E831" s="90"/>
    </row>
    <row r="832" spans="2:5" ht="12.75" customHeight="1">
      <c r="B832" s="28"/>
      <c r="C832" s="90"/>
      <c r="D832" s="90"/>
      <c r="E832" s="90"/>
    </row>
    <row r="833" spans="2:5" ht="12.75" customHeight="1">
      <c r="B833" s="28"/>
      <c r="C833" s="90"/>
      <c r="D833" s="90"/>
      <c r="E833" s="90"/>
    </row>
    <row r="834" spans="2:5" ht="12.75" customHeight="1">
      <c r="B834" s="28"/>
      <c r="C834" s="90"/>
      <c r="D834" s="90"/>
      <c r="E834" s="90"/>
    </row>
    <row r="835" spans="2:5" ht="12.75" customHeight="1">
      <c r="B835" s="28"/>
      <c r="C835" s="90"/>
      <c r="D835" s="90"/>
      <c r="E835" s="90"/>
    </row>
    <row r="836" spans="2:5" ht="12.75" customHeight="1">
      <c r="B836" s="28"/>
      <c r="C836" s="90"/>
      <c r="D836" s="90"/>
      <c r="E836" s="90"/>
    </row>
    <row r="837" spans="2:5" ht="12.75" customHeight="1">
      <c r="B837" s="28"/>
      <c r="C837" s="90"/>
      <c r="D837" s="90"/>
      <c r="E837" s="90"/>
    </row>
    <row r="838" spans="2:5" ht="12.75" customHeight="1">
      <c r="B838" s="28"/>
      <c r="C838" s="90"/>
      <c r="D838" s="90"/>
      <c r="E838" s="90"/>
    </row>
    <row r="839" spans="2:5" ht="12.75" customHeight="1">
      <c r="B839" s="28"/>
      <c r="C839" s="90"/>
      <c r="D839" s="90"/>
      <c r="E839" s="90"/>
    </row>
    <row r="840" spans="2:5" ht="12.75" customHeight="1">
      <c r="B840" s="28"/>
      <c r="C840" s="90"/>
      <c r="D840" s="90"/>
      <c r="E840" s="90"/>
    </row>
    <row r="841" spans="2:5" ht="12.75" customHeight="1">
      <c r="B841" s="28"/>
      <c r="C841" s="90"/>
      <c r="D841" s="90"/>
      <c r="E841" s="90"/>
    </row>
    <row r="842" spans="2:5" ht="12.75" customHeight="1">
      <c r="B842" s="28"/>
      <c r="C842" s="90"/>
      <c r="D842" s="90"/>
      <c r="E842" s="90"/>
    </row>
    <row r="843" spans="2:5" ht="12.75" customHeight="1">
      <c r="B843" s="28"/>
      <c r="C843" s="90"/>
      <c r="D843" s="90"/>
      <c r="E843" s="90"/>
    </row>
    <row r="844" spans="2:5" ht="12.75" customHeight="1">
      <c r="B844" s="28"/>
      <c r="C844" s="90"/>
      <c r="D844" s="90"/>
      <c r="E844" s="90"/>
    </row>
    <row r="845" spans="2:5" ht="12.75" customHeight="1">
      <c r="B845" s="28"/>
      <c r="C845" s="90"/>
      <c r="D845" s="90"/>
      <c r="E845" s="90"/>
    </row>
    <row r="846" spans="2:5" ht="12.75" customHeight="1">
      <c r="B846" s="28"/>
      <c r="C846" s="90"/>
      <c r="D846" s="90"/>
      <c r="E846" s="90"/>
    </row>
    <row r="847" spans="2:5" ht="12.75" customHeight="1">
      <c r="B847" s="28"/>
      <c r="C847" s="90"/>
      <c r="D847" s="90"/>
      <c r="E847" s="90"/>
    </row>
    <row r="848" spans="2:5" ht="12.75" customHeight="1">
      <c r="B848" s="28"/>
      <c r="C848" s="90"/>
      <c r="D848" s="90"/>
      <c r="E848" s="90"/>
    </row>
    <row r="849" spans="2:5" ht="12.75" customHeight="1">
      <c r="B849" s="28"/>
      <c r="C849" s="90"/>
      <c r="D849" s="90"/>
      <c r="E849" s="90"/>
    </row>
    <row r="850" spans="2:5" ht="12.75" customHeight="1">
      <c r="B850" s="28"/>
      <c r="C850" s="90"/>
      <c r="D850" s="90"/>
      <c r="E850" s="90"/>
    </row>
    <row r="851" spans="2:5" ht="12.75" customHeight="1">
      <c r="B851" s="28"/>
      <c r="C851" s="90"/>
      <c r="D851" s="90"/>
      <c r="E851" s="90"/>
    </row>
    <row r="852" spans="2:5" ht="12.75" customHeight="1">
      <c r="B852" s="28"/>
      <c r="C852" s="90"/>
      <c r="D852" s="90"/>
      <c r="E852" s="90"/>
    </row>
    <row r="853" spans="2:5" ht="12.75" customHeight="1">
      <c r="B853" s="28"/>
      <c r="C853" s="90"/>
      <c r="D853" s="90"/>
      <c r="E853" s="90"/>
    </row>
    <row r="854" spans="2:5" ht="12.75" customHeight="1">
      <c r="B854" s="28"/>
      <c r="C854" s="90"/>
      <c r="D854" s="90"/>
      <c r="E854" s="90"/>
    </row>
    <row r="855" spans="2:5" ht="12.75" customHeight="1">
      <c r="B855" s="28"/>
      <c r="C855" s="90"/>
      <c r="D855" s="90"/>
      <c r="E855" s="90"/>
    </row>
    <row r="856" spans="2:5" ht="12.75" customHeight="1">
      <c r="B856" s="28"/>
      <c r="C856" s="90"/>
      <c r="D856" s="90"/>
      <c r="E856" s="90"/>
    </row>
    <row r="857" spans="2:5" ht="12.75" customHeight="1">
      <c r="B857" s="28"/>
      <c r="C857" s="90"/>
      <c r="D857" s="90"/>
      <c r="E857" s="90"/>
    </row>
    <row r="858" spans="2:5" ht="12.75" customHeight="1">
      <c r="B858" s="28"/>
      <c r="C858" s="90"/>
      <c r="D858" s="90"/>
      <c r="E858" s="90"/>
    </row>
    <row r="859" spans="2:5" ht="12.75" customHeight="1">
      <c r="B859" s="28"/>
      <c r="C859" s="90"/>
      <c r="D859" s="90"/>
      <c r="E859" s="90"/>
    </row>
    <row r="860" spans="2:5" ht="12.75" customHeight="1">
      <c r="B860" s="28"/>
      <c r="C860" s="90"/>
      <c r="D860" s="90"/>
      <c r="E860" s="90"/>
    </row>
    <row r="861" spans="2:5" ht="12.75" customHeight="1">
      <c r="B861" s="28"/>
      <c r="C861" s="90"/>
      <c r="D861" s="90"/>
      <c r="E861" s="90"/>
    </row>
    <row r="862" spans="2:5" ht="12.75" customHeight="1">
      <c r="B862" s="28"/>
      <c r="C862" s="90"/>
      <c r="D862" s="90"/>
      <c r="E862" s="90"/>
    </row>
    <row r="863" spans="2:5" ht="12.75" customHeight="1">
      <c r="B863" s="28"/>
      <c r="C863" s="90"/>
      <c r="D863" s="90"/>
      <c r="E863" s="90"/>
    </row>
    <row r="864" spans="2:5" ht="12.75" customHeight="1">
      <c r="B864" s="28"/>
      <c r="C864" s="90"/>
      <c r="D864" s="90"/>
      <c r="E864" s="90"/>
    </row>
    <row r="865" spans="2:5" ht="12.75" customHeight="1">
      <c r="B865" s="28"/>
      <c r="C865" s="90"/>
      <c r="D865" s="90"/>
      <c r="E865" s="90"/>
    </row>
    <row r="866" spans="2:5" ht="12.75" customHeight="1">
      <c r="B866" s="28"/>
      <c r="C866" s="90"/>
      <c r="D866" s="90"/>
      <c r="E866" s="90"/>
    </row>
    <row r="867" spans="2:5" ht="12.75" customHeight="1">
      <c r="B867" s="28"/>
      <c r="C867" s="90"/>
      <c r="D867" s="90"/>
      <c r="E867" s="90"/>
    </row>
    <row r="868" spans="2:5" ht="12.75" customHeight="1">
      <c r="B868" s="28"/>
      <c r="C868" s="90"/>
      <c r="D868" s="90"/>
      <c r="E868" s="90"/>
    </row>
    <row r="869" spans="2:5" ht="12.75" customHeight="1">
      <c r="B869" s="28"/>
      <c r="C869" s="90"/>
      <c r="D869" s="90"/>
      <c r="E869" s="90"/>
    </row>
    <row r="870" spans="2:5" ht="12.75" customHeight="1">
      <c r="B870" s="28"/>
      <c r="C870" s="90"/>
      <c r="D870" s="90"/>
      <c r="E870" s="90"/>
    </row>
    <row r="871" spans="2:5" ht="12.75" customHeight="1">
      <c r="B871" s="28"/>
      <c r="C871" s="90"/>
      <c r="D871" s="90"/>
      <c r="E871" s="90"/>
    </row>
    <row r="872" spans="2:5" ht="12.75" customHeight="1">
      <c r="B872" s="28"/>
      <c r="C872" s="90"/>
      <c r="D872" s="90"/>
      <c r="E872" s="90"/>
    </row>
    <row r="873" spans="2:5" ht="12.75" customHeight="1">
      <c r="B873" s="28"/>
      <c r="C873" s="90"/>
      <c r="D873" s="90"/>
      <c r="E873" s="90"/>
    </row>
    <row r="874" spans="2:5" ht="12.75" customHeight="1">
      <c r="B874" s="28"/>
      <c r="C874" s="90"/>
      <c r="D874" s="90"/>
      <c r="E874" s="90"/>
    </row>
    <row r="875" spans="2:5" ht="12.75" customHeight="1">
      <c r="B875" s="28"/>
      <c r="C875" s="90"/>
      <c r="D875" s="90"/>
      <c r="E875" s="90"/>
    </row>
    <row r="876" spans="2:5" ht="12.75" customHeight="1">
      <c r="B876" s="28"/>
      <c r="C876" s="90"/>
      <c r="D876" s="90"/>
      <c r="E876" s="90"/>
    </row>
    <row r="877" spans="2:5" ht="12.75" customHeight="1">
      <c r="B877" s="28"/>
      <c r="C877" s="90"/>
      <c r="D877" s="90"/>
      <c r="E877" s="90"/>
    </row>
    <row r="878" spans="2:5" ht="12.75" customHeight="1">
      <c r="B878" s="28"/>
      <c r="C878" s="90"/>
      <c r="D878" s="90"/>
      <c r="E878" s="90"/>
    </row>
    <row r="879" spans="2:5" ht="12.75" customHeight="1">
      <c r="B879" s="28"/>
      <c r="C879" s="90"/>
      <c r="D879" s="90"/>
      <c r="E879" s="90"/>
    </row>
    <row r="880" spans="2:5" ht="12.75" customHeight="1">
      <c r="B880" s="28"/>
      <c r="C880" s="90"/>
      <c r="D880" s="90"/>
      <c r="E880" s="90"/>
    </row>
    <row r="881" spans="2:5" ht="12.75" customHeight="1">
      <c r="B881" s="28"/>
      <c r="C881" s="90"/>
      <c r="D881" s="90"/>
      <c r="E881" s="90"/>
    </row>
    <row r="882" spans="2:5" ht="12.75" customHeight="1">
      <c r="B882" s="28"/>
      <c r="C882" s="90"/>
      <c r="D882" s="90"/>
      <c r="E882" s="90"/>
    </row>
    <row r="883" spans="2:5" ht="12.75" customHeight="1">
      <c r="B883" s="28"/>
      <c r="C883" s="90"/>
      <c r="D883" s="90"/>
      <c r="E883" s="90"/>
    </row>
    <row r="884" spans="2:5" ht="12.75" customHeight="1">
      <c r="B884" s="28"/>
      <c r="C884" s="90"/>
      <c r="D884" s="90"/>
      <c r="E884" s="90"/>
    </row>
    <row r="885" spans="2:5" ht="12.75" customHeight="1">
      <c r="B885" s="28"/>
      <c r="C885" s="90"/>
      <c r="D885" s="90"/>
      <c r="E885" s="90"/>
    </row>
    <row r="886" spans="2:5" ht="12.75" customHeight="1">
      <c r="B886" s="28"/>
      <c r="C886" s="90"/>
      <c r="D886" s="90"/>
      <c r="E886" s="90"/>
    </row>
    <row r="887" spans="2:5" ht="12.75" customHeight="1">
      <c r="B887" s="28"/>
      <c r="C887" s="90"/>
      <c r="D887" s="90"/>
      <c r="E887" s="90"/>
    </row>
    <row r="888" spans="2:5" ht="12.75" customHeight="1">
      <c r="B888" s="28"/>
      <c r="C888" s="90"/>
      <c r="D888" s="90"/>
      <c r="E888" s="90"/>
    </row>
    <row r="889" spans="2:5" ht="12.75" customHeight="1">
      <c r="B889" s="28"/>
      <c r="C889" s="90"/>
      <c r="D889" s="90"/>
      <c r="E889" s="90"/>
    </row>
    <row r="890" spans="2:5" ht="12.75" customHeight="1">
      <c r="B890" s="28"/>
      <c r="C890" s="90"/>
      <c r="D890" s="90"/>
      <c r="E890" s="90"/>
    </row>
    <row r="891" spans="2:5" ht="12.75" customHeight="1">
      <c r="B891" s="28"/>
      <c r="C891" s="90"/>
      <c r="D891" s="90"/>
      <c r="E891" s="90"/>
    </row>
    <row r="892" spans="2:5" ht="12.75" customHeight="1">
      <c r="B892" s="28"/>
      <c r="C892" s="90"/>
      <c r="D892" s="90"/>
      <c r="E892" s="90"/>
    </row>
    <row r="893" spans="2:5" ht="12.75" customHeight="1">
      <c r="B893" s="28"/>
      <c r="C893" s="90"/>
      <c r="D893" s="90"/>
      <c r="E893" s="90"/>
    </row>
    <row r="894" spans="2:5" ht="12.75" customHeight="1">
      <c r="B894" s="28"/>
      <c r="C894" s="90"/>
      <c r="D894" s="90"/>
      <c r="E894" s="90"/>
    </row>
    <row r="895" spans="2:5" ht="12.75" customHeight="1">
      <c r="B895" s="28"/>
      <c r="C895" s="90"/>
      <c r="D895" s="90"/>
      <c r="E895" s="90"/>
    </row>
    <row r="896" spans="2:5" ht="12.75" customHeight="1">
      <c r="B896" s="28"/>
      <c r="C896" s="90"/>
      <c r="D896" s="90"/>
      <c r="E896" s="90"/>
    </row>
    <row r="897" spans="2:5" ht="12.75" customHeight="1">
      <c r="B897" s="28"/>
      <c r="C897" s="90"/>
      <c r="D897" s="90"/>
      <c r="E897" s="90"/>
    </row>
    <row r="898" spans="2:5" ht="12.75" customHeight="1">
      <c r="B898" s="28"/>
      <c r="C898" s="90"/>
      <c r="D898" s="90"/>
      <c r="E898" s="90"/>
    </row>
    <row r="899" spans="2:5" ht="12.75" customHeight="1">
      <c r="B899" s="28"/>
      <c r="C899" s="90"/>
      <c r="D899" s="90"/>
      <c r="E899" s="90"/>
    </row>
    <row r="900" spans="2:5" ht="12.75" customHeight="1">
      <c r="B900" s="28"/>
      <c r="C900" s="90"/>
      <c r="D900" s="90"/>
      <c r="E900" s="90"/>
    </row>
    <row r="901" spans="2:5" ht="12.75" customHeight="1">
      <c r="B901" s="28"/>
      <c r="C901" s="90"/>
      <c r="D901" s="90"/>
      <c r="E901" s="90"/>
    </row>
    <row r="902" spans="2:5" ht="12.75" customHeight="1">
      <c r="B902" s="28"/>
      <c r="C902" s="90"/>
      <c r="D902" s="90"/>
      <c r="E902" s="90"/>
    </row>
    <row r="903" spans="2:5" ht="12.75" customHeight="1">
      <c r="B903" s="28"/>
      <c r="C903" s="90"/>
      <c r="D903" s="90"/>
      <c r="E903" s="90"/>
    </row>
    <row r="904" spans="2:5" ht="12.75" customHeight="1">
      <c r="B904" s="28"/>
      <c r="C904" s="90"/>
      <c r="D904" s="90"/>
      <c r="E904" s="90"/>
    </row>
    <row r="905" spans="2:5" ht="12.75" customHeight="1">
      <c r="B905" s="28"/>
      <c r="C905" s="90"/>
      <c r="D905" s="90"/>
      <c r="E905" s="90"/>
    </row>
    <row r="906" spans="2:5" ht="12.75" customHeight="1">
      <c r="B906" s="28"/>
      <c r="C906" s="90"/>
      <c r="D906" s="90"/>
      <c r="E906" s="90"/>
    </row>
    <row r="907" spans="2:5" ht="12.75" customHeight="1">
      <c r="B907" s="28"/>
      <c r="C907" s="90"/>
      <c r="D907" s="90"/>
      <c r="E907" s="90"/>
    </row>
    <row r="908" spans="2:5" ht="12.75" customHeight="1">
      <c r="B908" s="28"/>
      <c r="C908" s="90"/>
      <c r="D908" s="90"/>
      <c r="E908" s="90"/>
    </row>
    <row r="909" spans="2:5" ht="12.75" customHeight="1">
      <c r="B909" s="28"/>
      <c r="C909" s="90"/>
      <c r="D909" s="90"/>
      <c r="E909" s="90"/>
    </row>
    <row r="910" spans="2:5" ht="12.75" customHeight="1">
      <c r="B910" s="28"/>
      <c r="C910" s="90"/>
      <c r="D910" s="90"/>
      <c r="E910" s="90"/>
    </row>
    <row r="911" spans="2:5" ht="12.75" customHeight="1">
      <c r="B911" s="28"/>
      <c r="C911" s="90"/>
      <c r="D911" s="90"/>
      <c r="E911" s="90"/>
    </row>
    <row r="912" spans="2:5" ht="12.75" customHeight="1">
      <c r="B912" s="28"/>
      <c r="C912" s="90"/>
      <c r="D912" s="90"/>
      <c r="E912" s="90"/>
    </row>
    <row r="913" spans="2:5" ht="12.75" customHeight="1">
      <c r="B913" s="28"/>
      <c r="C913" s="90"/>
      <c r="D913" s="90"/>
      <c r="E913" s="90"/>
    </row>
    <row r="914" spans="2:5" ht="12.75" customHeight="1">
      <c r="B914" s="28"/>
      <c r="C914" s="90"/>
      <c r="D914" s="90"/>
      <c r="E914" s="90"/>
    </row>
    <row r="915" spans="2:5" ht="12.75" customHeight="1">
      <c r="B915" s="28"/>
      <c r="C915" s="90"/>
      <c r="D915" s="90"/>
      <c r="E915" s="90"/>
    </row>
    <row r="916" spans="2:5" ht="12.75" customHeight="1">
      <c r="B916" s="28"/>
      <c r="C916" s="90"/>
      <c r="D916" s="90"/>
      <c r="E916" s="90"/>
    </row>
    <row r="917" spans="2:5" ht="12.75" customHeight="1">
      <c r="B917" s="28"/>
      <c r="C917" s="90"/>
      <c r="D917" s="90"/>
      <c r="E917" s="90"/>
    </row>
    <row r="918" spans="2:5" ht="12.75" customHeight="1">
      <c r="B918" s="28"/>
      <c r="C918" s="90"/>
      <c r="D918" s="90"/>
      <c r="E918" s="90"/>
    </row>
    <row r="919" spans="2:5" ht="12.75" customHeight="1">
      <c r="B919" s="28"/>
      <c r="C919" s="90"/>
      <c r="D919" s="90"/>
      <c r="E919" s="90"/>
    </row>
    <row r="920" spans="2:5" ht="12.75" customHeight="1">
      <c r="B920" s="28"/>
      <c r="C920" s="90"/>
      <c r="D920" s="90"/>
      <c r="E920" s="90"/>
    </row>
    <row r="921" spans="2:5" ht="12.75" customHeight="1">
      <c r="B921" s="28"/>
      <c r="C921" s="90"/>
      <c r="D921" s="90"/>
      <c r="E921" s="90"/>
    </row>
    <row r="922" spans="2:5" ht="12.75" customHeight="1">
      <c r="B922" s="28"/>
      <c r="C922" s="90"/>
      <c r="D922" s="90"/>
      <c r="E922" s="90"/>
    </row>
    <row r="923" spans="2:5" ht="12.75" customHeight="1">
      <c r="B923" s="28"/>
      <c r="C923" s="90"/>
      <c r="D923" s="90"/>
      <c r="E923" s="90"/>
    </row>
    <row r="924" spans="2:5" ht="12.75" customHeight="1">
      <c r="B924" s="28"/>
      <c r="C924" s="90"/>
      <c r="D924" s="90"/>
      <c r="E924" s="90"/>
    </row>
    <row r="925" spans="2:5" ht="12.75" customHeight="1">
      <c r="B925" s="28"/>
      <c r="C925" s="90"/>
      <c r="D925" s="90"/>
      <c r="E925" s="90"/>
    </row>
    <row r="926" spans="2:5" ht="12.75" customHeight="1">
      <c r="B926" s="28"/>
      <c r="C926" s="90"/>
      <c r="D926" s="90"/>
      <c r="E926" s="90"/>
    </row>
    <row r="927" spans="2:5" ht="12.75" customHeight="1">
      <c r="B927" s="28"/>
      <c r="C927" s="90"/>
      <c r="D927" s="90"/>
      <c r="E927" s="90"/>
    </row>
    <row r="928" spans="2:5" ht="12.75" customHeight="1">
      <c r="B928" s="28"/>
      <c r="C928" s="90"/>
      <c r="D928" s="90"/>
      <c r="E928" s="90"/>
    </row>
    <row r="929" spans="2:5" ht="12.75" customHeight="1">
      <c r="B929" s="28"/>
      <c r="C929" s="90"/>
      <c r="D929" s="90"/>
      <c r="E929" s="90"/>
    </row>
    <row r="930" spans="2:5" ht="12.75" customHeight="1">
      <c r="B930" s="28"/>
      <c r="C930" s="90"/>
      <c r="D930" s="90"/>
      <c r="E930" s="90"/>
    </row>
    <row r="931" spans="2:5" ht="12.75" customHeight="1">
      <c r="B931" s="28"/>
      <c r="C931" s="90"/>
      <c r="D931" s="90"/>
      <c r="E931" s="90"/>
    </row>
    <row r="932" spans="2:5" ht="12.75" customHeight="1">
      <c r="B932" s="28"/>
      <c r="C932" s="90"/>
      <c r="D932" s="90"/>
      <c r="E932" s="90"/>
    </row>
    <row r="933" spans="2:5" ht="12.75" customHeight="1">
      <c r="B933" s="28"/>
      <c r="C933" s="90"/>
      <c r="D933" s="90"/>
      <c r="E933" s="90"/>
    </row>
    <row r="934" spans="2:5" ht="12.75" customHeight="1">
      <c r="B934" s="28"/>
      <c r="C934" s="90"/>
      <c r="D934" s="90"/>
      <c r="E934" s="90"/>
    </row>
    <row r="935" spans="2:5" ht="12.75" customHeight="1">
      <c r="B935" s="28"/>
      <c r="C935" s="90"/>
      <c r="D935" s="90"/>
      <c r="E935" s="90"/>
    </row>
    <row r="936" spans="2:5" ht="12.75" customHeight="1">
      <c r="B936" s="28"/>
      <c r="C936" s="90"/>
      <c r="D936" s="90"/>
      <c r="E936" s="90"/>
    </row>
    <row r="937" spans="2:5" ht="12.75" customHeight="1">
      <c r="B937" s="28"/>
      <c r="C937" s="90"/>
      <c r="D937" s="90"/>
      <c r="E937" s="90"/>
    </row>
    <row r="938" spans="2:5" ht="12.75" customHeight="1">
      <c r="B938" s="28"/>
      <c r="C938" s="90"/>
      <c r="D938" s="90"/>
      <c r="E938" s="90"/>
    </row>
    <row r="939" spans="2:5" ht="12.75" customHeight="1">
      <c r="B939" s="28"/>
      <c r="C939" s="90"/>
      <c r="D939" s="90"/>
      <c r="E939" s="90"/>
    </row>
    <row r="940" spans="2:5" ht="12.75" customHeight="1">
      <c r="B940" s="28"/>
      <c r="C940" s="90"/>
      <c r="D940" s="90"/>
      <c r="E940" s="90"/>
    </row>
    <row r="941" spans="2:5" ht="12.75" customHeight="1">
      <c r="B941" s="28"/>
      <c r="C941" s="90"/>
      <c r="D941" s="90"/>
      <c r="E941" s="90"/>
    </row>
    <row r="942" spans="2:5" ht="12.75" customHeight="1">
      <c r="B942" s="28"/>
      <c r="C942" s="90"/>
      <c r="D942" s="90"/>
      <c r="E942" s="90"/>
    </row>
    <row r="943" spans="2:5" ht="12.75" customHeight="1">
      <c r="B943" s="28"/>
      <c r="C943" s="90"/>
      <c r="D943" s="90"/>
      <c r="E943" s="90"/>
    </row>
    <row r="944" spans="2:5" ht="12.75" customHeight="1">
      <c r="B944" s="28"/>
      <c r="C944" s="90"/>
      <c r="D944" s="90"/>
      <c r="E944" s="90"/>
    </row>
    <row r="945" spans="2:5" ht="12.75" customHeight="1">
      <c r="B945" s="28"/>
      <c r="C945" s="90"/>
      <c r="D945" s="90"/>
      <c r="E945" s="90"/>
    </row>
    <row r="946" spans="2:5" ht="12.75" customHeight="1">
      <c r="B946" s="28"/>
      <c r="C946" s="90"/>
      <c r="D946" s="90"/>
      <c r="E946" s="90"/>
    </row>
    <row r="947" spans="2:5" ht="12.75" customHeight="1">
      <c r="B947" s="28"/>
      <c r="C947" s="90"/>
      <c r="D947" s="90"/>
      <c r="E947" s="90"/>
    </row>
    <row r="948" spans="2:5" ht="12.75" customHeight="1">
      <c r="B948" s="28"/>
      <c r="C948" s="90"/>
      <c r="D948" s="90"/>
      <c r="E948" s="90"/>
    </row>
    <row r="949" spans="2:5" ht="12.75" customHeight="1">
      <c r="B949" s="28"/>
      <c r="C949" s="90"/>
      <c r="D949" s="90"/>
      <c r="E949" s="90"/>
    </row>
    <row r="950" spans="2:5" ht="12.75" customHeight="1">
      <c r="B950" s="28"/>
      <c r="C950" s="90"/>
      <c r="D950" s="90"/>
      <c r="E950" s="90"/>
    </row>
    <row r="951" spans="2:5" ht="12.75" customHeight="1">
      <c r="B951" s="28"/>
      <c r="C951" s="90"/>
      <c r="D951" s="90"/>
      <c r="E951" s="90"/>
    </row>
    <row r="952" spans="2:5" ht="12.75" customHeight="1">
      <c r="B952" s="28"/>
      <c r="C952" s="90"/>
      <c r="D952" s="90"/>
      <c r="E952" s="90"/>
    </row>
    <row r="953" spans="2:5" ht="12.75" customHeight="1">
      <c r="B953" s="28"/>
      <c r="C953" s="90"/>
      <c r="D953" s="90"/>
      <c r="E953" s="90"/>
    </row>
    <row r="954" spans="2:5" ht="12.75" customHeight="1">
      <c r="B954" s="28"/>
      <c r="C954" s="90"/>
      <c r="D954" s="90"/>
      <c r="E954" s="90"/>
    </row>
    <row r="955" spans="2:5" ht="12.75" customHeight="1">
      <c r="B955" s="28"/>
      <c r="C955" s="90"/>
      <c r="D955" s="90"/>
      <c r="E955" s="90"/>
    </row>
    <row r="956" spans="2:5" ht="12.75" customHeight="1">
      <c r="B956" s="28"/>
      <c r="C956" s="90"/>
      <c r="D956" s="90"/>
      <c r="E956" s="90"/>
    </row>
    <row r="957" spans="2:5" ht="12.75" customHeight="1">
      <c r="B957" s="28"/>
      <c r="C957" s="90"/>
      <c r="D957" s="90"/>
      <c r="E957" s="90"/>
    </row>
    <row r="958" spans="2:5" ht="12.75" customHeight="1">
      <c r="B958" s="28"/>
      <c r="C958" s="90"/>
      <c r="D958" s="90"/>
      <c r="E958" s="90"/>
    </row>
    <row r="959" spans="2:5" ht="12.75" customHeight="1">
      <c r="B959" s="28"/>
      <c r="C959" s="90"/>
      <c r="D959" s="90"/>
      <c r="E959" s="90"/>
    </row>
    <row r="960" spans="2:5" ht="12.75" customHeight="1">
      <c r="B960" s="28"/>
      <c r="C960" s="90"/>
      <c r="D960" s="90"/>
      <c r="E960" s="90"/>
    </row>
    <row r="961" spans="2:5" ht="12.75" customHeight="1">
      <c r="B961" s="28"/>
      <c r="C961" s="90"/>
      <c r="D961" s="90"/>
      <c r="E961" s="90"/>
    </row>
    <row r="962" spans="2:5" ht="12.75" customHeight="1">
      <c r="B962" s="28"/>
      <c r="C962" s="90"/>
      <c r="D962" s="90"/>
      <c r="E962" s="90"/>
    </row>
    <row r="963" spans="2:5" ht="12.75" customHeight="1">
      <c r="B963" s="28"/>
      <c r="C963" s="90"/>
      <c r="D963" s="90"/>
      <c r="E963" s="90"/>
    </row>
    <row r="964" spans="2:5" ht="12.75" customHeight="1">
      <c r="B964" s="28"/>
      <c r="C964" s="90"/>
      <c r="D964" s="90"/>
      <c r="E964" s="90"/>
    </row>
    <row r="965" spans="2:5" ht="12.75" customHeight="1">
      <c r="B965" s="28"/>
      <c r="C965" s="90"/>
      <c r="D965" s="90"/>
      <c r="E965" s="90"/>
    </row>
    <row r="966" spans="2:5" ht="12.75" customHeight="1">
      <c r="B966" s="28"/>
      <c r="C966" s="90"/>
      <c r="D966" s="90"/>
      <c r="E966" s="90"/>
    </row>
    <row r="967" spans="2:5" ht="12.75" customHeight="1">
      <c r="B967" s="28"/>
      <c r="C967" s="90"/>
      <c r="D967" s="90"/>
      <c r="E967" s="90"/>
    </row>
    <row r="968" spans="2:5" ht="12.75" customHeight="1">
      <c r="B968" s="28"/>
      <c r="C968" s="90"/>
      <c r="D968" s="90"/>
      <c r="E968" s="90"/>
    </row>
    <row r="969" spans="2:5" ht="12.75" customHeight="1">
      <c r="B969" s="28"/>
      <c r="C969" s="90"/>
      <c r="D969" s="90"/>
      <c r="E969" s="90"/>
    </row>
    <row r="970" spans="2:5" ht="12.75" customHeight="1">
      <c r="B970" s="28"/>
      <c r="C970" s="90"/>
      <c r="D970" s="90"/>
      <c r="E970" s="90"/>
    </row>
    <row r="971" spans="2:5" ht="12.75" customHeight="1">
      <c r="B971" s="28"/>
      <c r="C971" s="90"/>
      <c r="D971" s="90"/>
      <c r="E971" s="90"/>
    </row>
    <row r="972" spans="2:5" ht="12.75" customHeight="1">
      <c r="B972" s="28"/>
      <c r="C972" s="90"/>
      <c r="D972" s="90"/>
      <c r="E972" s="90"/>
    </row>
    <row r="973" spans="2:5" ht="12.75" customHeight="1">
      <c r="B973" s="28"/>
      <c r="C973" s="90"/>
      <c r="D973" s="90"/>
      <c r="E973" s="90"/>
    </row>
    <row r="974" spans="2:5" ht="12.75" customHeight="1">
      <c r="B974" s="28"/>
      <c r="C974" s="90"/>
      <c r="D974" s="90"/>
      <c r="E974" s="90"/>
    </row>
    <row r="975" spans="2:5" ht="12.75" customHeight="1">
      <c r="B975" s="28"/>
      <c r="C975" s="90"/>
      <c r="D975" s="90"/>
      <c r="E975" s="90"/>
    </row>
    <row r="976" spans="2:5" ht="12.75" customHeight="1">
      <c r="B976" s="28"/>
      <c r="C976" s="90"/>
      <c r="D976" s="90"/>
      <c r="E976" s="90"/>
    </row>
    <row r="977" spans="2:5" ht="12.75" customHeight="1">
      <c r="B977" s="28"/>
      <c r="C977" s="90"/>
      <c r="D977" s="90"/>
      <c r="E977" s="90"/>
    </row>
    <row r="978" spans="2:5" ht="12.75" customHeight="1">
      <c r="B978" s="28"/>
      <c r="C978" s="90"/>
      <c r="D978" s="90"/>
      <c r="E978" s="90"/>
    </row>
    <row r="979" spans="2:5" ht="12.75" customHeight="1">
      <c r="B979" s="28"/>
      <c r="C979" s="90"/>
      <c r="D979" s="90"/>
      <c r="E979" s="90"/>
    </row>
    <row r="980" spans="2:5" ht="12.75" customHeight="1">
      <c r="B980" s="28"/>
      <c r="C980" s="90"/>
      <c r="D980" s="90"/>
      <c r="E980" s="90"/>
    </row>
    <row r="981" spans="2:5" ht="12.75" customHeight="1">
      <c r="B981" s="28"/>
      <c r="C981" s="90"/>
      <c r="D981" s="90"/>
      <c r="E981" s="90"/>
    </row>
    <row r="982" spans="2:5" ht="12.75" customHeight="1">
      <c r="B982" s="28"/>
      <c r="C982" s="90"/>
      <c r="D982" s="90"/>
      <c r="E982" s="90"/>
    </row>
    <row r="983" spans="2:5" ht="12.75" customHeight="1">
      <c r="B983" s="28"/>
      <c r="C983" s="90"/>
      <c r="D983" s="90"/>
      <c r="E983" s="90"/>
    </row>
    <row r="984" spans="2:5" ht="12.75" customHeight="1">
      <c r="B984" s="28"/>
      <c r="C984" s="90"/>
      <c r="D984" s="90"/>
      <c r="E984" s="90"/>
    </row>
    <row r="985" spans="2:5" ht="12.75" customHeight="1">
      <c r="B985" s="28"/>
      <c r="C985" s="90"/>
      <c r="D985" s="90"/>
      <c r="E985" s="90"/>
    </row>
    <row r="986" spans="2:5" ht="12.75" customHeight="1">
      <c r="B986" s="28"/>
      <c r="C986" s="90"/>
      <c r="D986" s="90"/>
      <c r="E986" s="90"/>
    </row>
    <row r="987" spans="2:5" ht="12.75" customHeight="1">
      <c r="B987" s="28"/>
      <c r="C987" s="90"/>
      <c r="D987" s="90"/>
      <c r="E987" s="90"/>
    </row>
    <row r="988" spans="2:5" ht="12.75" customHeight="1">
      <c r="B988" s="28"/>
      <c r="C988" s="90"/>
      <c r="D988" s="90"/>
      <c r="E988" s="90"/>
    </row>
    <row r="989" spans="2:5" ht="12.75" customHeight="1">
      <c r="B989" s="28"/>
      <c r="C989" s="90"/>
      <c r="D989" s="90"/>
      <c r="E989" s="90"/>
    </row>
    <row r="990" spans="2:5" ht="12.75" customHeight="1">
      <c r="B990" s="28"/>
      <c r="C990" s="90"/>
      <c r="D990" s="90"/>
      <c r="E990" s="90"/>
    </row>
    <row r="991" spans="2:5" ht="12.75" customHeight="1">
      <c r="B991" s="28"/>
      <c r="C991" s="90"/>
      <c r="D991" s="90"/>
      <c r="E991" s="90"/>
    </row>
    <row r="992" spans="2:5" ht="12.75" customHeight="1">
      <c r="B992" s="28"/>
      <c r="C992" s="90"/>
      <c r="D992" s="90"/>
      <c r="E992" s="90"/>
    </row>
    <row r="993" spans="2:5" ht="12.75" customHeight="1">
      <c r="B993" s="28"/>
      <c r="C993" s="90"/>
      <c r="D993" s="90"/>
      <c r="E993" s="90"/>
    </row>
    <row r="994" spans="2:5" ht="12.75" customHeight="1">
      <c r="B994" s="28"/>
      <c r="C994" s="90"/>
      <c r="D994" s="90"/>
      <c r="E994" s="90"/>
    </row>
    <row r="995" spans="2:5" ht="12.75" customHeight="1">
      <c r="B995" s="28"/>
      <c r="C995" s="90"/>
      <c r="D995" s="90"/>
      <c r="E995" s="90"/>
    </row>
    <row r="996" spans="2:5" ht="12.75" customHeight="1">
      <c r="B996" s="28"/>
      <c r="C996" s="90"/>
      <c r="D996" s="90"/>
      <c r="E996" s="90"/>
    </row>
    <row r="997" spans="2:5" ht="12.75" customHeight="1">
      <c r="B997" s="28"/>
      <c r="C997" s="90"/>
      <c r="D997" s="90"/>
      <c r="E997" s="90"/>
    </row>
    <row r="998" spans="2:5" ht="12.75" customHeight="1">
      <c r="B998" s="28"/>
      <c r="C998" s="90"/>
      <c r="D998" s="90"/>
      <c r="E998" s="90"/>
    </row>
    <row r="999" spans="2:5" ht="12.75" customHeight="1">
      <c r="B999" s="28"/>
      <c r="C999" s="90"/>
      <c r="D999" s="90"/>
      <c r="E999" s="90"/>
    </row>
    <row r="1000" spans="2:5" ht="12.75" customHeight="1">
      <c r="B1000" s="28"/>
      <c r="C1000" s="90"/>
      <c r="D1000" s="90"/>
      <c r="E1000" s="90"/>
    </row>
    <row r="1001" spans="2:5" ht="12.75" customHeight="1">
      <c r="B1001" s="28"/>
      <c r="C1001" s="90"/>
      <c r="D1001" s="90"/>
      <c r="E1001" s="90"/>
    </row>
    <row r="1002" spans="2:5" ht="12.75" customHeight="1">
      <c r="B1002" s="28"/>
      <c r="C1002" s="90"/>
      <c r="D1002" s="90"/>
      <c r="E1002" s="90"/>
    </row>
    <row r="1003" spans="2:5" ht="12.75" customHeight="1">
      <c r="B1003" s="28"/>
      <c r="C1003" s="90"/>
      <c r="D1003" s="90"/>
      <c r="E1003" s="90"/>
    </row>
    <row r="1004" spans="2:5" ht="12.75" customHeight="1">
      <c r="B1004" s="28"/>
      <c r="C1004" s="90"/>
      <c r="D1004" s="90"/>
      <c r="E1004" s="90"/>
    </row>
    <row r="1005" spans="2:5" ht="12.75" customHeight="1">
      <c r="B1005" s="28"/>
      <c r="C1005" s="90"/>
      <c r="D1005" s="90"/>
      <c r="E1005" s="90"/>
    </row>
    <row r="1006" spans="2:5" ht="12.75" customHeight="1">
      <c r="B1006" s="28"/>
      <c r="C1006" s="90"/>
      <c r="D1006" s="90"/>
      <c r="E1006" s="90"/>
    </row>
    <row r="1007" spans="2:5" ht="12.75" customHeight="1">
      <c r="B1007" s="28"/>
      <c r="C1007" s="90"/>
      <c r="D1007" s="90"/>
      <c r="E1007" s="90"/>
    </row>
    <row r="1008" spans="2:5" ht="12.75" customHeight="1">
      <c r="B1008" s="28"/>
      <c r="C1008" s="90"/>
      <c r="D1008" s="90"/>
      <c r="E1008" s="90"/>
    </row>
    <row r="1009" spans="2:5" ht="12.75" customHeight="1">
      <c r="B1009" s="28"/>
      <c r="C1009" s="90"/>
      <c r="D1009" s="90"/>
      <c r="E1009" s="90"/>
    </row>
    <row r="1010" spans="2:5" ht="12.75" customHeight="1">
      <c r="B1010" s="28"/>
      <c r="C1010" s="90"/>
      <c r="D1010" s="90"/>
      <c r="E1010" s="90"/>
    </row>
    <row r="1011" spans="2:5" ht="12.75" customHeight="1">
      <c r="B1011" s="28"/>
      <c r="C1011" s="90"/>
      <c r="D1011" s="90"/>
      <c r="E1011" s="90"/>
    </row>
    <row r="1012" spans="2:5" ht="12.75" customHeight="1">
      <c r="B1012" s="28"/>
      <c r="C1012" s="90"/>
      <c r="D1012" s="90"/>
      <c r="E1012" s="90"/>
    </row>
    <row r="1013" spans="2:5" ht="12.75" customHeight="1">
      <c r="B1013" s="28"/>
      <c r="C1013" s="90"/>
      <c r="D1013" s="90"/>
      <c r="E1013" s="90"/>
    </row>
    <row r="1014" spans="2:5" ht="12.75" customHeight="1">
      <c r="B1014" s="28"/>
      <c r="C1014" s="90"/>
      <c r="D1014" s="90"/>
      <c r="E1014" s="90"/>
    </row>
    <row r="1015" spans="2:5" ht="12.75" customHeight="1">
      <c r="B1015" s="28"/>
      <c r="C1015" s="90"/>
      <c r="D1015" s="90"/>
      <c r="E1015" s="90"/>
    </row>
    <row r="1016" spans="2:5" ht="12.75" customHeight="1">
      <c r="B1016" s="28"/>
      <c r="C1016" s="90"/>
      <c r="D1016" s="90"/>
      <c r="E1016" s="90"/>
    </row>
    <row r="1017" spans="2:5" ht="12.75" customHeight="1">
      <c r="B1017" s="28"/>
      <c r="C1017" s="90"/>
      <c r="D1017" s="90"/>
      <c r="E1017" s="90"/>
    </row>
    <row r="1018" spans="2:5" ht="12.75" customHeight="1">
      <c r="B1018" s="28"/>
      <c r="C1018" s="90"/>
      <c r="D1018" s="90"/>
      <c r="E1018" s="90"/>
    </row>
    <row r="1019" spans="2:5" ht="12.75" customHeight="1">
      <c r="B1019" s="28"/>
      <c r="C1019" s="90"/>
      <c r="D1019" s="90"/>
      <c r="E1019" s="90"/>
    </row>
    <row r="1020" spans="2:5" ht="12.75" customHeight="1">
      <c r="B1020" s="28"/>
      <c r="C1020" s="90"/>
      <c r="D1020" s="90"/>
      <c r="E1020" s="90"/>
    </row>
    <row r="1021" spans="2:5" ht="12.75" customHeight="1">
      <c r="B1021" s="28"/>
      <c r="C1021" s="90"/>
      <c r="D1021" s="90"/>
      <c r="E1021" s="90"/>
    </row>
    <row r="1022" spans="2:5" ht="12.75" customHeight="1">
      <c r="B1022" s="28"/>
      <c r="C1022" s="90"/>
      <c r="D1022" s="90"/>
      <c r="E1022" s="90"/>
    </row>
    <row r="1023" spans="2:5" ht="12.75" customHeight="1">
      <c r="B1023" s="28"/>
      <c r="C1023" s="90"/>
      <c r="D1023" s="90"/>
      <c r="E1023" s="90"/>
    </row>
    <row r="1024" spans="2:5" ht="12.75" customHeight="1">
      <c r="B1024" s="28"/>
      <c r="C1024" s="90"/>
      <c r="D1024" s="90"/>
      <c r="E1024" s="90"/>
    </row>
    <row r="1025" spans="2:5" ht="12.75" customHeight="1">
      <c r="B1025" s="28"/>
      <c r="C1025" s="90"/>
      <c r="D1025" s="90"/>
      <c r="E1025" s="90"/>
    </row>
    <row r="1026" spans="2:5" ht="12.75" customHeight="1">
      <c r="B1026" s="28"/>
      <c r="C1026" s="90"/>
      <c r="D1026" s="90"/>
      <c r="E1026" s="90"/>
    </row>
    <row r="1027" spans="2:5" ht="12.75" customHeight="1">
      <c r="B1027" s="28"/>
      <c r="C1027" s="90"/>
      <c r="D1027" s="90"/>
      <c r="E1027" s="90"/>
    </row>
    <row r="1028" spans="2:5" ht="12.75" customHeight="1">
      <c r="B1028" s="28"/>
      <c r="C1028" s="90"/>
      <c r="D1028" s="90"/>
      <c r="E1028" s="90"/>
    </row>
    <row r="1029" spans="2:5" ht="12.75" customHeight="1">
      <c r="B1029" s="28"/>
      <c r="C1029" s="90"/>
      <c r="D1029" s="90"/>
      <c r="E1029" s="90"/>
    </row>
    <row r="1030" spans="2:5" ht="12.75" customHeight="1">
      <c r="B1030" s="28"/>
      <c r="C1030" s="90"/>
      <c r="D1030" s="90"/>
      <c r="E1030" s="90"/>
    </row>
    <row r="1031" spans="2:5" ht="12.75" customHeight="1">
      <c r="B1031" s="28"/>
      <c r="C1031" s="90"/>
      <c r="D1031" s="90"/>
      <c r="E1031" s="90"/>
    </row>
    <row r="1032" spans="2:5" ht="12.75" customHeight="1">
      <c r="B1032" s="28"/>
      <c r="C1032" s="90"/>
      <c r="D1032" s="90"/>
      <c r="E1032" s="90"/>
    </row>
    <row r="1033" spans="2:5" ht="12.75" customHeight="1">
      <c r="B1033" s="28"/>
      <c r="C1033" s="90"/>
      <c r="D1033" s="90"/>
      <c r="E1033" s="90"/>
    </row>
    <row r="1034" spans="2:5" ht="12.75" customHeight="1">
      <c r="B1034" s="28"/>
      <c r="C1034" s="90"/>
      <c r="D1034" s="90"/>
      <c r="E1034" s="90"/>
    </row>
    <row r="1035" spans="2:5" ht="12.75" customHeight="1">
      <c r="B1035" s="28"/>
      <c r="C1035" s="90"/>
      <c r="D1035" s="90"/>
      <c r="E1035" s="90"/>
    </row>
    <row r="1036" spans="2:5" ht="12.75" customHeight="1">
      <c r="B1036" s="28"/>
      <c r="C1036" s="90"/>
      <c r="D1036" s="90"/>
      <c r="E1036" s="90"/>
    </row>
    <row r="1037" spans="2:5" ht="12.75" customHeight="1">
      <c r="B1037" s="28"/>
      <c r="C1037" s="90"/>
      <c r="D1037" s="90"/>
      <c r="E1037" s="90"/>
    </row>
    <row r="1038" spans="2:5" ht="12.75" customHeight="1">
      <c r="B1038" s="28"/>
      <c r="C1038" s="90"/>
      <c r="D1038" s="90"/>
      <c r="E1038" s="90"/>
    </row>
    <row r="1039" spans="2:5" ht="12.75" customHeight="1">
      <c r="B1039" s="28"/>
      <c r="C1039" s="90"/>
      <c r="D1039" s="90"/>
      <c r="E1039" s="90"/>
    </row>
    <row r="1040" spans="2:5" ht="12.75" customHeight="1">
      <c r="B1040" s="28"/>
      <c r="C1040" s="90"/>
      <c r="D1040" s="90"/>
      <c r="E1040" s="90"/>
    </row>
    <row r="1041" spans="2:5" ht="12.75" customHeight="1">
      <c r="B1041" s="28"/>
      <c r="C1041" s="90"/>
      <c r="D1041" s="90"/>
      <c r="E1041" s="90"/>
    </row>
    <row r="1042" spans="2:5" ht="12.75" customHeight="1">
      <c r="B1042" s="28"/>
      <c r="C1042" s="90"/>
      <c r="D1042" s="90"/>
      <c r="E1042" s="90"/>
    </row>
    <row r="1043" spans="2:5" ht="12.75" customHeight="1">
      <c r="B1043" s="28"/>
      <c r="C1043" s="90"/>
      <c r="D1043" s="90"/>
      <c r="E1043" s="90"/>
    </row>
    <row r="1044" spans="2:5" ht="12.75" customHeight="1">
      <c r="B1044" s="28"/>
      <c r="C1044" s="90"/>
      <c r="D1044" s="90"/>
      <c r="E1044" s="90"/>
    </row>
    <row r="1045" spans="2:5" ht="12.75" customHeight="1">
      <c r="B1045" s="28"/>
      <c r="C1045" s="90"/>
      <c r="D1045" s="90"/>
      <c r="E1045" s="90"/>
    </row>
    <row r="1046" spans="2:5" ht="12.75" customHeight="1">
      <c r="B1046" s="28"/>
      <c r="C1046" s="90"/>
      <c r="D1046" s="90"/>
      <c r="E1046" s="90"/>
    </row>
    <row r="1047" spans="2:5" ht="12.75" customHeight="1">
      <c r="B1047" s="28"/>
      <c r="C1047" s="90"/>
      <c r="D1047" s="90"/>
      <c r="E1047" s="90"/>
    </row>
    <row r="1048" spans="2:5" ht="12.75" customHeight="1">
      <c r="B1048" s="28"/>
      <c r="C1048" s="90"/>
      <c r="D1048" s="90"/>
      <c r="E1048" s="90"/>
    </row>
    <row r="1049" spans="2:5" ht="12.75" customHeight="1">
      <c r="B1049" s="28"/>
      <c r="C1049" s="90"/>
      <c r="D1049" s="90"/>
      <c r="E1049" s="90"/>
    </row>
    <row r="1050" spans="2:5" ht="12.75" customHeight="1">
      <c r="B1050" s="28"/>
      <c r="C1050" s="90"/>
      <c r="D1050" s="90"/>
      <c r="E1050" s="90"/>
    </row>
    <row r="1051" spans="2:5" ht="12.75" customHeight="1">
      <c r="B1051" s="28"/>
      <c r="C1051" s="90"/>
      <c r="D1051" s="90"/>
      <c r="E1051" s="90"/>
    </row>
    <row r="1052" spans="2:5" ht="12.75" customHeight="1">
      <c r="B1052" s="28"/>
      <c r="C1052" s="90"/>
      <c r="D1052" s="90"/>
      <c r="E1052" s="90"/>
    </row>
    <row r="1053" spans="2:5" ht="12.75" customHeight="1">
      <c r="B1053" s="28"/>
      <c r="C1053" s="90"/>
      <c r="D1053" s="90"/>
      <c r="E1053" s="90"/>
    </row>
    <row r="1054" spans="2:5" ht="12.75" customHeight="1">
      <c r="B1054" s="28"/>
      <c r="C1054" s="90"/>
      <c r="D1054" s="90"/>
      <c r="E1054" s="90"/>
    </row>
    <row r="1055" spans="2:5" ht="12.75" customHeight="1">
      <c r="B1055" s="28"/>
      <c r="C1055" s="90"/>
      <c r="D1055" s="90"/>
      <c r="E1055" s="90"/>
    </row>
    <row r="1056" spans="2:5" ht="12.75" customHeight="1">
      <c r="B1056" s="28"/>
      <c r="C1056" s="90"/>
      <c r="D1056" s="90"/>
      <c r="E1056" s="90"/>
    </row>
    <row r="1057" spans="2:5" ht="12.75" customHeight="1">
      <c r="B1057" s="28"/>
      <c r="C1057" s="90"/>
      <c r="D1057" s="90"/>
      <c r="E1057" s="90"/>
    </row>
    <row r="1058" spans="2:5" ht="12.75" customHeight="1">
      <c r="B1058" s="28"/>
      <c r="C1058" s="90"/>
      <c r="D1058" s="90"/>
      <c r="E1058" s="90"/>
    </row>
    <row r="1059" spans="2:5" ht="12.75" customHeight="1">
      <c r="B1059" s="28"/>
      <c r="C1059" s="90"/>
      <c r="D1059" s="90"/>
      <c r="E1059" s="90"/>
    </row>
    <row r="1060" spans="2:5" ht="12.75" customHeight="1">
      <c r="B1060" s="28"/>
      <c r="C1060" s="90"/>
      <c r="D1060" s="90"/>
      <c r="E1060" s="90"/>
    </row>
    <row r="1061" spans="2:5" ht="12.75" customHeight="1">
      <c r="B1061" s="28"/>
      <c r="C1061" s="90"/>
      <c r="D1061" s="90"/>
      <c r="E1061" s="90"/>
    </row>
    <row r="1062" spans="2:5" ht="12.75" customHeight="1">
      <c r="B1062" s="28"/>
      <c r="C1062" s="90"/>
      <c r="D1062" s="90"/>
      <c r="E1062" s="90"/>
    </row>
    <row r="1063" spans="2:5" ht="12.75" customHeight="1">
      <c r="B1063" s="28"/>
      <c r="C1063" s="90"/>
      <c r="D1063" s="90"/>
      <c r="E1063" s="90"/>
    </row>
    <row r="1064" spans="2:5" ht="12.75" customHeight="1">
      <c r="B1064" s="28"/>
      <c r="C1064" s="90"/>
      <c r="D1064" s="90"/>
      <c r="E1064" s="90"/>
    </row>
    <row r="1065" spans="2:5" ht="12.75" customHeight="1">
      <c r="B1065" s="28"/>
      <c r="C1065" s="90"/>
      <c r="D1065" s="90"/>
      <c r="E1065" s="90"/>
    </row>
    <row r="1066" spans="2:5" ht="12.75" customHeight="1">
      <c r="B1066" s="28"/>
      <c r="C1066" s="90"/>
      <c r="D1066" s="90"/>
      <c r="E1066" s="90"/>
    </row>
    <row r="1067" spans="2:5" ht="12.75" customHeight="1">
      <c r="B1067" s="28"/>
      <c r="C1067" s="90"/>
      <c r="D1067" s="90"/>
      <c r="E1067" s="90"/>
    </row>
    <row r="1068" spans="2:5" ht="12.75" customHeight="1">
      <c r="B1068" s="28"/>
      <c r="C1068" s="90"/>
      <c r="D1068" s="90"/>
      <c r="E1068" s="90"/>
    </row>
    <row r="1069" spans="2:5" ht="12.75" customHeight="1">
      <c r="B1069" s="28"/>
      <c r="C1069" s="90"/>
      <c r="D1069" s="90"/>
      <c r="E1069" s="90"/>
    </row>
    <row r="1070" spans="2:5" ht="12.75" customHeight="1">
      <c r="B1070" s="28"/>
      <c r="C1070" s="90"/>
      <c r="D1070" s="90"/>
      <c r="E1070" s="90"/>
    </row>
    <row r="1071" spans="2:5" ht="12.75" customHeight="1">
      <c r="B1071" s="28"/>
      <c r="C1071" s="90"/>
      <c r="D1071" s="90"/>
      <c r="E1071" s="90"/>
    </row>
    <row r="1072" spans="2:5" ht="12.75" customHeight="1">
      <c r="B1072" s="28"/>
      <c r="C1072" s="90"/>
      <c r="D1072" s="90"/>
      <c r="E1072" s="90"/>
    </row>
    <row r="1073" spans="2:5" ht="12.75" customHeight="1">
      <c r="B1073" s="28"/>
      <c r="C1073" s="90"/>
      <c r="D1073" s="90"/>
      <c r="E1073" s="90"/>
    </row>
    <row r="1074" spans="2:5" ht="12.75" customHeight="1">
      <c r="B1074" s="28"/>
      <c r="C1074" s="90"/>
      <c r="D1074" s="90"/>
      <c r="E1074" s="90"/>
    </row>
    <row r="1075" spans="2:5" ht="12.75" customHeight="1">
      <c r="B1075" s="28"/>
      <c r="C1075" s="90"/>
      <c r="D1075" s="90"/>
      <c r="E1075" s="90"/>
    </row>
    <row r="1076" spans="2:5" ht="12.75" customHeight="1">
      <c r="B1076" s="28"/>
      <c r="C1076" s="90"/>
      <c r="D1076" s="90"/>
      <c r="E1076" s="90"/>
    </row>
    <row r="1077" spans="2:5" ht="12.75" customHeight="1">
      <c r="B1077" s="28"/>
      <c r="C1077" s="90"/>
      <c r="D1077" s="90"/>
      <c r="E1077" s="90"/>
    </row>
    <row r="1078" spans="2:5" ht="12.75" customHeight="1">
      <c r="B1078" s="28"/>
      <c r="C1078" s="90"/>
      <c r="D1078" s="90"/>
      <c r="E1078" s="90"/>
    </row>
    <row r="1079" spans="2:5" ht="12.75" customHeight="1">
      <c r="B1079" s="28"/>
      <c r="C1079" s="90"/>
      <c r="D1079" s="90"/>
      <c r="E1079" s="90"/>
    </row>
    <row r="1080" spans="2:5" ht="12.75" customHeight="1">
      <c r="B1080" s="28"/>
      <c r="C1080" s="90"/>
      <c r="D1080" s="90"/>
      <c r="E1080" s="90"/>
    </row>
    <row r="1081" spans="2:5" ht="12.75" customHeight="1">
      <c r="B1081" s="28"/>
      <c r="C1081" s="90"/>
      <c r="D1081" s="90"/>
      <c r="E1081" s="90"/>
    </row>
    <row r="1082" spans="2:5" ht="12.75" customHeight="1">
      <c r="B1082" s="28"/>
      <c r="C1082" s="90"/>
      <c r="D1082" s="90"/>
      <c r="E1082" s="90"/>
    </row>
    <row r="1083" spans="2:5" ht="12.75" customHeight="1">
      <c r="B1083" s="28"/>
      <c r="C1083" s="90"/>
      <c r="D1083" s="90"/>
      <c r="E1083" s="90"/>
    </row>
    <row r="1084" spans="2:5" ht="12.75" customHeight="1">
      <c r="B1084" s="28"/>
      <c r="C1084" s="90"/>
      <c r="D1084" s="90"/>
      <c r="E1084" s="90"/>
    </row>
    <row r="1085" spans="2:5" ht="12.75" customHeight="1">
      <c r="B1085" s="28"/>
      <c r="C1085" s="90"/>
      <c r="D1085" s="90"/>
      <c r="E1085" s="90"/>
    </row>
    <row r="1086" spans="2:5" ht="12.75" customHeight="1">
      <c r="B1086" s="28"/>
      <c r="C1086" s="90"/>
      <c r="D1086" s="90"/>
      <c r="E1086" s="90"/>
    </row>
    <row r="1087" spans="2:5" ht="12.75" customHeight="1">
      <c r="B1087" s="28"/>
      <c r="C1087" s="90"/>
      <c r="D1087" s="90"/>
      <c r="E1087" s="90"/>
    </row>
    <row r="1088" spans="2:5" ht="12.75" customHeight="1">
      <c r="B1088" s="28"/>
      <c r="C1088" s="90"/>
      <c r="D1088" s="90"/>
      <c r="E1088" s="90"/>
    </row>
    <row r="1089" spans="2:5" ht="12.75" customHeight="1">
      <c r="B1089" s="28"/>
      <c r="C1089" s="90"/>
      <c r="D1089" s="90"/>
      <c r="E1089" s="90"/>
    </row>
    <row r="1090" spans="2:5" ht="12.75" customHeight="1">
      <c r="B1090" s="28"/>
      <c r="C1090" s="90"/>
      <c r="D1090" s="90"/>
      <c r="E1090" s="90"/>
    </row>
    <row r="1091" spans="2:5" ht="12.75" customHeight="1">
      <c r="B1091" s="28"/>
      <c r="C1091" s="90"/>
      <c r="D1091" s="90"/>
      <c r="E1091" s="90"/>
    </row>
    <row r="1092" spans="2:5" ht="12.75" customHeight="1">
      <c r="B1092" s="28"/>
      <c r="C1092" s="90"/>
      <c r="D1092" s="90"/>
      <c r="E1092" s="90"/>
    </row>
    <row r="1093" spans="2:5" ht="12.75" customHeight="1">
      <c r="B1093" s="28"/>
      <c r="C1093" s="90"/>
      <c r="D1093" s="90"/>
      <c r="E1093" s="90"/>
    </row>
    <row r="1094" spans="2:5" ht="12.75" customHeight="1">
      <c r="B1094" s="28"/>
      <c r="C1094" s="90"/>
      <c r="D1094" s="90"/>
      <c r="E1094" s="90"/>
    </row>
    <row r="1095" spans="2:5" ht="12.75" customHeight="1">
      <c r="B1095" s="28"/>
      <c r="C1095" s="90"/>
      <c r="D1095" s="90"/>
      <c r="E1095" s="90"/>
    </row>
    <row r="1096" spans="2:5" ht="12.75" customHeight="1">
      <c r="B1096" s="28"/>
      <c r="C1096" s="90"/>
      <c r="D1096" s="90"/>
      <c r="E1096" s="90"/>
    </row>
    <row r="1097" spans="2:5" ht="12.75" customHeight="1">
      <c r="B1097" s="28"/>
      <c r="C1097" s="90"/>
      <c r="D1097" s="90"/>
      <c r="E1097" s="90"/>
    </row>
    <row r="1098" spans="2:5" ht="12.75" customHeight="1">
      <c r="B1098" s="28"/>
      <c r="C1098" s="90"/>
      <c r="D1098" s="90"/>
      <c r="E1098" s="90"/>
    </row>
    <row r="1099" spans="2:5" ht="12.75" customHeight="1">
      <c r="B1099" s="28"/>
      <c r="C1099" s="90"/>
      <c r="D1099" s="90"/>
      <c r="E1099" s="90"/>
    </row>
    <row r="1100" spans="2:5" ht="12.75" customHeight="1">
      <c r="B1100" s="28"/>
      <c r="C1100" s="90"/>
      <c r="D1100" s="90"/>
      <c r="E1100" s="90"/>
    </row>
    <row r="1101" spans="2:5" ht="12.75" customHeight="1">
      <c r="B1101" s="28"/>
      <c r="C1101" s="90"/>
      <c r="D1101" s="90"/>
      <c r="E1101" s="90"/>
    </row>
    <row r="1102" spans="2:5" ht="12.75" customHeight="1">
      <c r="B1102" s="28"/>
      <c r="C1102" s="90"/>
      <c r="D1102" s="90"/>
      <c r="E1102" s="90"/>
    </row>
    <row r="1103" spans="2:5" ht="12.75" customHeight="1">
      <c r="B1103" s="28"/>
      <c r="C1103" s="90"/>
      <c r="D1103" s="90"/>
      <c r="E1103" s="90"/>
    </row>
    <row r="1104" spans="2:5" ht="12.75" customHeight="1">
      <c r="B1104" s="28"/>
      <c r="C1104" s="90"/>
      <c r="D1104" s="90"/>
      <c r="E1104" s="90"/>
    </row>
    <row r="1105" spans="2:5" ht="12.75" customHeight="1">
      <c r="B1105" s="28"/>
      <c r="C1105" s="90"/>
      <c r="D1105" s="90"/>
      <c r="E1105" s="90"/>
    </row>
    <row r="1106" spans="2:5" ht="12.75" customHeight="1">
      <c r="B1106" s="28"/>
      <c r="C1106" s="90"/>
      <c r="D1106" s="90"/>
      <c r="E1106" s="90"/>
    </row>
    <row r="1107" spans="2:5" ht="12.75" customHeight="1">
      <c r="B1107" s="28"/>
      <c r="C1107" s="90"/>
      <c r="D1107" s="90"/>
      <c r="E1107" s="90"/>
    </row>
    <row r="1108" spans="2:5" ht="12.75" customHeight="1">
      <c r="B1108" s="28"/>
      <c r="C1108" s="90"/>
      <c r="D1108" s="90"/>
      <c r="E1108" s="90"/>
    </row>
    <row r="1109" spans="2:5" ht="12.75" customHeight="1">
      <c r="B1109" s="28"/>
      <c r="C1109" s="90"/>
      <c r="D1109" s="90"/>
      <c r="E1109" s="90"/>
    </row>
    <row r="1110" spans="2:5" ht="12.75" customHeight="1">
      <c r="B1110" s="28"/>
      <c r="C1110" s="90"/>
      <c r="D1110" s="90"/>
      <c r="E1110" s="90"/>
    </row>
    <row r="1111" spans="2:5" ht="12.75" customHeight="1">
      <c r="B1111" s="28"/>
      <c r="C1111" s="90"/>
      <c r="D1111" s="90"/>
      <c r="E1111" s="90"/>
    </row>
    <row r="1112" spans="2:5" ht="12.75" customHeight="1">
      <c r="B1112" s="28"/>
      <c r="C1112" s="90"/>
      <c r="D1112" s="90"/>
      <c r="E1112" s="90"/>
    </row>
    <row r="1113" spans="2:5" ht="12.75" customHeight="1">
      <c r="B1113" s="28"/>
      <c r="C1113" s="90"/>
      <c r="D1113" s="90"/>
      <c r="E1113" s="90"/>
    </row>
    <row r="1114" spans="2:5" ht="12.75" customHeight="1">
      <c r="B1114" s="28"/>
      <c r="C1114" s="90"/>
      <c r="D1114" s="90"/>
      <c r="E1114" s="90"/>
    </row>
    <row r="1115" spans="2:5" ht="12.75" customHeight="1">
      <c r="B1115" s="28"/>
      <c r="C1115" s="90"/>
      <c r="D1115" s="90"/>
      <c r="E1115" s="90"/>
    </row>
    <row r="1116" spans="2:5" ht="12.75" customHeight="1">
      <c r="B1116" s="28"/>
      <c r="C1116" s="90"/>
      <c r="D1116" s="90"/>
      <c r="E1116" s="90"/>
    </row>
    <row r="1117" spans="2:5" ht="12.75" customHeight="1">
      <c r="B1117" s="28"/>
      <c r="C1117" s="90"/>
      <c r="D1117" s="90"/>
      <c r="E1117" s="90"/>
    </row>
    <row r="1118" spans="2:5" ht="12.75" customHeight="1">
      <c r="B1118" s="28"/>
      <c r="C1118" s="90"/>
      <c r="D1118" s="90"/>
      <c r="E1118" s="90"/>
    </row>
    <row r="1119" spans="2:5" ht="12.75" customHeight="1">
      <c r="B1119" s="28"/>
      <c r="C1119" s="90"/>
      <c r="D1119" s="90"/>
      <c r="E1119" s="90"/>
    </row>
    <row r="1120" spans="2:5" ht="12.75" customHeight="1">
      <c r="B1120" s="28"/>
      <c r="C1120" s="90"/>
      <c r="D1120" s="90"/>
      <c r="E1120" s="90"/>
    </row>
    <row r="1121" spans="2:5" ht="12.75" customHeight="1">
      <c r="B1121" s="28"/>
      <c r="C1121" s="90"/>
      <c r="D1121" s="90"/>
      <c r="E1121" s="90"/>
    </row>
    <row r="1122" spans="2:5" ht="12.75" customHeight="1">
      <c r="B1122" s="28"/>
      <c r="C1122" s="90"/>
      <c r="D1122" s="90"/>
      <c r="E1122" s="90"/>
    </row>
    <row r="1123" spans="2:5" ht="12.75" customHeight="1">
      <c r="B1123" s="28"/>
      <c r="C1123" s="90"/>
      <c r="D1123" s="90"/>
      <c r="E1123" s="90"/>
    </row>
    <row r="1124" spans="2:5" ht="12.75" customHeight="1">
      <c r="B1124" s="28"/>
      <c r="C1124" s="90"/>
      <c r="D1124" s="90"/>
      <c r="E1124" s="90"/>
    </row>
    <row r="1125" spans="2:5" ht="12.75" customHeight="1">
      <c r="B1125" s="28"/>
      <c r="C1125" s="90"/>
      <c r="D1125" s="90"/>
      <c r="E1125" s="90"/>
    </row>
    <row r="1126" spans="2:5" ht="12.75" customHeight="1">
      <c r="B1126" s="28"/>
      <c r="C1126" s="90"/>
      <c r="D1126" s="90"/>
      <c r="E1126" s="90"/>
    </row>
    <row r="1127" spans="2:5" ht="12.75" customHeight="1">
      <c r="B1127" s="28"/>
      <c r="C1127" s="90"/>
      <c r="D1127" s="90"/>
      <c r="E1127" s="90"/>
    </row>
    <row r="1128" spans="2:5" ht="12.75" customHeight="1">
      <c r="B1128" s="28"/>
      <c r="C1128" s="90"/>
      <c r="D1128" s="90"/>
      <c r="E1128" s="90"/>
    </row>
    <row r="1129" spans="2:5" ht="12.75" customHeight="1">
      <c r="B1129" s="28"/>
      <c r="C1129" s="90"/>
      <c r="D1129" s="90"/>
      <c r="E1129" s="90"/>
    </row>
    <row r="1130" spans="2:5" ht="12.75" customHeight="1">
      <c r="B1130" s="28"/>
      <c r="C1130" s="90"/>
      <c r="D1130" s="90"/>
      <c r="E1130" s="90"/>
    </row>
    <row r="1131" spans="2:5" ht="12.75" customHeight="1">
      <c r="B1131" s="28"/>
      <c r="C1131" s="90"/>
      <c r="D1131" s="90"/>
      <c r="E1131" s="90"/>
    </row>
    <row r="1132" spans="2:5" ht="12.75" customHeight="1">
      <c r="B1132" s="28"/>
      <c r="C1132" s="90"/>
      <c r="D1132" s="90"/>
      <c r="E1132" s="90"/>
    </row>
    <row r="1133" spans="2:5" ht="12.75" customHeight="1">
      <c r="B1133" s="28"/>
      <c r="C1133" s="90"/>
      <c r="D1133" s="90"/>
      <c r="E1133" s="90"/>
    </row>
    <row r="1134" spans="2:5" ht="12.75" customHeight="1">
      <c r="B1134" s="28"/>
      <c r="C1134" s="90"/>
      <c r="D1134" s="90"/>
      <c r="E1134" s="90"/>
    </row>
    <row r="1135" spans="2:5" ht="12.75" customHeight="1">
      <c r="B1135" s="28"/>
      <c r="C1135" s="90"/>
      <c r="D1135" s="90"/>
      <c r="E1135" s="90"/>
    </row>
    <row r="1136" spans="2:5" ht="12.75" customHeight="1">
      <c r="B1136" s="28"/>
      <c r="C1136" s="90"/>
      <c r="D1136" s="90"/>
      <c r="E1136" s="90"/>
    </row>
    <row r="1137" spans="2:5" ht="12.75" customHeight="1">
      <c r="B1137" s="28"/>
      <c r="C1137" s="90"/>
      <c r="D1137" s="90"/>
      <c r="E1137" s="90"/>
    </row>
    <row r="1138" spans="2:5" ht="12.75" customHeight="1">
      <c r="B1138" s="28"/>
      <c r="C1138" s="90"/>
      <c r="D1138" s="90"/>
      <c r="E1138" s="90"/>
    </row>
    <row r="1139" spans="2:5" ht="12.75" customHeight="1">
      <c r="B1139" s="28"/>
      <c r="C1139" s="90"/>
      <c r="D1139" s="90"/>
      <c r="E1139" s="90"/>
    </row>
    <row r="1140" spans="2:5" ht="12.75" customHeight="1">
      <c r="B1140" s="28"/>
      <c r="C1140" s="90"/>
      <c r="D1140" s="90"/>
      <c r="E1140" s="90"/>
    </row>
    <row r="1141" spans="2:5" ht="12.75" customHeight="1">
      <c r="B1141" s="28"/>
      <c r="C1141" s="90"/>
      <c r="D1141" s="90"/>
      <c r="E1141" s="90"/>
    </row>
    <row r="1142" spans="2:5" ht="12.75" customHeight="1">
      <c r="B1142" s="28"/>
      <c r="C1142" s="90"/>
      <c r="D1142" s="90"/>
      <c r="E1142" s="90"/>
    </row>
    <row r="1143" spans="2:5" ht="12.75" customHeight="1">
      <c r="B1143" s="28"/>
      <c r="C1143" s="90"/>
      <c r="D1143" s="90"/>
      <c r="E1143" s="90"/>
    </row>
    <row r="1144" spans="2:5" ht="12.75" customHeight="1">
      <c r="B1144" s="28"/>
      <c r="C1144" s="90"/>
      <c r="D1144" s="90"/>
      <c r="E1144" s="90"/>
    </row>
    <row r="1145" spans="2:5" ht="12.75" customHeight="1">
      <c r="B1145" s="28"/>
      <c r="C1145" s="90"/>
      <c r="D1145" s="90"/>
      <c r="E1145" s="90"/>
    </row>
    <row r="1146" spans="2:5" ht="12.75" customHeight="1">
      <c r="B1146" s="28"/>
      <c r="C1146" s="90"/>
      <c r="D1146" s="90"/>
      <c r="E1146" s="90"/>
    </row>
    <row r="1147" spans="2:5" ht="12.75" customHeight="1">
      <c r="B1147" s="28"/>
      <c r="C1147" s="90"/>
      <c r="D1147" s="90"/>
      <c r="E1147" s="90"/>
    </row>
    <row r="1148" spans="2:5" ht="12.75" customHeight="1">
      <c r="B1148" s="28"/>
      <c r="C1148" s="90"/>
      <c r="D1148" s="90"/>
      <c r="E1148" s="90"/>
    </row>
    <row r="1149" spans="2:5" ht="12.75" customHeight="1">
      <c r="B1149" s="28"/>
      <c r="C1149" s="90"/>
      <c r="D1149" s="90"/>
      <c r="E1149" s="90"/>
    </row>
    <row r="1150" spans="2:5" ht="12.75" customHeight="1">
      <c r="B1150" s="28"/>
      <c r="C1150" s="90"/>
      <c r="D1150" s="90"/>
      <c r="E1150" s="90"/>
    </row>
    <row r="1151" spans="2:5" ht="12.75" customHeight="1">
      <c r="B1151" s="28"/>
      <c r="C1151" s="90"/>
      <c r="D1151" s="90"/>
      <c r="E1151" s="90"/>
    </row>
    <row r="1152" spans="2:5" ht="12.75" customHeight="1">
      <c r="B1152" s="28"/>
      <c r="C1152" s="90"/>
      <c r="D1152" s="90"/>
      <c r="E1152" s="90"/>
    </row>
    <row r="1153" spans="2:5" ht="12.75" customHeight="1">
      <c r="B1153" s="28"/>
      <c r="C1153" s="90"/>
      <c r="D1153" s="90"/>
      <c r="E1153" s="90"/>
    </row>
    <row r="1154" spans="2:5" ht="12.75" customHeight="1">
      <c r="B1154" s="28"/>
      <c r="C1154" s="90"/>
      <c r="D1154" s="90"/>
      <c r="E1154" s="90"/>
    </row>
    <row r="1155" spans="2:5" ht="12.75" customHeight="1">
      <c r="B1155" s="28"/>
      <c r="C1155" s="90"/>
      <c r="D1155" s="90"/>
      <c r="E1155" s="90"/>
    </row>
    <row r="1156" spans="2:5" ht="12.75" customHeight="1">
      <c r="B1156" s="28"/>
      <c r="C1156" s="90"/>
      <c r="D1156" s="90"/>
      <c r="E1156" s="90"/>
    </row>
    <row r="1157" spans="2:5" ht="12.75" customHeight="1">
      <c r="B1157" s="28"/>
      <c r="C1157" s="90"/>
      <c r="D1157" s="90"/>
      <c r="E1157" s="90"/>
    </row>
    <row r="1158" spans="2:5" ht="12.75" customHeight="1">
      <c r="B1158" s="28"/>
      <c r="C1158" s="90"/>
      <c r="D1158" s="90"/>
      <c r="E1158" s="90"/>
    </row>
    <row r="1159" spans="2:5" ht="12.75" customHeight="1">
      <c r="B1159" s="28"/>
      <c r="C1159" s="90"/>
      <c r="D1159" s="90"/>
      <c r="E1159" s="90"/>
    </row>
    <row r="1160" spans="2:5" ht="12.75" customHeight="1">
      <c r="B1160" s="28"/>
      <c r="C1160" s="90"/>
      <c r="D1160" s="90"/>
      <c r="E1160" s="90"/>
    </row>
    <row r="1161" spans="2:5" ht="12.75" customHeight="1">
      <c r="B1161" s="28"/>
      <c r="C1161" s="90"/>
      <c r="D1161" s="90"/>
      <c r="E1161" s="90"/>
    </row>
    <row r="1162" spans="2:5" ht="12.75" customHeight="1">
      <c r="B1162" s="28"/>
      <c r="C1162" s="90"/>
      <c r="D1162" s="90"/>
      <c r="E1162" s="90"/>
    </row>
    <row r="1163" spans="2:5" ht="12.75" customHeight="1">
      <c r="B1163" s="28"/>
      <c r="C1163" s="90"/>
      <c r="D1163" s="90"/>
      <c r="E1163" s="90"/>
    </row>
    <row r="1164" spans="2:5" ht="12.75" customHeight="1">
      <c r="B1164" s="28"/>
      <c r="C1164" s="90"/>
      <c r="D1164" s="90"/>
      <c r="E1164" s="90"/>
    </row>
    <row r="1165" spans="2:5" ht="12.75" customHeight="1">
      <c r="B1165" s="28"/>
      <c r="C1165" s="90"/>
      <c r="D1165" s="90"/>
      <c r="E1165" s="90"/>
    </row>
    <row r="1166" spans="2:5" ht="12.75" customHeight="1">
      <c r="B1166" s="28"/>
      <c r="C1166" s="90"/>
      <c r="D1166" s="90"/>
      <c r="E1166" s="90"/>
    </row>
    <row r="1167" spans="2:5" ht="12.75" customHeight="1">
      <c r="B1167" s="28"/>
      <c r="C1167" s="90"/>
      <c r="D1167" s="90"/>
      <c r="E1167" s="90"/>
    </row>
    <row r="1168" spans="2:5" ht="12.75" customHeight="1">
      <c r="B1168" s="28"/>
      <c r="C1168" s="90"/>
      <c r="D1168" s="90"/>
      <c r="E1168" s="90"/>
    </row>
    <row r="1169" spans="2:5" ht="12.75" customHeight="1">
      <c r="B1169" s="28"/>
      <c r="C1169" s="90"/>
      <c r="D1169" s="90"/>
      <c r="E1169" s="90"/>
    </row>
    <row r="1170" spans="2:5" ht="12.75" customHeight="1">
      <c r="B1170" s="28"/>
      <c r="C1170" s="90"/>
      <c r="D1170" s="90"/>
      <c r="E1170" s="90"/>
    </row>
    <row r="1171" spans="2:5" ht="12.75" customHeight="1">
      <c r="B1171" s="28"/>
      <c r="C1171" s="90"/>
      <c r="D1171" s="90"/>
      <c r="E1171" s="90"/>
    </row>
    <row r="1172" spans="2:5" ht="12.75" customHeight="1">
      <c r="B1172" s="28"/>
      <c r="C1172" s="90"/>
      <c r="D1172" s="90"/>
      <c r="E1172" s="90"/>
    </row>
    <row r="1173" spans="2:5" ht="12.75" customHeight="1">
      <c r="B1173" s="28"/>
      <c r="C1173" s="90"/>
      <c r="D1173" s="90"/>
      <c r="E1173" s="90"/>
    </row>
    <row r="1174" spans="2:5" ht="12.75" customHeight="1">
      <c r="B1174" s="28"/>
      <c r="C1174" s="90"/>
      <c r="D1174" s="90"/>
      <c r="E1174" s="90"/>
    </row>
    <row r="1175" spans="2:5" ht="12.75" customHeight="1">
      <c r="B1175" s="28"/>
      <c r="C1175" s="90"/>
      <c r="D1175" s="90"/>
      <c r="E1175" s="90"/>
    </row>
    <row r="1176" spans="2:5" ht="12.75" customHeight="1">
      <c r="B1176" s="28"/>
      <c r="C1176" s="90"/>
      <c r="D1176" s="90"/>
      <c r="E1176" s="90"/>
    </row>
    <row r="1177" spans="2:5" ht="12.75" customHeight="1">
      <c r="B1177" s="28"/>
      <c r="C1177" s="90"/>
      <c r="D1177" s="90"/>
      <c r="E1177" s="90"/>
    </row>
    <row r="1178" spans="2:5" ht="12.75" customHeight="1">
      <c r="B1178" s="28"/>
      <c r="C1178" s="90"/>
      <c r="D1178" s="90"/>
      <c r="E1178" s="90"/>
    </row>
    <row r="1179" spans="2:5" ht="12.75" customHeight="1">
      <c r="B1179" s="28"/>
      <c r="C1179" s="90"/>
      <c r="D1179" s="90"/>
      <c r="E1179" s="90"/>
    </row>
    <row r="1180" spans="2:5" ht="12.75" customHeight="1">
      <c r="B1180" s="28"/>
      <c r="C1180" s="90"/>
      <c r="D1180" s="90"/>
      <c r="E1180" s="90"/>
    </row>
    <row r="1181" spans="2:5" ht="12.75" customHeight="1">
      <c r="B1181" s="28"/>
      <c r="C1181" s="90"/>
      <c r="D1181" s="90"/>
      <c r="E1181" s="90"/>
    </row>
    <row r="1182" spans="2:5" ht="12.75" customHeight="1">
      <c r="B1182" s="28"/>
      <c r="C1182" s="90"/>
      <c r="D1182" s="90"/>
      <c r="E1182" s="90"/>
    </row>
    <row r="1183" spans="2:5" ht="12.75" customHeight="1">
      <c r="B1183" s="28"/>
      <c r="C1183" s="90"/>
      <c r="D1183" s="90"/>
      <c r="E1183" s="90"/>
    </row>
    <row r="1184" spans="2:5" ht="12.75" customHeight="1">
      <c r="B1184" s="28"/>
      <c r="C1184" s="90"/>
      <c r="D1184" s="90"/>
      <c r="E1184" s="90"/>
    </row>
    <row r="1185" spans="2:5" ht="12.75" customHeight="1">
      <c r="B1185" s="28"/>
      <c r="C1185" s="90"/>
      <c r="D1185" s="90"/>
      <c r="E1185" s="90"/>
    </row>
    <row r="1186" spans="2:5" ht="12.75" customHeight="1">
      <c r="B1186" s="28"/>
      <c r="C1186" s="90"/>
      <c r="D1186" s="90"/>
      <c r="E1186" s="90"/>
    </row>
    <row r="1187" spans="2:5" ht="12.75" customHeight="1">
      <c r="B1187" s="28"/>
      <c r="C1187" s="90"/>
      <c r="D1187" s="90"/>
      <c r="E1187" s="90"/>
    </row>
    <row r="1188" spans="2:5" ht="12.75" customHeight="1">
      <c r="B1188" s="28"/>
      <c r="C1188" s="90"/>
      <c r="D1188" s="90"/>
      <c r="E1188" s="90"/>
    </row>
    <row r="1189" spans="2:5" ht="12.75" customHeight="1">
      <c r="B1189" s="28"/>
      <c r="C1189" s="90"/>
      <c r="D1189" s="90"/>
      <c r="E1189" s="90"/>
    </row>
    <row r="1190" spans="2:5" ht="12.75" customHeight="1">
      <c r="B1190" s="28"/>
      <c r="C1190" s="90"/>
      <c r="D1190" s="90"/>
      <c r="E1190" s="90"/>
    </row>
    <row r="1191" spans="2:5" ht="12.75" customHeight="1">
      <c r="B1191" s="28"/>
      <c r="C1191" s="90"/>
      <c r="D1191" s="90"/>
      <c r="E1191" s="90"/>
    </row>
    <row r="1192" spans="2:5" ht="12.75" customHeight="1">
      <c r="B1192" s="28"/>
      <c r="C1192" s="90"/>
      <c r="D1192" s="90"/>
      <c r="E1192" s="90"/>
    </row>
    <row r="1193" spans="2:5" ht="12.75" customHeight="1">
      <c r="B1193" s="28"/>
      <c r="C1193" s="90"/>
      <c r="D1193" s="90"/>
      <c r="E1193" s="90"/>
    </row>
    <row r="1194" spans="2:5" ht="12.75" customHeight="1">
      <c r="B1194" s="28"/>
      <c r="C1194" s="90"/>
      <c r="D1194" s="90"/>
      <c r="E1194" s="90"/>
    </row>
    <row r="1195" spans="2:5" ht="12.75" customHeight="1">
      <c r="B1195" s="28"/>
      <c r="C1195" s="90"/>
      <c r="D1195" s="90"/>
      <c r="E1195" s="90"/>
    </row>
    <row r="1196" spans="2:5" ht="12.75" customHeight="1">
      <c r="B1196" s="28"/>
      <c r="C1196" s="90"/>
      <c r="D1196" s="90"/>
      <c r="E1196" s="90"/>
    </row>
    <row r="1197" spans="2:5" ht="12.75" customHeight="1">
      <c r="B1197" s="28"/>
      <c r="C1197" s="90"/>
      <c r="D1197" s="90"/>
      <c r="E1197" s="90"/>
    </row>
    <row r="1198" spans="2:5" ht="12.75" customHeight="1">
      <c r="B1198" s="28"/>
      <c r="C1198" s="90"/>
      <c r="D1198" s="90"/>
      <c r="E1198" s="90"/>
    </row>
    <row r="1199" spans="2:5" ht="12.75" customHeight="1">
      <c r="B1199" s="28"/>
      <c r="C1199" s="90"/>
      <c r="D1199" s="90"/>
      <c r="E1199" s="90"/>
    </row>
    <row r="1200" spans="2:5" ht="12.75" customHeight="1">
      <c r="B1200" s="28"/>
      <c r="C1200" s="90"/>
      <c r="D1200" s="90"/>
      <c r="E1200" s="90"/>
    </row>
    <row r="1201" spans="2:5" ht="12.75" customHeight="1">
      <c r="B1201" s="28"/>
      <c r="C1201" s="90"/>
      <c r="D1201" s="90"/>
      <c r="E1201" s="90"/>
    </row>
    <row r="1202" spans="2:5" ht="12.75" customHeight="1">
      <c r="B1202" s="28"/>
      <c r="C1202" s="90"/>
      <c r="D1202" s="90"/>
      <c r="E1202" s="90"/>
    </row>
    <row r="1203" spans="2:5" ht="12.75" customHeight="1">
      <c r="B1203" s="28"/>
      <c r="C1203" s="90"/>
      <c r="D1203" s="90"/>
      <c r="E1203" s="90"/>
    </row>
    <row r="1204" spans="2:5" ht="12.75" customHeight="1">
      <c r="B1204" s="28"/>
      <c r="C1204" s="90"/>
      <c r="D1204" s="90"/>
      <c r="E1204" s="90"/>
    </row>
    <row r="1205" spans="2:5" ht="12.75" customHeight="1">
      <c r="B1205" s="28"/>
      <c r="C1205" s="90"/>
      <c r="D1205" s="90"/>
      <c r="E1205" s="90"/>
    </row>
    <row r="1206" spans="2:5" ht="12.75" customHeight="1">
      <c r="B1206" s="28"/>
      <c r="C1206" s="90"/>
      <c r="D1206" s="90"/>
      <c r="E1206" s="90"/>
    </row>
    <row r="1207" spans="2:5" ht="12.75" customHeight="1">
      <c r="B1207" s="28"/>
      <c r="C1207" s="90"/>
      <c r="D1207" s="90"/>
      <c r="E1207" s="90"/>
    </row>
    <row r="1208" spans="2:5" ht="12.75" customHeight="1">
      <c r="B1208" s="28"/>
      <c r="C1208" s="90"/>
      <c r="D1208" s="90"/>
      <c r="E1208" s="90"/>
    </row>
    <row r="1209" spans="2:5" ht="12.75" customHeight="1">
      <c r="B1209" s="28"/>
      <c r="C1209" s="90"/>
      <c r="D1209" s="90"/>
      <c r="E1209" s="90"/>
    </row>
    <row r="1210" spans="2:5" ht="12.75" customHeight="1">
      <c r="B1210" s="28"/>
      <c r="C1210" s="90"/>
      <c r="D1210" s="90"/>
      <c r="E1210" s="90"/>
    </row>
    <row r="1211" spans="2:5" ht="12.75" customHeight="1">
      <c r="B1211" s="28"/>
      <c r="C1211" s="90"/>
      <c r="D1211" s="90"/>
      <c r="E1211" s="90"/>
    </row>
    <row r="1212" spans="2:5" ht="12.75" customHeight="1">
      <c r="B1212" s="28"/>
      <c r="C1212" s="90"/>
      <c r="D1212" s="90"/>
      <c r="E1212" s="90"/>
    </row>
    <row r="1213" spans="2:5" ht="12.75" customHeight="1">
      <c r="B1213" s="28"/>
      <c r="C1213" s="90"/>
      <c r="D1213" s="90"/>
      <c r="E1213" s="90"/>
    </row>
    <row r="1214" spans="2:5" ht="12.75" customHeight="1">
      <c r="B1214" s="28"/>
      <c r="C1214" s="90"/>
      <c r="D1214" s="90"/>
      <c r="E1214" s="90"/>
    </row>
    <row r="1215" spans="2:5" ht="12.75" customHeight="1">
      <c r="B1215" s="28"/>
      <c r="C1215" s="90"/>
      <c r="D1215" s="90"/>
      <c r="E1215" s="90"/>
    </row>
    <row r="1216" spans="2:5" ht="12.75" customHeight="1">
      <c r="B1216" s="28"/>
      <c r="C1216" s="90"/>
      <c r="D1216" s="90"/>
      <c r="E1216" s="90"/>
    </row>
    <row r="1217" spans="2:5" ht="12.75" customHeight="1">
      <c r="B1217" s="28"/>
      <c r="C1217" s="90"/>
      <c r="D1217" s="90"/>
      <c r="E1217" s="90"/>
    </row>
    <row r="1218" spans="2:5" ht="12.75" customHeight="1">
      <c r="B1218" s="28"/>
      <c r="C1218" s="90"/>
      <c r="D1218" s="90"/>
      <c r="E1218" s="90"/>
    </row>
    <row r="1219" spans="2:5" ht="12.75" customHeight="1">
      <c r="B1219" s="28"/>
      <c r="C1219" s="90"/>
      <c r="D1219" s="90"/>
      <c r="E1219" s="90"/>
    </row>
    <row r="1220" spans="2:5" ht="12.75" customHeight="1">
      <c r="B1220" s="28"/>
      <c r="C1220" s="90"/>
      <c r="D1220" s="90"/>
      <c r="E1220" s="90"/>
    </row>
    <row r="1221" spans="2:5" ht="12.75" customHeight="1">
      <c r="B1221" s="28"/>
      <c r="C1221" s="90"/>
      <c r="D1221" s="90"/>
      <c r="E1221" s="90"/>
    </row>
    <row r="1222" spans="2:5" ht="12.75" customHeight="1">
      <c r="B1222" s="28"/>
      <c r="C1222" s="90"/>
      <c r="D1222" s="90"/>
      <c r="E1222" s="90"/>
    </row>
    <row r="1223" spans="2:5" ht="12.75" customHeight="1">
      <c r="B1223" s="28"/>
      <c r="C1223" s="90"/>
      <c r="D1223" s="90"/>
      <c r="E1223" s="90"/>
    </row>
    <row r="1224" spans="2:5" ht="12.75" customHeight="1">
      <c r="B1224" s="28"/>
      <c r="C1224" s="90"/>
      <c r="D1224" s="90"/>
      <c r="E1224" s="90"/>
    </row>
    <row r="1225" spans="2:5" ht="12.75" customHeight="1">
      <c r="B1225" s="28"/>
      <c r="C1225" s="90"/>
      <c r="D1225" s="90"/>
      <c r="E1225" s="90"/>
    </row>
    <row r="1226" spans="2:5" ht="12.75" customHeight="1">
      <c r="B1226" s="28"/>
      <c r="C1226" s="90"/>
      <c r="D1226" s="90"/>
      <c r="E1226" s="90"/>
    </row>
    <row r="1227" spans="2:5" ht="12.75" customHeight="1">
      <c r="B1227" s="28"/>
      <c r="C1227" s="90"/>
      <c r="D1227" s="90"/>
      <c r="E1227" s="90"/>
    </row>
    <row r="1228" spans="2:5" ht="12.75" customHeight="1">
      <c r="B1228" s="28"/>
      <c r="C1228" s="90"/>
      <c r="D1228" s="90"/>
      <c r="E1228" s="90"/>
    </row>
    <row r="1229" spans="2:5" ht="12.75" customHeight="1">
      <c r="B1229" s="28"/>
      <c r="C1229" s="90"/>
      <c r="D1229" s="90"/>
      <c r="E1229" s="90"/>
    </row>
    <row r="1230" spans="2:5" ht="12.75" customHeight="1">
      <c r="B1230" s="28"/>
      <c r="C1230" s="90"/>
      <c r="D1230" s="90"/>
      <c r="E1230" s="90"/>
    </row>
    <row r="1231" spans="2:5" ht="12.75" customHeight="1">
      <c r="B1231" s="28"/>
      <c r="C1231" s="90"/>
      <c r="D1231" s="90"/>
      <c r="E1231" s="90"/>
    </row>
    <row r="1232" spans="2:5" ht="12.75" customHeight="1">
      <c r="B1232" s="28"/>
      <c r="C1232" s="90"/>
      <c r="D1232" s="90"/>
      <c r="E1232" s="90"/>
    </row>
    <row r="1233" spans="2:5" ht="12.75" customHeight="1">
      <c r="B1233" s="28"/>
      <c r="C1233" s="90"/>
      <c r="D1233" s="90"/>
      <c r="E1233" s="90"/>
    </row>
    <row r="1234" spans="2:5" ht="12.75" customHeight="1">
      <c r="B1234" s="28"/>
      <c r="C1234" s="90"/>
      <c r="D1234" s="90"/>
      <c r="E1234" s="90"/>
    </row>
    <row r="1235" spans="2:5" ht="12.75" customHeight="1">
      <c r="B1235" s="28"/>
      <c r="C1235" s="90"/>
      <c r="D1235" s="90"/>
      <c r="E1235" s="90"/>
    </row>
    <row r="1236" spans="2:5" ht="12.75" customHeight="1">
      <c r="B1236" s="28"/>
      <c r="C1236" s="90"/>
      <c r="D1236" s="90"/>
      <c r="E1236" s="90"/>
    </row>
    <row r="1237" spans="2:5" ht="12.75" customHeight="1">
      <c r="B1237" s="28"/>
      <c r="C1237" s="90"/>
      <c r="D1237" s="90"/>
      <c r="E1237" s="90"/>
    </row>
    <row r="1238" spans="2:5" ht="12.75" customHeight="1">
      <c r="B1238" s="28"/>
      <c r="C1238" s="90"/>
      <c r="D1238" s="90"/>
      <c r="E1238" s="90"/>
    </row>
    <row r="1239" spans="2:5" ht="12.75" customHeight="1">
      <c r="B1239" s="28"/>
      <c r="C1239" s="90"/>
      <c r="D1239" s="90"/>
      <c r="E1239" s="90"/>
    </row>
    <row r="1240" spans="2:5" ht="12.75" customHeight="1">
      <c r="B1240" s="28"/>
      <c r="C1240" s="90"/>
      <c r="D1240" s="90"/>
      <c r="E1240" s="90"/>
    </row>
    <row r="1241" spans="2:5" ht="12.75" customHeight="1">
      <c r="B1241" s="28"/>
      <c r="C1241" s="90"/>
      <c r="D1241" s="90"/>
      <c r="E1241" s="90"/>
    </row>
    <row r="1242" spans="2:5" ht="12.75" customHeight="1">
      <c r="B1242" s="28"/>
      <c r="C1242" s="90"/>
      <c r="D1242" s="90"/>
      <c r="E1242" s="90"/>
    </row>
    <row r="1243" spans="2:5" ht="12.75" customHeight="1">
      <c r="B1243" s="28"/>
      <c r="C1243" s="90"/>
      <c r="D1243" s="90"/>
      <c r="E1243" s="90"/>
    </row>
    <row r="1244" spans="2:5" ht="12.75" customHeight="1">
      <c r="B1244" s="28"/>
      <c r="C1244" s="90"/>
      <c r="D1244" s="90"/>
      <c r="E1244" s="90"/>
    </row>
    <row r="1245" spans="2:5" ht="12.75" customHeight="1">
      <c r="B1245" s="28"/>
      <c r="C1245" s="90"/>
      <c r="D1245" s="90"/>
      <c r="E1245" s="90"/>
    </row>
    <row r="1246" spans="2:5" ht="12.75" customHeight="1">
      <c r="B1246" s="28"/>
      <c r="C1246" s="90"/>
      <c r="D1246" s="90"/>
      <c r="E1246" s="90"/>
    </row>
    <row r="1247" spans="2:5" ht="12.75" customHeight="1">
      <c r="B1247" s="28"/>
      <c r="C1247" s="90"/>
      <c r="D1247" s="90"/>
      <c r="E1247" s="90"/>
    </row>
    <row r="1248" spans="2:5" ht="12.75" customHeight="1">
      <c r="B1248" s="28"/>
      <c r="C1248" s="90"/>
      <c r="D1248" s="90"/>
      <c r="E1248" s="90"/>
    </row>
    <row r="1249" spans="2:5" ht="12.75" customHeight="1">
      <c r="B1249" s="28"/>
      <c r="C1249" s="90"/>
      <c r="D1249" s="90"/>
      <c r="E1249" s="90"/>
    </row>
    <row r="1250" spans="2:5" ht="12.75" customHeight="1">
      <c r="B1250" s="28"/>
      <c r="C1250" s="90"/>
      <c r="D1250" s="90"/>
      <c r="E1250" s="90"/>
    </row>
    <row r="1251" spans="2:5" ht="12.75" customHeight="1">
      <c r="B1251" s="28"/>
      <c r="C1251" s="90"/>
      <c r="D1251" s="90"/>
      <c r="E1251" s="90"/>
    </row>
    <row r="1252" spans="2:5" ht="12.75" customHeight="1">
      <c r="B1252" s="28"/>
      <c r="C1252" s="90"/>
      <c r="D1252" s="90"/>
      <c r="E1252" s="90"/>
    </row>
    <row r="1253" spans="2:5" ht="12.75" customHeight="1">
      <c r="B1253" s="28"/>
      <c r="C1253" s="90"/>
      <c r="D1253" s="90"/>
      <c r="E1253" s="90"/>
    </row>
    <row r="1254" spans="2:5" ht="12.75" customHeight="1">
      <c r="B1254" s="28"/>
      <c r="C1254" s="90"/>
      <c r="D1254" s="90"/>
      <c r="E1254" s="90"/>
    </row>
    <row r="1255" spans="2:5" ht="12.75" customHeight="1">
      <c r="B1255" s="28"/>
      <c r="C1255" s="90"/>
      <c r="D1255" s="90"/>
      <c r="E1255" s="90"/>
    </row>
    <row r="1256" spans="2:5" ht="12.75" customHeight="1">
      <c r="B1256" s="28"/>
      <c r="C1256" s="90"/>
      <c r="D1256" s="90"/>
      <c r="E1256" s="90"/>
    </row>
    <row r="1257" spans="2:5" ht="12.75" customHeight="1">
      <c r="B1257" s="28"/>
      <c r="C1257" s="90"/>
      <c r="D1257" s="90"/>
      <c r="E1257" s="90"/>
    </row>
    <row r="1258" spans="2:5" ht="12.75" customHeight="1">
      <c r="B1258" s="28"/>
      <c r="C1258" s="90"/>
      <c r="D1258" s="90"/>
      <c r="E1258" s="90"/>
    </row>
    <row r="1259" spans="2:5" ht="12.75" customHeight="1">
      <c r="B1259" s="28"/>
      <c r="C1259" s="90"/>
      <c r="D1259" s="90"/>
      <c r="E1259" s="90"/>
    </row>
    <row r="1260" spans="2:5" ht="12.75" customHeight="1">
      <c r="B1260" s="28"/>
      <c r="C1260" s="90"/>
      <c r="D1260" s="90"/>
      <c r="E1260" s="90"/>
    </row>
    <row r="1261" spans="2:5" ht="12.75" customHeight="1">
      <c r="B1261" s="28"/>
      <c r="C1261" s="90"/>
      <c r="D1261" s="90"/>
      <c r="E1261" s="90"/>
    </row>
    <row r="1262" spans="2:5" ht="12.75" customHeight="1">
      <c r="B1262" s="28"/>
      <c r="C1262" s="90"/>
      <c r="D1262" s="90"/>
      <c r="E1262" s="90"/>
    </row>
    <row r="1263" spans="2:5" ht="12.75" customHeight="1">
      <c r="B1263" s="28"/>
      <c r="C1263" s="90"/>
      <c r="D1263" s="90"/>
      <c r="E1263" s="90"/>
    </row>
    <row r="1264" spans="2:5" ht="12.75" customHeight="1">
      <c r="B1264" s="28"/>
      <c r="C1264" s="90"/>
      <c r="D1264" s="90"/>
      <c r="E1264" s="90"/>
    </row>
    <row r="1265" spans="2:5" ht="12.75" customHeight="1">
      <c r="B1265" s="28"/>
      <c r="C1265" s="90"/>
      <c r="D1265" s="90"/>
      <c r="E1265" s="90"/>
    </row>
    <row r="1266" spans="2:5" ht="12.75" customHeight="1">
      <c r="B1266" s="28"/>
      <c r="C1266" s="90"/>
      <c r="D1266" s="90"/>
      <c r="E1266" s="90"/>
    </row>
    <row r="1267" spans="2:5" ht="12.75" customHeight="1">
      <c r="B1267" s="28"/>
      <c r="C1267" s="90"/>
      <c r="D1267" s="90"/>
      <c r="E1267" s="90"/>
    </row>
    <row r="1268" spans="2:5" ht="12.75" customHeight="1">
      <c r="B1268" s="28"/>
      <c r="C1268" s="90"/>
      <c r="D1268" s="90"/>
      <c r="E1268" s="90"/>
    </row>
    <row r="1269" spans="2:5" ht="12.75" customHeight="1">
      <c r="B1269" s="28"/>
      <c r="C1269" s="90"/>
      <c r="D1269" s="90"/>
      <c r="E1269" s="90"/>
    </row>
    <row r="1270" spans="2:5" ht="12.75" customHeight="1">
      <c r="B1270" s="28"/>
      <c r="C1270" s="90"/>
      <c r="D1270" s="90"/>
      <c r="E1270" s="90"/>
    </row>
    <row r="1271" spans="2:5" ht="12.75" customHeight="1">
      <c r="B1271" s="28"/>
      <c r="C1271" s="90"/>
      <c r="D1271" s="90"/>
      <c r="E1271" s="90"/>
    </row>
    <row r="1272" spans="2:5" ht="12.75" customHeight="1">
      <c r="B1272" s="28"/>
      <c r="C1272" s="90"/>
      <c r="D1272" s="90"/>
      <c r="E1272" s="90"/>
    </row>
    <row r="1273" spans="2:5" ht="12.75" customHeight="1">
      <c r="B1273" s="28"/>
      <c r="C1273" s="90"/>
      <c r="D1273" s="90"/>
      <c r="E1273" s="90"/>
    </row>
    <row r="1274" spans="2:5" ht="12.75" customHeight="1">
      <c r="B1274" s="28"/>
      <c r="C1274" s="90"/>
      <c r="D1274" s="90"/>
      <c r="E1274" s="90"/>
    </row>
    <row r="1275" spans="2:5" ht="12.75" customHeight="1">
      <c r="B1275" s="28"/>
      <c r="C1275" s="90"/>
      <c r="D1275" s="90"/>
      <c r="E1275" s="90"/>
    </row>
    <row r="1276" spans="2:5" ht="12.75" customHeight="1">
      <c r="B1276" s="28"/>
      <c r="C1276" s="90"/>
      <c r="D1276" s="90"/>
      <c r="E1276" s="90"/>
    </row>
    <row r="1277" spans="2:5" ht="12.75" customHeight="1">
      <c r="B1277" s="28"/>
      <c r="C1277" s="90"/>
      <c r="D1277" s="90"/>
      <c r="E1277" s="90"/>
    </row>
    <row r="1278" spans="2:5" ht="12.75" customHeight="1">
      <c r="B1278" s="28"/>
      <c r="C1278" s="90"/>
      <c r="D1278" s="90"/>
      <c r="E1278" s="90"/>
    </row>
    <row r="1279" spans="2:5" ht="12.75" customHeight="1">
      <c r="B1279" s="28"/>
      <c r="C1279" s="90"/>
      <c r="D1279" s="90"/>
      <c r="E1279" s="90"/>
    </row>
    <row r="1280" spans="2:5" ht="12.75" customHeight="1">
      <c r="B1280" s="28"/>
      <c r="C1280" s="90"/>
      <c r="D1280" s="90"/>
      <c r="E1280" s="90"/>
    </row>
    <row r="1281" spans="2:5" ht="12.75" customHeight="1">
      <c r="B1281" s="28"/>
      <c r="C1281" s="90"/>
      <c r="D1281" s="90"/>
      <c r="E1281" s="90"/>
    </row>
    <row r="1282" spans="2:5" ht="12.75" customHeight="1">
      <c r="B1282" s="28"/>
      <c r="C1282" s="90"/>
      <c r="D1282" s="90"/>
      <c r="E1282" s="90"/>
    </row>
    <row r="1283" spans="2:5" ht="12.75" customHeight="1">
      <c r="B1283" s="28"/>
      <c r="C1283" s="90"/>
      <c r="D1283" s="90"/>
      <c r="E1283" s="90"/>
    </row>
    <row r="1284" spans="2:5" ht="12.75" customHeight="1">
      <c r="B1284" s="28"/>
      <c r="C1284" s="90"/>
      <c r="D1284" s="90"/>
      <c r="E1284" s="90"/>
    </row>
    <row r="1285" spans="2:5" ht="12.75" customHeight="1">
      <c r="B1285" s="28"/>
      <c r="C1285" s="90"/>
      <c r="D1285" s="90"/>
      <c r="E1285" s="90"/>
    </row>
    <row r="1286" spans="2:5" ht="12.75" customHeight="1">
      <c r="B1286" s="28"/>
      <c r="C1286" s="90"/>
      <c r="D1286" s="90"/>
      <c r="E1286" s="90"/>
    </row>
    <row r="1287" spans="2:5" ht="12.75" customHeight="1">
      <c r="B1287" s="28"/>
      <c r="C1287" s="90"/>
      <c r="D1287" s="90"/>
      <c r="E1287" s="90"/>
    </row>
    <row r="1288" spans="2:5" ht="12.75" customHeight="1">
      <c r="B1288" s="28"/>
      <c r="C1288" s="90"/>
      <c r="D1288" s="90"/>
      <c r="E1288" s="90"/>
    </row>
    <row r="1289" spans="2:5" ht="12.75" customHeight="1">
      <c r="B1289" s="28"/>
      <c r="C1289" s="90"/>
      <c r="D1289" s="90"/>
      <c r="E1289" s="90"/>
    </row>
    <row r="1290" spans="2:5" ht="12.75" customHeight="1">
      <c r="B1290" s="28"/>
      <c r="C1290" s="90"/>
      <c r="D1290" s="90"/>
      <c r="E1290" s="90"/>
    </row>
    <row r="1291" spans="2:5" ht="12.75" customHeight="1">
      <c r="B1291" s="28"/>
      <c r="C1291" s="90"/>
      <c r="D1291" s="90"/>
      <c r="E1291" s="90"/>
    </row>
    <row r="1292" spans="2:5" ht="12.75" customHeight="1">
      <c r="B1292" s="28"/>
      <c r="C1292" s="90"/>
      <c r="D1292" s="90"/>
      <c r="E1292" s="90"/>
    </row>
    <row r="1293" spans="2:5" ht="12.75" customHeight="1">
      <c r="B1293" s="28"/>
      <c r="C1293" s="90"/>
      <c r="D1293" s="90"/>
      <c r="E1293" s="90"/>
    </row>
    <row r="1294" spans="2:5" ht="12.75" customHeight="1">
      <c r="B1294" s="28"/>
      <c r="C1294" s="90"/>
      <c r="D1294" s="90"/>
      <c r="E1294" s="90"/>
    </row>
    <row r="1295" spans="2:5" ht="12.75" customHeight="1">
      <c r="B1295" s="28"/>
      <c r="C1295" s="90"/>
      <c r="D1295" s="90"/>
      <c r="E1295" s="90"/>
    </row>
    <row r="1296" spans="2:5" ht="12.75" customHeight="1">
      <c r="B1296" s="28"/>
      <c r="C1296" s="90"/>
      <c r="D1296" s="90"/>
      <c r="E1296" s="90"/>
    </row>
    <row r="1297" spans="2:5" ht="12.75" customHeight="1">
      <c r="B1297" s="28"/>
      <c r="C1297" s="90"/>
      <c r="D1297" s="90"/>
      <c r="E1297" s="90"/>
    </row>
    <row r="1298" spans="2:5" ht="12.75" customHeight="1">
      <c r="B1298" s="28"/>
      <c r="C1298" s="90"/>
      <c r="D1298" s="90"/>
      <c r="E1298" s="90"/>
    </row>
    <row r="1299" spans="2:5" ht="12.75" customHeight="1">
      <c r="B1299" s="28"/>
      <c r="C1299" s="90"/>
      <c r="D1299" s="90"/>
      <c r="E1299" s="90"/>
    </row>
    <row r="1300" spans="2:5" ht="12.75" customHeight="1">
      <c r="B1300" s="28"/>
      <c r="C1300" s="90"/>
      <c r="D1300" s="90"/>
      <c r="E1300" s="90"/>
    </row>
    <row r="1301" spans="2:5" ht="12.75" customHeight="1">
      <c r="B1301" s="28"/>
      <c r="C1301" s="90"/>
      <c r="D1301" s="90"/>
      <c r="E1301" s="90"/>
    </row>
    <row r="1302" spans="2:5" ht="12.75" customHeight="1">
      <c r="B1302" s="28"/>
      <c r="C1302" s="90"/>
      <c r="D1302" s="90"/>
      <c r="E1302" s="90"/>
    </row>
    <row r="1303" spans="2:5" ht="12.75" customHeight="1">
      <c r="B1303" s="28"/>
      <c r="C1303" s="90"/>
      <c r="D1303" s="90"/>
      <c r="E1303" s="90"/>
    </row>
    <row r="1304" spans="2:5" ht="12.75" customHeight="1">
      <c r="B1304" s="28"/>
      <c r="C1304" s="90"/>
      <c r="D1304" s="90"/>
      <c r="E1304" s="90"/>
    </row>
    <row r="1305" spans="2:5" ht="12.75" customHeight="1">
      <c r="B1305" s="28"/>
      <c r="C1305" s="90"/>
      <c r="D1305" s="90"/>
      <c r="E1305" s="90"/>
    </row>
    <row r="1306" spans="2:5" ht="12.75" customHeight="1">
      <c r="B1306" s="28"/>
      <c r="C1306" s="90"/>
      <c r="D1306" s="90"/>
      <c r="E1306" s="90"/>
    </row>
    <row r="1307" spans="2:5" ht="12.75" customHeight="1">
      <c r="B1307" s="28"/>
      <c r="C1307" s="90"/>
      <c r="D1307" s="90"/>
      <c r="E1307" s="90"/>
    </row>
    <row r="1308" spans="2:5" ht="12.75" customHeight="1">
      <c r="B1308" s="28"/>
      <c r="C1308" s="90"/>
      <c r="D1308" s="90"/>
      <c r="E1308" s="90"/>
    </row>
    <row r="1309" spans="2:5" ht="12.75" customHeight="1">
      <c r="B1309" s="28"/>
      <c r="C1309" s="90"/>
      <c r="D1309" s="90"/>
      <c r="E1309" s="90"/>
    </row>
    <row r="1310" spans="2:5" ht="12.75" customHeight="1">
      <c r="B1310" s="28"/>
      <c r="C1310" s="90"/>
      <c r="D1310" s="90"/>
      <c r="E1310" s="90"/>
    </row>
    <row r="1311" spans="2:5" ht="12.75" customHeight="1">
      <c r="B1311" s="28"/>
      <c r="C1311" s="90"/>
      <c r="D1311" s="90"/>
      <c r="E1311" s="90"/>
    </row>
    <row r="1312" spans="2:5" ht="12.75" customHeight="1">
      <c r="B1312" s="28"/>
      <c r="C1312" s="90"/>
      <c r="D1312" s="90"/>
      <c r="E1312" s="90"/>
    </row>
    <row r="1313" spans="2:5" ht="12.75" customHeight="1">
      <c r="B1313" s="28"/>
      <c r="C1313" s="90"/>
      <c r="D1313" s="90"/>
      <c r="E1313" s="90"/>
    </row>
    <row r="1314" spans="2:5" ht="12.75" customHeight="1">
      <c r="B1314" s="28"/>
      <c r="C1314" s="90"/>
      <c r="D1314" s="90"/>
      <c r="E1314" s="90"/>
    </row>
    <row r="1315" spans="2:5" ht="12.75" customHeight="1">
      <c r="B1315" s="28"/>
      <c r="C1315" s="90"/>
      <c r="D1315" s="90"/>
      <c r="E1315" s="90"/>
    </row>
    <row r="1316" spans="2:5" ht="12.75" customHeight="1">
      <c r="B1316" s="28"/>
      <c r="C1316" s="90"/>
      <c r="D1316" s="90"/>
      <c r="E1316" s="90"/>
    </row>
    <row r="1317" spans="2:5" ht="12.75" customHeight="1">
      <c r="B1317" s="28"/>
      <c r="C1317" s="90"/>
      <c r="D1317" s="90"/>
      <c r="E1317" s="90"/>
    </row>
    <row r="1318" spans="2:5" ht="12.75" customHeight="1">
      <c r="B1318" s="28"/>
      <c r="C1318" s="90"/>
      <c r="D1318" s="90"/>
      <c r="E1318" s="90"/>
    </row>
    <row r="1319" spans="2:5" ht="12.75" customHeight="1">
      <c r="B1319" s="28"/>
      <c r="C1319" s="90"/>
      <c r="D1319" s="90"/>
      <c r="E1319" s="90"/>
    </row>
    <row r="1320" spans="2:5" ht="12.75" customHeight="1">
      <c r="B1320" s="28"/>
      <c r="C1320" s="90"/>
      <c r="D1320" s="90"/>
      <c r="E1320" s="90"/>
    </row>
    <row r="1321" spans="2:5" ht="12.75" customHeight="1">
      <c r="B1321" s="28"/>
      <c r="C1321" s="90"/>
      <c r="D1321" s="90"/>
      <c r="E1321" s="90"/>
    </row>
    <row r="1322" spans="2:5" ht="12.75" customHeight="1">
      <c r="B1322" s="28"/>
      <c r="C1322" s="90"/>
      <c r="D1322" s="90"/>
      <c r="E1322" s="90"/>
    </row>
    <row r="1323" spans="2:5" ht="12.75" customHeight="1">
      <c r="B1323" s="28"/>
      <c r="C1323" s="90"/>
      <c r="D1323" s="90"/>
      <c r="E1323" s="90"/>
    </row>
    <row r="1324" spans="2:5" ht="12.75" customHeight="1">
      <c r="B1324" s="28"/>
      <c r="C1324" s="90"/>
      <c r="D1324" s="90"/>
      <c r="E1324" s="90"/>
    </row>
    <row r="1325" spans="2:5" ht="12.75" customHeight="1">
      <c r="B1325" s="28"/>
      <c r="C1325" s="90"/>
      <c r="D1325" s="90"/>
      <c r="E1325" s="90"/>
    </row>
    <row r="1326" spans="2:5" ht="12.75" customHeight="1">
      <c r="B1326" s="28"/>
      <c r="C1326" s="90"/>
      <c r="D1326" s="90"/>
      <c r="E1326" s="90"/>
    </row>
    <row r="1327" spans="2:5" ht="12.75" customHeight="1">
      <c r="B1327" s="28"/>
      <c r="C1327" s="90"/>
      <c r="D1327" s="90"/>
      <c r="E1327" s="90"/>
    </row>
    <row r="1328" spans="2:5" ht="12.75" customHeight="1">
      <c r="B1328" s="28"/>
      <c r="C1328" s="90"/>
      <c r="D1328" s="90"/>
      <c r="E1328" s="90"/>
    </row>
    <row r="1329" spans="2:5" ht="12.75" customHeight="1">
      <c r="B1329" s="28"/>
      <c r="C1329" s="90"/>
      <c r="D1329" s="90"/>
      <c r="E1329" s="90"/>
    </row>
    <row r="1330" spans="2:5" ht="12.75" customHeight="1">
      <c r="B1330" s="28"/>
      <c r="C1330" s="90"/>
      <c r="D1330" s="90"/>
      <c r="E1330" s="90"/>
    </row>
    <row r="1331" spans="2:5" ht="12.75" customHeight="1">
      <c r="B1331" s="28"/>
      <c r="C1331" s="90"/>
      <c r="D1331" s="90"/>
      <c r="E1331" s="90"/>
    </row>
    <row r="1332" spans="2:5" ht="12.75" customHeight="1">
      <c r="B1332" s="28"/>
      <c r="C1332" s="90"/>
      <c r="D1332" s="90"/>
      <c r="E1332" s="90"/>
    </row>
    <row r="1333" spans="2:5" ht="12.75" customHeight="1">
      <c r="B1333" s="28"/>
      <c r="C1333" s="90"/>
      <c r="D1333" s="90"/>
      <c r="E1333" s="90"/>
    </row>
    <row r="1334" spans="2:5" ht="12.75" customHeight="1">
      <c r="B1334" s="28"/>
      <c r="C1334" s="90"/>
      <c r="D1334" s="90"/>
      <c r="E1334" s="90"/>
    </row>
    <row r="1335" spans="2:5" ht="12.75" customHeight="1">
      <c r="B1335" s="28"/>
      <c r="C1335" s="90"/>
      <c r="D1335" s="90"/>
      <c r="E1335" s="90"/>
    </row>
    <row r="1336" spans="2:5" ht="12.75" customHeight="1">
      <c r="B1336" s="28"/>
      <c r="C1336" s="90"/>
      <c r="D1336" s="90"/>
      <c r="E1336" s="90"/>
    </row>
    <row r="1337" spans="2:5" ht="12.75" customHeight="1">
      <c r="B1337" s="28"/>
      <c r="C1337" s="90"/>
      <c r="D1337" s="90"/>
      <c r="E1337" s="90"/>
    </row>
    <row r="1338" spans="2:5" ht="12.75" customHeight="1">
      <c r="B1338" s="28"/>
      <c r="C1338" s="90"/>
      <c r="D1338" s="90"/>
      <c r="E1338" s="90"/>
    </row>
    <row r="1339" spans="2:5" ht="12.75" customHeight="1">
      <c r="B1339" s="28"/>
      <c r="C1339" s="90"/>
      <c r="D1339" s="90"/>
      <c r="E1339" s="90"/>
    </row>
    <row r="1340" spans="2:5" ht="12.75" customHeight="1">
      <c r="B1340" s="28"/>
      <c r="C1340" s="90"/>
      <c r="D1340" s="90"/>
      <c r="E1340" s="90"/>
    </row>
    <row r="1341" spans="2:5" ht="12.75" customHeight="1">
      <c r="B1341" s="28"/>
      <c r="C1341" s="90"/>
      <c r="D1341" s="90"/>
      <c r="E1341" s="90"/>
    </row>
    <row r="1342" spans="2:5" ht="12.75" customHeight="1">
      <c r="B1342" s="28"/>
      <c r="C1342" s="90"/>
      <c r="D1342" s="90"/>
      <c r="E1342" s="90"/>
    </row>
    <row r="1343" spans="2:5" ht="12.75" customHeight="1">
      <c r="B1343" s="28"/>
      <c r="C1343" s="90"/>
      <c r="D1343" s="90"/>
      <c r="E1343" s="90"/>
    </row>
    <row r="1344" spans="2:5" ht="12.75" customHeight="1">
      <c r="B1344" s="28"/>
      <c r="C1344" s="90"/>
      <c r="D1344" s="90"/>
      <c r="E1344" s="90"/>
    </row>
    <row r="1345" spans="2:5" ht="12.75" customHeight="1">
      <c r="B1345" s="28"/>
      <c r="C1345" s="90"/>
      <c r="D1345" s="90"/>
      <c r="E1345" s="90"/>
    </row>
    <row r="1346" spans="2:5" ht="12.75" customHeight="1">
      <c r="B1346" s="28"/>
      <c r="C1346" s="90"/>
      <c r="D1346" s="90"/>
      <c r="E1346" s="90"/>
    </row>
    <row r="1347" spans="2:5" ht="12.75" customHeight="1">
      <c r="B1347" s="28"/>
      <c r="C1347" s="90"/>
      <c r="D1347" s="90"/>
      <c r="E1347" s="90"/>
    </row>
    <row r="1348" spans="2:5" ht="12.75" customHeight="1">
      <c r="B1348" s="28"/>
      <c r="C1348" s="90"/>
      <c r="D1348" s="90"/>
      <c r="E1348" s="90"/>
    </row>
    <row r="1349" spans="2:5" ht="12.75" customHeight="1">
      <c r="B1349" s="28"/>
      <c r="C1349" s="90"/>
      <c r="D1349" s="90"/>
      <c r="E1349" s="90"/>
    </row>
    <row r="1350" spans="2:5" ht="12.75" customHeight="1">
      <c r="B1350" s="28"/>
      <c r="C1350" s="90"/>
      <c r="D1350" s="90"/>
      <c r="E1350" s="90"/>
    </row>
    <row r="1351" spans="2:5" ht="12.75" customHeight="1">
      <c r="B1351" s="28"/>
      <c r="C1351" s="90"/>
      <c r="D1351" s="90"/>
      <c r="E1351" s="90"/>
    </row>
    <row r="1352" spans="2:5" ht="12.75" customHeight="1">
      <c r="B1352" s="28"/>
      <c r="C1352" s="90"/>
      <c r="D1352" s="90"/>
      <c r="E1352" s="90"/>
    </row>
    <row r="1353" spans="2:5" ht="12.75" customHeight="1">
      <c r="B1353" s="28"/>
      <c r="C1353" s="90"/>
      <c r="D1353" s="90"/>
      <c r="E1353" s="90"/>
    </row>
    <row r="1354" spans="2:5" ht="12.75" customHeight="1">
      <c r="B1354" s="28"/>
      <c r="C1354" s="90"/>
      <c r="D1354" s="90"/>
      <c r="E1354" s="90"/>
    </row>
    <row r="1355" spans="2:5" ht="12.75" customHeight="1">
      <c r="B1355" s="28"/>
      <c r="C1355" s="90"/>
      <c r="D1355" s="90"/>
      <c r="E1355" s="90"/>
    </row>
    <row r="1356" spans="2:5" ht="12.75" customHeight="1">
      <c r="B1356" s="28"/>
      <c r="C1356" s="90"/>
      <c r="D1356" s="90"/>
      <c r="E1356" s="90"/>
    </row>
    <row r="1357" spans="2:5" ht="12.75" customHeight="1">
      <c r="B1357" s="28"/>
      <c r="C1357" s="90"/>
      <c r="D1357" s="90"/>
      <c r="E1357" s="90"/>
    </row>
    <row r="1358" spans="2:5" ht="12.75" customHeight="1">
      <c r="B1358" s="28"/>
      <c r="C1358" s="90"/>
      <c r="D1358" s="90"/>
      <c r="E1358" s="90"/>
    </row>
    <row r="1359" spans="2:5" ht="12.75" customHeight="1">
      <c r="B1359" s="28"/>
      <c r="C1359" s="90"/>
      <c r="D1359" s="90"/>
      <c r="E1359" s="90"/>
    </row>
    <row r="1360" spans="2:5" ht="12.75" customHeight="1">
      <c r="B1360" s="28"/>
      <c r="C1360" s="90"/>
      <c r="D1360" s="90"/>
      <c r="E1360" s="90"/>
    </row>
    <row r="1361" spans="2:5" ht="12.75" customHeight="1">
      <c r="B1361" s="28"/>
      <c r="C1361" s="90"/>
      <c r="D1361" s="90"/>
      <c r="E1361" s="90"/>
    </row>
    <row r="1362" spans="2:5" ht="12.75" customHeight="1">
      <c r="B1362" s="28"/>
      <c r="C1362" s="90"/>
      <c r="D1362" s="90"/>
      <c r="E1362" s="90"/>
    </row>
    <row r="1363" spans="2:5" ht="12.75" customHeight="1">
      <c r="B1363" s="28"/>
      <c r="C1363" s="90"/>
      <c r="D1363" s="90"/>
      <c r="E1363" s="90"/>
    </row>
    <row r="1364" spans="2:5" ht="12.75" customHeight="1">
      <c r="B1364" s="28"/>
      <c r="C1364" s="90"/>
      <c r="D1364" s="90"/>
      <c r="E1364" s="90"/>
    </row>
    <row r="1365" spans="2:5" ht="12.75" customHeight="1">
      <c r="B1365" s="28"/>
      <c r="C1365" s="90"/>
      <c r="D1365" s="90"/>
      <c r="E1365" s="90"/>
    </row>
    <row r="1366" spans="2:5" ht="12.75" customHeight="1">
      <c r="B1366" s="28"/>
      <c r="C1366" s="90"/>
      <c r="D1366" s="90"/>
      <c r="E1366" s="90"/>
    </row>
    <row r="1367" spans="2:5" ht="12.75" customHeight="1">
      <c r="B1367" s="28"/>
      <c r="C1367" s="90"/>
      <c r="D1367" s="90"/>
      <c r="E1367" s="90"/>
    </row>
    <row r="1368" spans="2:5" ht="12.75" customHeight="1">
      <c r="B1368" s="28"/>
      <c r="C1368" s="90"/>
      <c r="D1368" s="90"/>
      <c r="E1368" s="90"/>
    </row>
    <row r="1369" spans="2:5" ht="12.75" customHeight="1">
      <c r="B1369" s="28"/>
      <c r="C1369" s="90"/>
      <c r="D1369" s="90"/>
      <c r="E1369" s="90"/>
    </row>
    <row r="1370" spans="2:5" ht="12.75" customHeight="1">
      <c r="B1370" s="28"/>
      <c r="C1370" s="90"/>
      <c r="D1370" s="90"/>
      <c r="E1370" s="90"/>
    </row>
    <row r="1371" spans="2:5" ht="12.75" customHeight="1">
      <c r="B1371" s="28"/>
      <c r="C1371" s="90"/>
      <c r="D1371" s="90"/>
      <c r="E1371" s="90"/>
    </row>
    <row r="1372" spans="2:5" ht="12.75" customHeight="1">
      <c r="B1372" s="28"/>
      <c r="C1372" s="90"/>
      <c r="D1372" s="90"/>
      <c r="E1372" s="90"/>
    </row>
    <row r="1373" spans="2:5" ht="12.75" customHeight="1">
      <c r="B1373" s="28"/>
      <c r="C1373" s="90"/>
      <c r="D1373" s="90"/>
      <c r="E1373" s="90"/>
    </row>
    <row r="1374" spans="2:5" ht="12.75" customHeight="1">
      <c r="B1374" s="28"/>
      <c r="C1374" s="90"/>
      <c r="D1374" s="90"/>
      <c r="E1374" s="90"/>
    </row>
    <row r="1375" spans="2:5" ht="12.75" customHeight="1">
      <c r="B1375" s="28"/>
      <c r="C1375" s="90"/>
      <c r="D1375" s="90"/>
      <c r="E1375" s="90"/>
    </row>
    <row r="1376" spans="2:5" ht="12.75" customHeight="1">
      <c r="B1376" s="28"/>
      <c r="C1376" s="90"/>
      <c r="D1376" s="90"/>
      <c r="E1376" s="90"/>
    </row>
    <row r="1377" spans="2:5" ht="12.75" customHeight="1">
      <c r="B1377" s="28"/>
      <c r="C1377" s="90"/>
      <c r="D1377" s="90"/>
      <c r="E1377" s="90"/>
    </row>
    <row r="1378" spans="2:5" ht="12.75" customHeight="1">
      <c r="B1378" s="28"/>
      <c r="C1378" s="90"/>
      <c r="D1378" s="90"/>
      <c r="E1378" s="90"/>
    </row>
    <row r="1379" spans="2:5" ht="12.75" customHeight="1">
      <c r="B1379" s="28"/>
      <c r="C1379" s="90"/>
      <c r="D1379" s="90"/>
      <c r="E1379" s="90"/>
    </row>
    <row r="1380" spans="2:5" ht="12.75" customHeight="1">
      <c r="B1380" s="28"/>
      <c r="C1380" s="90"/>
      <c r="D1380" s="90"/>
      <c r="E1380" s="90"/>
    </row>
    <row r="1381" spans="2:5" ht="12.75" customHeight="1">
      <c r="B1381" s="28"/>
      <c r="C1381" s="90"/>
      <c r="D1381" s="90"/>
      <c r="E1381" s="90"/>
    </row>
    <row r="1382" spans="2:5" ht="12.75" customHeight="1">
      <c r="B1382" s="28"/>
      <c r="C1382" s="90"/>
      <c r="D1382" s="90"/>
      <c r="E1382" s="90"/>
    </row>
    <row r="1383" spans="2:5" ht="12.75" customHeight="1">
      <c r="B1383" s="28"/>
      <c r="C1383" s="90"/>
      <c r="D1383" s="90"/>
      <c r="E1383" s="90"/>
    </row>
    <row r="1384" spans="2:5" ht="12.75" customHeight="1">
      <c r="B1384" s="28"/>
      <c r="C1384" s="90"/>
      <c r="D1384" s="90"/>
      <c r="E1384" s="90"/>
    </row>
    <row r="1385" spans="2:5" ht="12.75" customHeight="1">
      <c r="B1385" s="28"/>
      <c r="C1385" s="90"/>
      <c r="D1385" s="90"/>
      <c r="E1385" s="90"/>
    </row>
    <row r="1386" spans="2:5" ht="12.75" customHeight="1">
      <c r="B1386" s="28"/>
      <c r="C1386" s="90"/>
      <c r="D1386" s="90"/>
      <c r="E1386" s="90"/>
    </row>
    <row r="1387" spans="2:5" ht="12.75" customHeight="1">
      <c r="B1387" s="28"/>
      <c r="C1387" s="90"/>
      <c r="D1387" s="90"/>
      <c r="E1387" s="90"/>
    </row>
    <row r="1388" spans="2:5" ht="12.75" customHeight="1">
      <c r="B1388" s="28"/>
      <c r="C1388" s="90"/>
      <c r="D1388" s="90"/>
      <c r="E1388" s="90"/>
    </row>
    <row r="1389" spans="2:5" ht="12.75" customHeight="1">
      <c r="B1389" s="28"/>
      <c r="C1389" s="90"/>
      <c r="D1389" s="90"/>
      <c r="E1389" s="90"/>
    </row>
    <row r="1390" spans="2:5" ht="12.75" customHeight="1">
      <c r="B1390" s="28"/>
      <c r="C1390" s="90"/>
      <c r="D1390" s="90"/>
      <c r="E1390" s="90"/>
    </row>
    <row r="1391" spans="2:5" ht="12.75" customHeight="1">
      <c r="B1391" s="28"/>
      <c r="C1391" s="90"/>
      <c r="D1391" s="90"/>
      <c r="E1391" s="90"/>
    </row>
    <row r="1392" spans="2:5" ht="12.75" customHeight="1">
      <c r="B1392" s="28"/>
      <c r="C1392" s="90"/>
      <c r="D1392" s="90"/>
      <c r="E1392" s="90"/>
    </row>
    <row r="1393" spans="2:5" ht="12.75" customHeight="1">
      <c r="B1393" s="28"/>
      <c r="C1393" s="90"/>
      <c r="D1393" s="90"/>
      <c r="E1393" s="90"/>
    </row>
    <row r="1394" spans="2:5" ht="12.75" customHeight="1">
      <c r="B1394" s="28"/>
      <c r="C1394" s="90"/>
      <c r="D1394" s="90"/>
      <c r="E1394" s="90"/>
    </row>
    <row r="1395" spans="2:5" ht="12.75" customHeight="1">
      <c r="B1395" s="28"/>
      <c r="C1395" s="90"/>
      <c r="D1395" s="90"/>
      <c r="E1395" s="90"/>
    </row>
    <row r="1396" spans="2:5" ht="12.75" customHeight="1">
      <c r="B1396" s="28"/>
      <c r="C1396" s="90"/>
      <c r="D1396" s="90"/>
      <c r="E1396" s="90"/>
    </row>
    <row r="1397" spans="2:5" ht="12.75" customHeight="1">
      <c r="B1397" s="28"/>
      <c r="C1397" s="90"/>
      <c r="D1397" s="90"/>
      <c r="E1397" s="90"/>
    </row>
    <row r="1398" spans="2:5" ht="12.75" customHeight="1">
      <c r="B1398" s="28"/>
      <c r="C1398" s="90"/>
      <c r="D1398" s="90"/>
      <c r="E1398" s="90"/>
    </row>
    <row r="1399" spans="2:5" ht="12.75" customHeight="1">
      <c r="B1399" s="28"/>
      <c r="C1399" s="90"/>
      <c r="D1399" s="90"/>
      <c r="E1399" s="90"/>
    </row>
    <row r="1400" spans="2:5" ht="12.75" customHeight="1">
      <c r="B1400" s="28"/>
      <c r="C1400" s="90"/>
      <c r="D1400" s="90"/>
      <c r="E1400" s="90"/>
    </row>
    <row r="1401" spans="2:5" ht="12.75" customHeight="1">
      <c r="B1401" s="28"/>
      <c r="C1401" s="90"/>
      <c r="D1401" s="90"/>
      <c r="E1401" s="90"/>
    </row>
    <row r="1402" spans="2:5" ht="12.75" customHeight="1">
      <c r="B1402" s="28"/>
      <c r="C1402" s="90"/>
      <c r="D1402" s="90"/>
      <c r="E1402" s="90"/>
    </row>
    <row r="1403" spans="2:5" ht="12.75" customHeight="1">
      <c r="B1403" s="28"/>
      <c r="C1403" s="90"/>
      <c r="D1403" s="90"/>
      <c r="E1403" s="90"/>
    </row>
    <row r="1404" spans="2:5" ht="12.75" customHeight="1">
      <c r="B1404" s="28"/>
      <c r="C1404" s="90"/>
      <c r="D1404" s="90"/>
      <c r="E1404" s="90"/>
    </row>
    <row r="1405" spans="2:5" ht="12.75" customHeight="1">
      <c r="B1405" s="28"/>
      <c r="C1405" s="90"/>
      <c r="D1405" s="90"/>
      <c r="E1405" s="90"/>
    </row>
    <row r="1406" spans="2:5" ht="12.75" customHeight="1">
      <c r="B1406" s="28"/>
      <c r="C1406" s="90"/>
      <c r="D1406" s="90"/>
      <c r="E1406" s="90"/>
    </row>
    <row r="1407" spans="2:5" ht="12.75" customHeight="1">
      <c r="B1407" s="28"/>
      <c r="C1407" s="90"/>
      <c r="D1407" s="90"/>
      <c r="E1407" s="90"/>
    </row>
    <row r="1408" spans="2:5" ht="12.75" customHeight="1">
      <c r="B1408" s="28"/>
      <c r="C1408" s="90"/>
      <c r="D1408" s="90"/>
      <c r="E1408" s="90"/>
    </row>
    <row r="1409" spans="2:5" ht="12.75" customHeight="1">
      <c r="B1409" s="28"/>
      <c r="C1409" s="90"/>
      <c r="D1409" s="90"/>
      <c r="E1409" s="90"/>
    </row>
    <row r="1410" spans="2:5" ht="12.75" customHeight="1">
      <c r="B1410" s="28"/>
      <c r="C1410" s="90"/>
      <c r="D1410" s="90"/>
      <c r="E1410" s="90"/>
    </row>
    <row r="1411" spans="2:5" ht="12.75" customHeight="1">
      <c r="B1411" s="28"/>
      <c r="C1411" s="90"/>
      <c r="D1411" s="90"/>
      <c r="E1411" s="90"/>
    </row>
    <row r="1412" spans="2:5" ht="12.75" customHeight="1">
      <c r="B1412" s="28"/>
      <c r="C1412" s="90"/>
      <c r="D1412" s="90"/>
      <c r="E1412" s="90"/>
    </row>
    <row r="1413" spans="2:5" ht="12.75" customHeight="1">
      <c r="B1413" s="28"/>
      <c r="C1413" s="90"/>
      <c r="D1413" s="90"/>
      <c r="E1413" s="90"/>
    </row>
    <row r="1414" spans="2:5" ht="12.75" customHeight="1">
      <c r="B1414" s="28"/>
      <c r="C1414" s="90"/>
      <c r="D1414" s="90"/>
      <c r="E1414" s="90"/>
    </row>
    <row r="1415" spans="2:5" ht="12.75" customHeight="1">
      <c r="B1415" s="28"/>
      <c r="C1415" s="90"/>
      <c r="D1415" s="90"/>
      <c r="E1415" s="90"/>
    </row>
    <row r="1416" spans="2:5" ht="12.75" customHeight="1">
      <c r="B1416" s="28"/>
      <c r="C1416" s="90"/>
      <c r="D1416" s="90"/>
      <c r="E1416" s="90"/>
    </row>
    <row r="1417" spans="2:5" ht="12.75" customHeight="1">
      <c r="B1417" s="28"/>
      <c r="C1417" s="90"/>
      <c r="D1417" s="90"/>
      <c r="E1417" s="90"/>
    </row>
    <row r="1418" spans="2:5" ht="12.75" customHeight="1">
      <c r="B1418" s="28"/>
      <c r="C1418" s="90"/>
      <c r="D1418" s="90"/>
      <c r="E1418" s="90"/>
    </row>
    <row r="1419" spans="2:5" ht="12.75" customHeight="1">
      <c r="B1419" s="28"/>
      <c r="C1419" s="90"/>
      <c r="D1419" s="90"/>
      <c r="E1419" s="90"/>
    </row>
    <row r="1420" spans="2:5" ht="12.75" customHeight="1">
      <c r="B1420" s="28"/>
      <c r="C1420" s="90"/>
      <c r="D1420" s="90"/>
      <c r="E1420" s="90"/>
    </row>
    <row r="1421" spans="2:5" ht="12.75" customHeight="1">
      <c r="B1421" s="28"/>
      <c r="C1421" s="90"/>
      <c r="D1421" s="90"/>
      <c r="E1421" s="90"/>
    </row>
    <row r="1422" spans="2:5" ht="12.75" customHeight="1">
      <c r="B1422" s="28"/>
      <c r="C1422" s="90"/>
      <c r="D1422" s="90"/>
      <c r="E1422" s="90"/>
    </row>
    <row r="1423" spans="2:5" ht="12.75" customHeight="1">
      <c r="B1423" s="28"/>
      <c r="C1423" s="90"/>
      <c r="D1423" s="90"/>
      <c r="E1423" s="90"/>
    </row>
    <row r="1424" spans="2:5" ht="12.75" customHeight="1">
      <c r="B1424" s="28"/>
      <c r="C1424" s="90"/>
      <c r="D1424" s="90"/>
      <c r="E1424" s="90"/>
    </row>
    <row r="1425" spans="2:5" ht="12.75" customHeight="1">
      <c r="B1425" s="28"/>
      <c r="C1425" s="90"/>
      <c r="D1425" s="90"/>
      <c r="E1425" s="90"/>
    </row>
    <row r="1426" spans="2:5" ht="12.75" customHeight="1">
      <c r="B1426" s="28"/>
      <c r="C1426" s="90"/>
      <c r="D1426" s="90"/>
      <c r="E1426" s="90"/>
    </row>
    <row r="1427" spans="2:5" ht="12.75" customHeight="1">
      <c r="B1427" s="28"/>
      <c r="C1427" s="90"/>
      <c r="D1427" s="90"/>
      <c r="E1427" s="90"/>
    </row>
    <row r="1428" spans="2:5" ht="12.75" customHeight="1">
      <c r="B1428" s="28"/>
      <c r="C1428" s="90"/>
      <c r="D1428" s="90"/>
      <c r="E1428" s="90"/>
    </row>
    <row r="1429" spans="2:5" ht="12.75" customHeight="1">
      <c r="B1429" s="28"/>
      <c r="C1429" s="90"/>
      <c r="D1429" s="90"/>
      <c r="E1429" s="90"/>
    </row>
    <row r="1430" spans="2:5" ht="12.75" customHeight="1">
      <c r="B1430" s="28"/>
      <c r="C1430" s="90"/>
      <c r="D1430" s="90"/>
      <c r="E1430" s="90"/>
    </row>
    <row r="1431" spans="2:5" ht="12.75" customHeight="1">
      <c r="B1431" s="28"/>
      <c r="C1431" s="90"/>
      <c r="D1431" s="90"/>
      <c r="E1431" s="90"/>
    </row>
    <row r="1432" spans="2:5" ht="12.75" customHeight="1">
      <c r="B1432" s="28"/>
      <c r="C1432" s="90"/>
      <c r="D1432" s="90"/>
      <c r="E1432" s="90"/>
    </row>
    <row r="1433" spans="2:5" ht="12.75" customHeight="1">
      <c r="B1433" s="28"/>
      <c r="C1433" s="90"/>
      <c r="D1433" s="90"/>
      <c r="E1433" s="90"/>
    </row>
    <row r="1434" spans="2:5" ht="12.75" customHeight="1">
      <c r="B1434" s="28"/>
      <c r="C1434" s="90"/>
      <c r="D1434" s="90"/>
      <c r="E1434" s="90"/>
    </row>
    <row r="1435" spans="2:5" ht="12.75" customHeight="1">
      <c r="B1435" s="28"/>
      <c r="C1435" s="90"/>
      <c r="D1435" s="90"/>
      <c r="E1435" s="90"/>
    </row>
    <row r="1436" spans="2:5" ht="12.75" customHeight="1">
      <c r="B1436" s="28"/>
      <c r="C1436" s="90"/>
      <c r="D1436" s="90"/>
      <c r="E1436" s="90"/>
    </row>
    <row r="1437" spans="2:5" ht="12.75" customHeight="1">
      <c r="B1437" s="28"/>
      <c r="C1437" s="90"/>
      <c r="D1437" s="90"/>
      <c r="E1437" s="90"/>
    </row>
    <row r="1438" spans="2:5" ht="12.75" customHeight="1">
      <c r="B1438" s="28"/>
      <c r="C1438" s="90"/>
      <c r="D1438" s="90"/>
      <c r="E1438" s="90"/>
    </row>
    <row r="1439" spans="2:5" ht="12.75" customHeight="1">
      <c r="B1439" s="28"/>
      <c r="C1439" s="90"/>
      <c r="D1439" s="90"/>
      <c r="E1439" s="90"/>
    </row>
    <row r="1440" spans="2:5" ht="12.75" customHeight="1">
      <c r="B1440" s="28"/>
      <c r="C1440" s="90"/>
      <c r="D1440" s="90"/>
      <c r="E1440" s="90"/>
    </row>
    <row r="1441" spans="2:5" ht="12.75" customHeight="1">
      <c r="B1441" s="28"/>
      <c r="C1441" s="90"/>
      <c r="D1441" s="90"/>
      <c r="E1441" s="90"/>
    </row>
    <row r="1442" spans="2:5" ht="12.75" customHeight="1">
      <c r="B1442" s="28"/>
      <c r="C1442" s="90"/>
      <c r="D1442" s="90"/>
      <c r="E1442" s="90"/>
    </row>
    <row r="1443" spans="2:5" ht="12.75" customHeight="1">
      <c r="B1443" s="28"/>
      <c r="C1443" s="90"/>
      <c r="D1443" s="90"/>
      <c r="E1443" s="90"/>
    </row>
    <row r="1444" spans="2:5" ht="12.75" customHeight="1">
      <c r="B1444" s="28"/>
      <c r="C1444" s="90"/>
      <c r="D1444" s="90"/>
      <c r="E1444" s="90"/>
    </row>
    <row r="1445" spans="2:5" ht="12.75" customHeight="1">
      <c r="B1445" s="28"/>
      <c r="C1445" s="90"/>
      <c r="D1445" s="90"/>
      <c r="E1445" s="90"/>
    </row>
    <row r="1446" spans="2:5" ht="12.75" customHeight="1">
      <c r="B1446" s="28"/>
      <c r="C1446" s="90"/>
      <c r="D1446" s="90"/>
      <c r="E1446" s="90"/>
    </row>
    <row r="1447" spans="2:5" ht="12.75" customHeight="1">
      <c r="B1447" s="28"/>
      <c r="C1447" s="90"/>
      <c r="D1447" s="90"/>
      <c r="E1447" s="90"/>
    </row>
    <row r="1448" spans="2:5" ht="12.75" customHeight="1">
      <c r="B1448" s="28"/>
      <c r="C1448" s="90"/>
      <c r="D1448" s="90"/>
      <c r="E1448" s="90"/>
    </row>
    <row r="1449" spans="2:5" ht="12.75" customHeight="1">
      <c r="B1449" s="28"/>
      <c r="C1449" s="90"/>
      <c r="D1449" s="90"/>
      <c r="E1449" s="90"/>
    </row>
    <row r="1450" spans="2:5" ht="12.75" customHeight="1">
      <c r="B1450" s="28"/>
      <c r="C1450" s="90"/>
      <c r="D1450" s="90"/>
      <c r="E1450" s="90"/>
    </row>
    <row r="1451" spans="2:5" ht="12.75" customHeight="1">
      <c r="B1451" s="28"/>
      <c r="C1451" s="90"/>
      <c r="D1451" s="90"/>
      <c r="E1451" s="90"/>
    </row>
    <row r="1452" spans="2:5" ht="12.75" customHeight="1">
      <c r="B1452" s="28"/>
      <c r="C1452" s="90"/>
      <c r="D1452" s="90"/>
      <c r="E1452" s="90"/>
    </row>
    <row r="1453" spans="2:5" ht="12.75" customHeight="1">
      <c r="B1453" s="28"/>
      <c r="C1453" s="90"/>
      <c r="D1453" s="90"/>
      <c r="E1453" s="90"/>
    </row>
    <row r="1454" spans="2:5" ht="12.75" customHeight="1">
      <c r="B1454" s="28"/>
      <c r="C1454" s="90"/>
      <c r="D1454" s="90"/>
      <c r="E1454" s="90"/>
    </row>
    <row r="1455" spans="2:5" ht="12.75" customHeight="1">
      <c r="B1455" s="28"/>
      <c r="C1455" s="90"/>
      <c r="D1455" s="90"/>
      <c r="E1455" s="90"/>
    </row>
    <row r="1456" spans="2:5" ht="12.75" customHeight="1">
      <c r="B1456" s="28"/>
      <c r="C1456" s="90"/>
      <c r="D1456" s="90"/>
      <c r="E1456" s="90"/>
    </row>
    <row r="1457" spans="2:5" ht="12.75" customHeight="1">
      <c r="B1457" s="28"/>
      <c r="C1457" s="90"/>
      <c r="D1457" s="90"/>
      <c r="E1457" s="90"/>
    </row>
    <row r="1458" spans="2:5" ht="12.75" customHeight="1">
      <c r="B1458" s="28"/>
      <c r="C1458" s="90"/>
      <c r="D1458" s="90"/>
      <c r="E1458" s="90"/>
    </row>
    <row r="1459" spans="2:5" ht="12.75" customHeight="1">
      <c r="B1459" s="28"/>
      <c r="C1459" s="90"/>
      <c r="D1459" s="90"/>
      <c r="E1459" s="90"/>
    </row>
    <row r="1460" spans="2:5" ht="12.75" customHeight="1">
      <c r="B1460" s="28"/>
      <c r="C1460" s="90"/>
      <c r="D1460" s="90"/>
      <c r="E1460" s="90"/>
    </row>
    <row r="1461" spans="2:5" ht="12.75" customHeight="1">
      <c r="B1461" s="28"/>
      <c r="C1461" s="90"/>
      <c r="D1461" s="90"/>
      <c r="E1461" s="90"/>
    </row>
    <row r="1462" spans="2:5" ht="12.75" customHeight="1">
      <c r="B1462" s="28"/>
      <c r="C1462" s="90"/>
      <c r="D1462" s="90"/>
      <c r="E1462" s="90"/>
    </row>
    <row r="1463" spans="2:5" ht="12.75" customHeight="1">
      <c r="B1463" s="28"/>
      <c r="C1463" s="90"/>
      <c r="D1463" s="90"/>
      <c r="E1463" s="90"/>
    </row>
    <row r="1464" spans="2:5" ht="12.75" customHeight="1">
      <c r="B1464" s="28"/>
      <c r="C1464" s="90"/>
      <c r="D1464" s="90"/>
      <c r="E1464" s="90"/>
    </row>
    <row r="1465" spans="2:5" ht="12.75" customHeight="1">
      <c r="B1465" s="28"/>
      <c r="C1465" s="90"/>
      <c r="D1465" s="90"/>
      <c r="E1465" s="90"/>
    </row>
    <row r="1466" spans="2:5" ht="12.75" customHeight="1">
      <c r="B1466" s="28"/>
      <c r="C1466" s="90"/>
      <c r="D1466" s="90"/>
      <c r="E1466" s="90"/>
    </row>
    <row r="1467" spans="2:5" ht="12.75" customHeight="1">
      <c r="B1467" s="28"/>
      <c r="C1467" s="90"/>
      <c r="D1467" s="90"/>
      <c r="E1467" s="90"/>
    </row>
    <row r="1468" spans="2:5" ht="12.75" customHeight="1">
      <c r="B1468" s="28"/>
      <c r="C1468" s="90"/>
      <c r="D1468" s="90"/>
      <c r="E1468" s="90"/>
    </row>
    <row r="1469" spans="2:5" ht="12.75" customHeight="1">
      <c r="B1469" s="28"/>
      <c r="C1469" s="90"/>
      <c r="D1469" s="90"/>
      <c r="E1469" s="90"/>
    </row>
    <row r="1470" spans="2:5" ht="12.75" customHeight="1">
      <c r="B1470" s="28"/>
      <c r="C1470" s="90"/>
      <c r="D1470" s="90"/>
      <c r="E1470" s="90"/>
    </row>
    <row r="1471" spans="2:5" ht="12.75" customHeight="1">
      <c r="B1471" s="28"/>
      <c r="C1471" s="90"/>
      <c r="D1471" s="90"/>
      <c r="E1471" s="90"/>
    </row>
    <row r="1472" spans="2:5" ht="12.75" customHeight="1">
      <c r="B1472" s="28"/>
      <c r="C1472" s="90"/>
      <c r="D1472" s="90"/>
      <c r="E1472" s="90"/>
    </row>
    <row r="1473" spans="2:5" ht="12.75" customHeight="1">
      <c r="B1473" s="28"/>
      <c r="C1473" s="90"/>
      <c r="D1473" s="90"/>
      <c r="E1473" s="90"/>
    </row>
    <row r="1474" spans="2:5" ht="12.75" customHeight="1">
      <c r="B1474" s="28"/>
      <c r="C1474" s="90"/>
      <c r="D1474" s="90"/>
      <c r="E1474" s="90"/>
    </row>
    <row r="1475" spans="2:5" ht="12.75" customHeight="1">
      <c r="B1475" s="28"/>
      <c r="C1475" s="90"/>
      <c r="D1475" s="90"/>
      <c r="E1475" s="90"/>
    </row>
    <row r="1476" spans="2:5" ht="12.75" customHeight="1">
      <c r="B1476" s="28"/>
      <c r="C1476" s="90"/>
      <c r="D1476" s="90"/>
      <c r="E1476" s="90"/>
    </row>
    <row r="1477" spans="2:5" ht="12.75" customHeight="1">
      <c r="B1477" s="28"/>
      <c r="C1477" s="90"/>
      <c r="D1477" s="90"/>
      <c r="E1477" s="90"/>
    </row>
    <row r="1478" spans="2:5" ht="12.75" customHeight="1">
      <c r="B1478" s="28"/>
      <c r="C1478" s="90"/>
      <c r="D1478" s="90"/>
      <c r="E1478" s="90"/>
    </row>
    <row r="1479" spans="2:5" ht="12.75" customHeight="1">
      <c r="B1479" s="28"/>
      <c r="C1479" s="90"/>
      <c r="D1479" s="90"/>
      <c r="E1479" s="90"/>
    </row>
    <row r="1480" spans="2:5" ht="12.75" customHeight="1">
      <c r="B1480" s="28"/>
      <c r="C1480" s="90"/>
      <c r="D1480" s="90"/>
      <c r="E1480" s="90"/>
    </row>
    <row r="1481" spans="2:5" ht="12.75" customHeight="1">
      <c r="B1481" s="28"/>
      <c r="C1481" s="90"/>
      <c r="D1481" s="90"/>
      <c r="E1481" s="90"/>
    </row>
    <row r="1482" spans="2:5" ht="12.75" customHeight="1">
      <c r="B1482" s="28"/>
      <c r="C1482" s="90"/>
      <c r="D1482" s="90"/>
      <c r="E1482" s="90"/>
    </row>
    <row r="1483" spans="2:5" ht="12.75" customHeight="1">
      <c r="B1483" s="28"/>
      <c r="C1483" s="90"/>
      <c r="D1483" s="90"/>
      <c r="E1483" s="90"/>
    </row>
    <row r="1484" spans="2:5" ht="12.75" customHeight="1">
      <c r="B1484" s="28"/>
      <c r="C1484" s="90"/>
      <c r="D1484" s="90"/>
      <c r="E1484" s="90"/>
    </row>
    <row r="1485" spans="2:5" ht="12.75" customHeight="1">
      <c r="B1485" s="28"/>
      <c r="C1485" s="90"/>
      <c r="D1485" s="90"/>
      <c r="E1485" s="90"/>
    </row>
    <row r="1486" spans="2:5" ht="12.75" customHeight="1">
      <c r="B1486" s="28"/>
      <c r="C1486" s="90"/>
      <c r="D1486" s="90"/>
      <c r="E1486" s="90"/>
    </row>
    <row r="1487" spans="2:5" ht="12.75" customHeight="1">
      <c r="B1487" s="28"/>
      <c r="C1487" s="90"/>
      <c r="D1487" s="90"/>
      <c r="E1487" s="90"/>
    </row>
    <row r="1488" spans="2:5" ht="12.75" customHeight="1">
      <c r="B1488" s="28"/>
      <c r="C1488" s="90"/>
      <c r="D1488" s="90"/>
      <c r="E1488" s="90"/>
    </row>
    <row r="1489" spans="2:5" ht="12.75" customHeight="1">
      <c r="B1489" s="28"/>
      <c r="C1489" s="90"/>
      <c r="D1489" s="90"/>
      <c r="E1489" s="90"/>
    </row>
    <row r="1490" spans="2:5" ht="12.75" customHeight="1">
      <c r="B1490" s="28"/>
      <c r="C1490" s="90"/>
      <c r="D1490" s="90"/>
      <c r="E1490" s="90"/>
    </row>
    <row r="1491" spans="2:5" ht="12.75" customHeight="1">
      <c r="B1491" s="28"/>
      <c r="C1491" s="90"/>
      <c r="D1491" s="90"/>
      <c r="E1491" s="90"/>
    </row>
    <row r="1492" spans="2:5" ht="12.75" customHeight="1">
      <c r="B1492" s="28"/>
      <c r="C1492" s="90"/>
      <c r="D1492" s="90"/>
      <c r="E1492" s="90"/>
    </row>
    <row r="1493" spans="2:5" ht="12.75" customHeight="1">
      <c r="B1493" s="28"/>
      <c r="C1493" s="90"/>
      <c r="D1493" s="90"/>
      <c r="E1493" s="90"/>
    </row>
    <row r="1494" spans="2:5" ht="12.75" customHeight="1">
      <c r="B1494" s="28"/>
      <c r="C1494" s="90"/>
      <c r="D1494" s="90"/>
      <c r="E1494" s="90"/>
    </row>
    <row r="1495" spans="2:5" ht="12.75" customHeight="1">
      <c r="B1495" s="28"/>
      <c r="C1495" s="90"/>
      <c r="D1495" s="90"/>
      <c r="E1495" s="90"/>
    </row>
    <row r="1496" spans="2:5" ht="12.75" customHeight="1">
      <c r="B1496" s="28"/>
      <c r="C1496" s="90"/>
      <c r="D1496" s="90"/>
      <c r="E1496" s="90"/>
    </row>
    <row r="1497" spans="2:5" ht="12.75" customHeight="1">
      <c r="B1497" s="28"/>
      <c r="C1497" s="90"/>
      <c r="D1497" s="90"/>
      <c r="E1497" s="90"/>
    </row>
    <row r="1498" spans="2:5" ht="12.75" customHeight="1">
      <c r="B1498" s="28"/>
      <c r="C1498" s="90"/>
      <c r="D1498" s="90"/>
      <c r="E1498" s="90"/>
    </row>
    <row r="1499" spans="2:5" ht="12.75" customHeight="1">
      <c r="B1499" s="28"/>
      <c r="C1499" s="90"/>
      <c r="D1499" s="90"/>
      <c r="E1499" s="90"/>
    </row>
    <row r="1500" spans="2:5" ht="12.75" customHeight="1">
      <c r="B1500" s="28"/>
      <c r="C1500" s="90"/>
      <c r="D1500" s="90"/>
      <c r="E1500" s="90"/>
    </row>
    <row r="1501" spans="2:5" ht="12.75" customHeight="1">
      <c r="B1501" s="28"/>
      <c r="C1501" s="90"/>
      <c r="D1501" s="90"/>
      <c r="E1501" s="90"/>
    </row>
    <row r="1502" spans="2:5" ht="12.75" customHeight="1">
      <c r="B1502" s="28"/>
      <c r="C1502" s="90"/>
      <c r="D1502" s="90"/>
      <c r="E1502" s="90"/>
    </row>
    <row r="1503" spans="2:5" ht="12.75" customHeight="1">
      <c r="B1503" s="28"/>
      <c r="C1503" s="90"/>
      <c r="D1503" s="90"/>
      <c r="E1503" s="90"/>
    </row>
    <row r="1504" spans="2:5" ht="12.75" customHeight="1">
      <c r="B1504" s="28"/>
      <c r="C1504" s="90"/>
      <c r="D1504" s="90"/>
      <c r="E1504" s="90"/>
    </row>
    <row r="1505" spans="2:5" ht="12.75" customHeight="1">
      <c r="B1505" s="28"/>
      <c r="C1505" s="90"/>
      <c r="D1505" s="90"/>
      <c r="E1505" s="90"/>
    </row>
    <row r="1506" spans="2:5" ht="12.75" customHeight="1">
      <c r="B1506" s="28"/>
      <c r="C1506" s="90"/>
      <c r="D1506" s="90"/>
      <c r="E1506" s="90"/>
    </row>
    <row r="1507" spans="2:5" ht="12.75" customHeight="1">
      <c r="B1507" s="28"/>
      <c r="C1507" s="90"/>
      <c r="D1507" s="90"/>
      <c r="E1507" s="90"/>
    </row>
    <row r="1508" spans="2:5" ht="12.75" customHeight="1">
      <c r="B1508" s="28"/>
      <c r="C1508" s="90"/>
      <c r="D1508" s="90"/>
      <c r="E1508" s="90"/>
    </row>
    <row r="1509" spans="2:5" ht="12.75" customHeight="1">
      <c r="B1509" s="28"/>
      <c r="C1509" s="90"/>
      <c r="D1509" s="90"/>
      <c r="E1509" s="90"/>
    </row>
    <row r="1510" spans="2:5" ht="12.75" customHeight="1">
      <c r="B1510" s="28"/>
      <c r="C1510" s="90"/>
      <c r="D1510" s="90"/>
      <c r="E1510" s="90"/>
    </row>
    <row r="1511" spans="2:5" ht="12.75" customHeight="1">
      <c r="B1511" s="28"/>
      <c r="C1511" s="90"/>
      <c r="D1511" s="90"/>
      <c r="E1511" s="90"/>
    </row>
    <row r="1512" spans="2:5" ht="12.75" customHeight="1">
      <c r="B1512" s="28"/>
      <c r="C1512" s="90"/>
      <c r="D1512" s="90"/>
      <c r="E1512" s="90"/>
    </row>
    <row r="1513" spans="2:5" ht="12.75" customHeight="1">
      <c r="B1513" s="28"/>
      <c r="C1513" s="90"/>
      <c r="D1513" s="90"/>
      <c r="E1513" s="90"/>
    </row>
    <row r="1514" spans="2:5" ht="12.75" customHeight="1">
      <c r="B1514" s="28"/>
      <c r="C1514" s="90"/>
      <c r="D1514" s="90"/>
      <c r="E1514" s="90"/>
    </row>
    <row r="1515" spans="2:5" ht="12.75" customHeight="1">
      <c r="B1515" s="28"/>
      <c r="C1515" s="90"/>
      <c r="D1515" s="90"/>
      <c r="E1515" s="90"/>
    </row>
    <row r="1516" spans="2:5" ht="12.75" customHeight="1">
      <c r="B1516" s="28"/>
      <c r="C1516" s="90"/>
      <c r="D1516" s="90"/>
      <c r="E1516" s="90"/>
    </row>
    <row r="1517" spans="2:5" ht="12.75" customHeight="1">
      <c r="B1517" s="28"/>
      <c r="C1517" s="90"/>
      <c r="D1517" s="90"/>
      <c r="E1517" s="90"/>
    </row>
    <row r="1518" spans="2:5" ht="12.75" customHeight="1">
      <c r="B1518" s="28"/>
      <c r="C1518" s="90"/>
      <c r="D1518" s="90"/>
      <c r="E1518" s="90"/>
    </row>
    <row r="1519" spans="2:5" ht="12.75" customHeight="1">
      <c r="B1519" s="28"/>
      <c r="C1519" s="90"/>
      <c r="D1519" s="90"/>
      <c r="E1519" s="90"/>
    </row>
    <row r="1520" spans="2:5" ht="12.75" customHeight="1">
      <c r="B1520" s="28"/>
      <c r="C1520" s="90"/>
      <c r="D1520" s="90"/>
      <c r="E1520" s="90"/>
    </row>
    <row r="1521" spans="2:5" ht="12.75" customHeight="1">
      <c r="B1521" s="28"/>
      <c r="C1521" s="90"/>
      <c r="D1521" s="90"/>
      <c r="E1521" s="90"/>
    </row>
    <row r="1522" spans="2:5" ht="12.75" customHeight="1">
      <c r="B1522" s="28"/>
      <c r="C1522" s="90"/>
      <c r="D1522" s="90"/>
      <c r="E1522" s="90"/>
    </row>
    <row r="1523" spans="2:5" ht="12.75" customHeight="1">
      <c r="B1523" s="28"/>
      <c r="C1523" s="90"/>
      <c r="D1523" s="90"/>
      <c r="E1523" s="90"/>
    </row>
    <row r="1524" spans="2:5" ht="12.75" customHeight="1">
      <c r="B1524" s="28"/>
      <c r="C1524" s="90"/>
      <c r="D1524" s="90"/>
      <c r="E1524" s="90"/>
    </row>
    <row r="1525" spans="2:5" ht="12.75" customHeight="1">
      <c r="B1525" s="28"/>
      <c r="C1525" s="90"/>
      <c r="D1525" s="90"/>
      <c r="E1525" s="90"/>
    </row>
    <row r="1526" spans="2:5" ht="12.75" customHeight="1">
      <c r="B1526" s="28"/>
      <c r="C1526" s="90"/>
      <c r="D1526" s="90"/>
      <c r="E1526" s="90"/>
    </row>
    <row r="1527" spans="2:5" ht="12.75" customHeight="1">
      <c r="B1527" s="28"/>
      <c r="C1527" s="90"/>
      <c r="D1527" s="90"/>
      <c r="E1527" s="90"/>
    </row>
    <row r="1528" spans="2:5" ht="12.75" customHeight="1">
      <c r="B1528" s="28"/>
      <c r="C1528" s="90"/>
      <c r="D1528" s="90"/>
      <c r="E1528" s="90"/>
    </row>
    <row r="1529" spans="2:5" ht="12.75" customHeight="1">
      <c r="B1529" s="28"/>
      <c r="C1529" s="90"/>
      <c r="D1529" s="90"/>
      <c r="E1529" s="90"/>
    </row>
    <row r="1530" spans="2:5" ht="12.75" customHeight="1">
      <c r="B1530" s="28"/>
      <c r="C1530" s="90"/>
      <c r="D1530" s="90"/>
      <c r="E1530" s="90"/>
    </row>
    <row r="1531" spans="2:5" ht="12.75" customHeight="1">
      <c r="B1531" s="28"/>
      <c r="C1531" s="90"/>
      <c r="D1531" s="90"/>
      <c r="E1531" s="90"/>
    </row>
    <row r="1532" spans="2:5" ht="12.75" customHeight="1">
      <c r="B1532" s="28"/>
      <c r="C1532" s="90"/>
      <c r="D1532" s="90"/>
      <c r="E1532" s="90"/>
    </row>
    <row r="1533" spans="2:5" ht="12.75" customHeight="1">
      <c r="B1533" s="28"/>
      <c r="C1533" s="90"/>
      <c r="D1533" s="90"/>
      <c r="E1533" s="90"/>
    </row>
    <row r="1534" spans="2:5" ht="12.75" customHeight="1">
      <c r="B1534" s="28"/>
      <c r="C1534" s="90"/>
      <c r="D1534" s="90"/>
      <c r="E1534" s="90"/>
    </row>
    <row r="1535" spans="2:5" ht="12.75" customHeight="1">
      <c r="B1535" s="28"/>
      <c r="C1535" s="90"/>
      <c r="D1535" s="90"/>
      <c r="E1535" s="90"/>
    </row>
    <row r="1536" spans="2:5" ht="12.75" customHeight="1">
      <c r="B1536" s="28"/>
      <c r="C1536" s="90"/>
      <c r="D1536" s="90"/>
      <c r="E1536" s="90"/>
    </row>
    <row r="1537" spans="2:5" ht="12.75" customHeight="1">
      <c r="B1537" s="28"/>
      <c r="C1537" s="90"/>
      <c r="D1537" s="90"/>
      <c r="E1537" s="90"/>
    </row>
    <row r="1538" spans="2:5" ht="12.75" customHeight="1">
      <c r="B1538" s="28"/>
      <c r="C1538" s="90"/>
      <c r="D1538" s="90"/>
      <c r="E1538" s="90"/>
    </row>
    <row r="1539" spans="2:5" ht="12.75" customHeight="1">
      <c r="B1539" s="28"/>
      <c r="C1539" s="90"/>
      <c r="D1539" s="90"/>
      <c r="E1539" s="90"/>
    </row>
    <row r="1540" spans="2:5" ht="12.75" customHeight="1">
      <c r="B1540" s="28"/>
      <c r="C1540" s="90"/>
      <c r="D1540" s="90"/>
      <c r="E1540" s="90"/>
    </row>
    <row r="1541" spans="2:5" ht="12.75" customHeight="1">
      <c r="B1541" s="28"/>
      <c r="C1541" s="90"/>
      <c r="D1541" s="90"/>
      <c r="E1541" s="90"/>
    </row>
    <row r="1542" spans="2:5" ht="12.75" customHeight="1">
      <c r="B1542" s="28"/>
      <c r="C1542" s="90"/>
      <c r="D1542" s="90"/>
      <c r="E1542" s="90"/>
    </row>
    <row r="1543" spans="2:5" ht="12.75" customHeight="1">
      <c r="B1543" s="28"/>
      <c r="C1543" s="90"/>
      <c r="D1543" s="90"/>
      <c r="E1543" s="90"/>
    </row>
    <row r="1544" spans="2:5" ht="12.75" customHeight="1">
      <c r="B1544" s="28"/>
      <c r="C1544" s="90"/>
      <c r="D1544" s="90"/>
      <c r="E1544" s="90"/>
    </row>
    <row r="1545" spans="2:5" ht="12.75" customHeight="1">
      <c r="B1545" s="28"/>
      <c r="C1545" s="90"/>
      <c r="D1545" s="90"/>
      <c r="E1545" s="90"/>
    </row>
    <row r="1546" spans="2:5" ht="12.75" customHeight="1">
      <c r="B1546" s="28"/>
      <c r="C1546" s="90"/>
      <c r="D1546" s="90"/>
      <c r="E1546" s="90"/>
    </row>
    <row r="1547" spans="2:5" ht="12.75" customHeight="1">
      <c r="B1547" s="28"/>
      <c r="C1547" s="90"/>
      <c r="D1547" s="90"/>
      <c r="E1547" s="90"/>
    </row>
    <row r="1548" spans="2:5" ht="12.75" customHeight="1">
      <c r="B1548" s="28"/>
      <c r="C1548" s="90"/>
      <c r="D1548" s="90"/>
      <c r="E1548" s="90"/>
    </row>
    <row r="1549" spans="2:5" ht="12.75" customHeight="1">
      <c r="B1549" s="28"/>
      <c r="C1549" s="90"/>
      <c r="D1549" s="90"/>
      <c r="E1549" s="90"/>
    </row>
    <row r="1550" spans="2:5" ht="12.75" customHeight="1">
      <c r="B1550" s="28"/>
      <c r="C1550" s="90"/>
      <c r="D1550" s="90"/>
      <c r="E1550" s="90"/>
    </row>
    <row r="1551" spans="2:5" ht="12.75" customHeight="1">
      <c r="B1551" s="28"/>
      <c r="C1551" s="90"/>
      <c r="D1551" s="90"/>
      <c r="E1551" s="90"/>
    </row>
    <row r="1552" spans="2:5" ht="12.75" customHeight="1">
      <c r="B1552" s="28"/>
      <c r="C1552" s="90"/>
      <c r="D1552" s="90"/>
      <c r="E1552" s="90"/>
    </row>
    <row r="1553" spans="2:5" ht="12.75" customHeight="1">
      <c r="B1553" s="28"/>
      <c r="C1553" s="90"/>
      <c r="D1553" s="90"/>
      <c r="E1553" s="90"/>
    </row>
    <row r="1554" spans="2:5" ht="12.75" customHeight="1">
      <c r="B1554" s="28"/>
      <c r="C1554" s="90"/>
      <c r="D1554" s="90"/>
      <c r="E1554" s="90"/>
    </row>
    <row r="1555" spans="2:5" ht="12.75" customHeight="1">
      <c r="B1555" s="28"/>
      <c r="C1555" s="90"/>
      <c r="D1555" s="90"/>
      <c r="E1555" s="90"/>
    </row>
    <row r="1556" spans="2:5" ht="12.75" customHeight="1">
      <c r="B1556" s="28"/>
      <c r="C1556" s="90"/>
      <c r="D1556" s="90"/>
      <c r="E1556" s="90"/>
    </row>
    <row r="1557" spans="2:5" ht="12.75" customHeight="1">
      <c r="B1557" s="28"/>
      <c r="C1557" s="90"/>
      <c r="D1557" s="90"/>
      <c r="E1557" s="90"/>
    </row>
    <row r="1558" spans="2:5" ht="12.75" customHeight="1">
      <c r="B1558" s="28"/>
      <c r="C1558" s="90"/>
      <c r="D1558" s="90"/>
      <c r="E1558" s="90"/>
    </row>
    <row r="1559" spans="2:5" ht="12.75" customHeight="1">
      <c r="B1559" s="28"/>
      <c r="C1559" s="90"/>
      <c r="D1559" s="90"/>
      <c r="E1559" s="90"/>
    </row>
    <row r="1560" spans="2:5" ht="12.75" customHeight="1">
      <c r="B1560" s="28"/>
      <c r="C1560" s="90"/>
      <c r="D1560" s="90"/>
      <c r="E1560" s="90"/>
    </row>
    <row r="1561" spans="2:5" ht="12.75" customHeight="1">
      <c r="B1561" s="28"/>
      <c r="C1561" s="90"/>
      <c r="D1561" s="90"/>
      <c r="E1561" s="90"/>
    </row>
    <row r="1562" spans="2:5" ht="12.75" customHeight="1">
      <c r="B1562" s="28"/>
      <c r="C1562" s="90"/>
      <c r="D1562" s="90"/>
      <c r="E1562" s="90"/>
    </row>
    <row r="1563" spans="2:5" ht="12.75" customHeight="1">
      <c r="B1563" s="28"/>
      <c r="C1563" s="90"/>
      <c r="D1563" s="90"/>
      <c r="E1563" s="90"/>
    </row>
    <row r="1564" spans="2:5" ht="12.75" customHeight="1">
      <c r="B1564" s="28"/>
      <c r="C1564" s="90"/>
      <c r="D1564" s="90"/>
      <c r="E1564" s="90"/>
    </row>
    <row r="1565" spans="2:5" ht="12.75" customHeight="1">
      <c r="B1565" s="28"/>
      <c r="C1565" s="90"/>
      <c r="D1565" s="90"/>
      <c r="E1565" s="90"/>
    </row>
    <row r="1566" spans="2:5" ht="12.75" customHeight="1">
      <c r="B1566" s="28"/>
      <c r="C1566" s="90"/>
      <c r="D1566" s="90"/>
      <c r="E1566" s="90"/>
    </row>
    <row r="1567" spans="2:5" ht="12.75" customHeight="1">
      <c r="B1567" s="28"/>
      <c r="C1567" s="90"/>
      <c r="D1567" s="90"/>
      <c r="E1567" s="90"/>
    </row>
    <row r="1568" spans="2:5" ht="12.75" customHeight="1">
      <c r="B1568" s="28"/>
      <c r="C1568" s="90"/>
      <c r="D1568" s="90"/>
      <c r="E1568" s="90"/>
    </row>
    <row r="1569" spans="2:5" ht="12.75" customHeight="1">
      <c r="B1569" s="28"/>
      <c r="C1569" s="90"/>
      <c r="D1569" s="90"/>
      <c r="E1569" s="90"/>
    </row>
    <row r="1570" spans="2:5" ht="12.75" customHeight="1">
      <c r="B1570" s="28"/>
      <c r="C1570" s="90"/>
      <c r="D1570" s="90"/>
      <c r="E1570" s="90"/>
    </row>
    <row r="1571" spans="2:5" ht="12.75" customHeight="1">
      <c r="B1571" s="28"/>
      <c r="C1571" s="90"/>
      <c r="D1571" s="90"/>
      <c r="E1571" s="90"/>
    </row>
    <row r="1572" spans="2:5" ht="12.75" customHeight="1">
      <c r="B1572" s="28"/>
      <c r="C1572" s="90"/>
      <c r="D1572" s="90"/>
      <c r="E1572" s="90"/>
    </row>
    <row r="1573" spans="2:5" ht="12.75" customHeight="1">
      <c r="B1573" s="28"/>
      <c r="C1573" s="90"/>
      <c r="D1573" s="90"/>
      <c r="E1573" s="90"/>
    </row>
    <row r="1574" spans="2:5" ht="12.75" customHeight="1">
      <c r="B1574" s="28"/>
      <c r="C1574" s="90"/>
      <c r="D1574" s="90"/>
      <c r="E1574" s="90"/>
    </row>
    <row r="1575" spans="2:5" ht="12.75" customHeight="1">
      <c r="B1575" s="28"/>
      <c r="C1575" s="90"/>
      <c r="D1575" s="90"/>
      <c r="E1575" s="90"/>
    </row>
    <row r="1576" spans="2:5" ht="12.75" customHeight="1">
      <c r="B1576" s="28"/>
      <c r="C1576" s="90"/>
      <c r="D1576" s="90"/>
      <c r="E1576" s="90"/>
    </row>
    <row r="1577" spans="2:5" ht="12.75" customHeight="1">
      <c r="B1577" s="28"/>
      <c r="C1577" s="90"/>
      <c r="D1577" s="90"/>
      <c r="E1577" s="90"/>
    </row>
    <row r="1578" spans="2:5" ht="12.75" customHeight="1">
      <c r="B1578" s="28"/>
      <c r="C1578" s="90"/>
      <c r="D1578" s="90"/>
      <c r="E1578" s="90"/>
    </row>
    <row r="1579" spans="2:5" ht="12.75" customHeight="1">
      <c r="B1579" s="28"/>
      <c r="C1579" s="90"/>
      <c r="D1579" s="90"/>
      <c r="E1579" s="90"/>
    </row>
    <row r="1580" spans="2:5" ht="12.75" customHeight="1">
      <c r="B1580" s="28"/>
      <c r="C1580" s="90"/>
      <c r="D1580" s="90"/>
      <c r="E1580" s="90"/>
    </row>
    <row r="1581" spans="2:5" ht="12.75" customHeight="1">
      <c r="B1581" s="28"/>
      <c r="C1581" s="90"/>
      <c r="D1581" s="90"/>
      <c r="E1581" s="90"/>
    </row>
    <row r="1582" spans="2:5" ht="12.75" customHeight="1">
      <c r="B1582" s="28"/>
      <c r="C1582" s="90"/>
      <c r="D1582" s="90"/>
      <c r="E1582" s="90"/>
    </row>
    <row r="1583" spans="2:5" ht="12.75" customHeight="1">
      <c r="B1583" s="28"/>
      <c r="C1583" s="90"/>
      <c r="D1583" s="90"/>
      <c r="E1583" s="90"/>
    </row>
    <row r="1584" spans="2:5" ht="12.75" customHeight="1">
      <c r="B1584" s="28"/>
      <c r="C1584" s="90"/>
      <c r="D1584" s="90"/>
      <c r="E1584" s="90"/>
    </row>
    <row r="1585" spans="2:5" ht="12.75" customHeight="1">
      <c r="B1585" s="28"/>
      <c r="C1585" s="90"/>
      <c r="D1585" s="90"/>
      <c r="E1585" s="90"/>
    </row>
    <row r="1586" spans="2:5" ht="12.75" customHeight="1">
      <c r="B1586" s="28"/>
      <c r="C1586" s="90"/>
      <c r="D1586" s="90"/>
      <c r="E1586" s="90"/>
    </row>
    <row r="1587" spans="2:5" ht="12.75" customHeight="1">
      <c r="B1587" s="28"/>
      <c r="C1587" s="90"/>
      <c r="D1587" s="90"/>
      <c r="E1587" s="90"/>
    </row>
    <row r="1588" spans="2:5" ht="12.75" customHeight="1">
      <c r="B1588" s="28"/>
      <c r="C1588" s="90"/>
      <c r="D1588" s="90"/>
      <c r="E1588" s="90"/>
    </row>
    <row r="1589" spans="2:5" ht="12.75" customHeight="1">
      <c r="B1589" s="28"/>
      <c r="C1589" s="90"/>
      <c r="D1589" s="90"/>
      <c r="E1589" s="90"/>
    </row>
    <row r="1590" spans="2:5" ht="12.75" customHeight="1">
      <c r="B1590" s="28"/>
      <c r="C1590" s="90"/>
      <c r="D1590" s="90"/>
      <c r="E1590" s="90"/>
    </row>
    <row r="1591" spans="2:5" ht="12.75" customHeight="1">
      <c r="B1591" s="28"/>
      <c r="C1591" s="90"/>
      <c r="D1591" s="90"/>
      <c r="E1591" s="90"/>
    </row>
    <row r="1592" spans="2:5" ht="12.75" customHeight="1">
      <c r="B1592" s="28"/>
      <c r="C1592" s="90"/>
      <c r="D1592" s="90"/>
      <c r="E1592" s="90"/>
    </row>
    <row r="1593" spans="2:5" ht="12.75" customHeight="1">
      <c r="B1593" s="28"/>
      <c r="C1593" s="90"/>
      <c r="D1593" s="90"/>
      <c r="E1593" s="90"/>
    </row>
    <row r="1594" spans="2:5" ht="12.75" customHeight="1">
      <c r="B1594" s="28"/>
      <c r="C1594" s="90"/>
      <c r="D1594" s="90"/>
      <c r="E1594" s="90"/>
    </row>
    <row r="1595" spans="2:5" ht="12.75" customHeight="1">
      <c r="B1595" s="28"/>
      <c r="C1595" s="90"/>
      <c r="D1595" s="90"/>
      <c r="E1595" s="90"/>
    </row>
    <row r="1596" spans="2:5" ht="12.75" customHeight="1">
      <c r="B1596" s="28"/>
      <c r="C1596" s="90"/>
      <c r="D1596" s="90"/>
      <c r="E1596" s="90"/>
    </row>
    <row r="1597" spans="2:5" ht="12.75" customHeight="1">
      <c r="B1597" s="28"/>
      <c r="C1597" s="90"/>
      <c r="D1597" s="90"/>
      <c r="E1597" s="90"/>
    </row>
    <row r="1598" spans="2:5" ht="12.75" customHeight="1">
      <c r="B1598" s="28"/>
      <c r="C1598" s="90"/>
      <c r="D1598" s="90"/>
      <c r="E1598" s="90"/>
    </row>
    <row r="1599" spans="2:5" ht="12.75" customHeight="1">
      <c r="B1599" s="28"/>
      <c r="C1599" s="90"/>
      <c r="D1599" s="90"/>
      <c r="E1599" s="90"/>
    </row>
    <row r="1600" spans="2:5" ht="12.75" customHeight="1">
      <c r="B1600" s="28"/>
      <c r="C1600" s="90"/>
      <c r="D1600" s="90"/>
      <c r="E1600" s="90"/>
    </row>
    <row r="1601" spans="2:5" ht="12.75" customHeight="1">
      <c r="B1601" s="28"/>
      <c r="C1601" s="90"/>
      <c r="D1601" s="90"/>
      <c r="E1601" s="90"/>
    </row>
    <row r="1602" spans="2:5" ht="12.75" customHeight="1">
      <c r="B1602" s="28"/>
      <c r="C1602" s="90"/>
      <c r="D1602" s="90"/>
      <c r="E1602" s="90"/>
    </row>
    <row r="1603" spans="2:5" ht="12.75" customHeight="1">
      <c r="B1603" s="28"/>
      <c r="C1603" s="90"/>
      <c r="D1603" s="90"/>
      <c r="E1603" s="90"/>
    </row>
    <row r="1604" spans="2:5" ht="12.75" customHeight="1">
      <c r="B1604" s="28"/>
      <c r="C1604" s="90"/>
      <c r="D1604" s="90"/>
      <c r="E1604" s="90"/>
    </row>
    <row r="1605" spans="2:5" ht="12.75" customHeight="1">
      <c r="B1605" s="28"/>
      <c r="C1605" s="90"/>
      <c r="D1605" s="90"/>
      <c r="E1605" s="90"/>
    </row>
    <row r="1606" spans="2:5" ht="12.75" customHeight="1">
      <c r="B1606" s="28"/>
      <c r="C1606" s="90"/>
      <c r="D1606" s="90"/>
      <c r="E1606" s="90"/>
    </row>
    <row r="1607" spans="2:5" ht="12.75" customHeight="1">
      <c r="B1607" s="28"/>
      <c r="C1607" s="90"/>
      <c r="D1607" s="90"/>
      <c r="E1607" s="90"/>
    </row>
    <row r="1608" spans="2:5" ht="12.75" customHeight="1">
      <c r="B1608" s="28"/>
      <c r="C1608" s="90"/>
      <c r="D1608" s="90"/>
      <c r="E1608" s="90"/>
    </row>
    <row r="1609" spans="2:5" ht="12.75" customHeight="1">
      <c r="B1609" s="28"/>
      <c r="C1609" s="90"/>
      <c r="D1609" s="90"/>
      <c r="E1609" s="90"/>
    </row>
    <row r="1610" spans="2:5" ht="12.75" customHeight="1">
      <c r="B1610" s="28"/>
      <c r="C1610" s="90"/>
      <c r="D1610" s="90"/>
      <c r="E1610" s="90"/>
    </row>
    <row r="1611" spans="2:5" ht="12.75" customHeight="1">
      <c r="B1611" s="28"/>
      <c r="C1611" s="90"/>
      <c r="D1611" s="90"/>
      <c r="E1611" s="90"/>
    </row>
    <row r="1612" spans="2:5" ht="12.75" customHeight="1">
      <c r="B1612" s="28"/>
      <c r="C1612" s="90"/>
      <c r="D1612" s="90"/>
      <c r="E1612" s="90"/>
    </row>
    <row r="1613" spans="2:5" ht="12.75" customHeight="1">
      <c r="B1613" s="28"/>
      <c r="C1613" s="90"/>
      <c r="D1613" s="90"/>
      <c r="E1613" s="90"/>
    </row>
    <row r="1614" spans="2:5" ht="12.75" customHeight="1">
      <c r="B1614" s="28"/>
      <c r="C1614" s="90"/>
      <c r="D1614" s="90"/>
      <c r="E1614" s="90"/>
    </row>
    <row r="1615" spans="2:5" ht="12.75" customHeight="1">
      <c r="B1615" s="28"/>
      <c r="C1615" s="90"/>
      <c r="D1615" s="90"/>
      <c r="E1615" s="90"/>
    </row>
    <row r="1616" spans="2:5" ht="12.75" customHeight="1">
      <c r="B1616" s="28"/>
      <c r="C1616" s="90"/>
      <c r="D1616" s="90"/>
      <c r="E1616" s="90"/>
    </row>
    <row r="1617" spans="2:5" ht="12.75" customHeight="1">
      <c r="B1617" s="28"/>
      <c r="C1617" s="90"/>
      <c r="D1617" s="90"/>
      <c r="E1617" s="90"/>
    </row>
    <row r="1618" spans="2:5" ht="12.75" customHeight="1">
      <c r="B1618" s="28"/>
      <c r="C1618" s="90"/>
      <c r="D1618" s="90"/>
      <c r="E1618" s="90"/>
    </row>
    <row r="1619" spans="2:5" ht="12.75" customHeight="1">
      <c r="B1619" s="28"/>
      <c r="C1619" s="90"/>
      <c r="D1619" s="90"/>
      <c r="E1619" s="90"/>
    </row>
    <row r="1620" spans="2:5" ht="12.75" customHeight="1">
      <c r="B1620" s="28"/>
      <c r="C1620" s="90"/>
      <c r="D1620" s="90"/>
      <c r="E1620" s="90"/>
    </row>
    <row r="1621" spans="2:5" ht="12.75" customHeight="1">
      <c r="B1621" s="28"/>
      <c r="C1621" s="90"/>
      <c r="D1621" s="90"/>
      <c r="E1621" s="90"/>
    </row>
    <row r="1622" spans="2:5" ht="12.75" customHeight="1">
      <c r="B1622" s="28"/>
      <c r="C1622" s="90"/>
      <c r="D1622" s="90"/>
      <c r="E1622" s="90"/>
    </row>
    <row r="1623" spans="2:5" ht="12.75" customHeight="1">
      <c r="B1623" s="28"/>
      <c r="C1623" s="90"/>
      <c r="D1623" s="90"/>
      <c r="E1623" s="90"/>
    </row>
    <row r="1624" spans="2:5" ht="12.75" customHeight="1">
      <c r="B1624" s="28"/>
      <c r="C1624" s="90"/>
      <c r="D1624" s="90"/>
      <c r="E1624" s="90"/>
    </row>
    <row r="1625" spans="2:5" ht="12.75" customHeight="1">
      <c r="B1625" s="28"/>
      <c r="C1625" s="90"/>
      <c r="D1625" s="90"/>
      <c r="E1625" s="90"/>
    </row>
    <row r="1626" spans="2:5" ht="12.75" customHeight="1">
      <c r="B1626" s="28"/>
      <c r="C1626" s="90"/>
      <c r="D1626" s="90"/>
      <c r="E1626" s="90"/>
    </row>
    <row r="1627" spans="2:5" ht="12.75" customHeight="1">
      <c r="B1627" s="28"/>
      <c r="C1627" s="90"/>
      <c r="D1627" s="90"/>
      <c r="E1627" s="90"/>
    </row>
    <row r="1628" spans="2:5" ht="12.75" customHeight="1">
      <c r="B1628" s="28"/>
      <c r="C1628" s="90"/>
      <c r="D1628" s="90"/>
      <c r="E1628" s="90"/>
    </row>
    <row r="1629" spans="2:5" ht="12.75" customHeight="1">
      <c r="B1629" s="28"/>
      <c r="C1629" s="90"/>
      <c r="D1629" s="90"/>
      <c r="E1629" s="90"/>
    </row>
    <row r="1630" spans="2:5" ht="12.75" customHeight="1">
      <c r="B1630" s="28"/>
      <c r="C1630" s="90"/>
      <c r="D1630" s="90"/>
      <c r="E1630" s="90"/>
    </row>
    <row r="1631" spans="2:5" ht="12.75" customHeight="1">
      <c r="B1631" s="28"/>
      <c r="C1631" s="90"/>
      <c r="D1631" s="90"/>
      <c r="E1631" s="90"/>
    </row>
    <row r="1632" spans="2:5" ht="12.75" customHeight="1">
      <c r="B1632" s="28"/>
      <c r="C1632" s="90"/>
      <c r="D1632" s="90"/>
      <c r="E1632" s="90"/>
    </row>
    <row r="1633" spans="2:5" ht="12.75" customHeight="1">
      <c r="B1633" s="28"/>
      <c r="C1633" s="90"/>
      <c r="D1633" s="90"/>
      <c r="E1633" s="90"/>
    </row>
    <row r="1634" spans="2:5" ht="12.75" customHeight="1">
      <c r="B1634" s="28"/>
      <c r="C1634" s="90"/>
      <c r="D1634" s="90"/>
      <c r="E1634" s="90"/>
    </row>
    <row r="1635" spans="2:5" ht="12.75" customHeight="1">
      <c r="B1635" s="28"/>
      <c r="C1635" s="90"/>
      <c r="D1635" s="90"/>
      <c r="E1635" s="90"/>
    </row>
    <row r="1636" spans="2:5" ht="12.75" customHeight="1">
      <c r="B1636" s="28"/>
      <c r="C1636" s="90"/>
      <c r="D1636" s="90"/>
      <c r="E1636" s="90"/>
    </row>
    <row r="1637" spans="2:5" ht="12.75" customHeight="1">
      <c r="B1637" s="28"/>
      <c r="C1637" s="90"/>
      <c r="D1637" s="90"/>
      <c r="E1637" s="90"/>
    </row>
    <row r="1638" spans="2:5" ht="12.75" customHeight="1">
      <c r="B1638" s="28"/>
      <c r="C1638" s="90"/>
      <c r="D1638" s="90"/>
      <c r="E1638" s="90"/>
    </row>
    <row r="1639" spans="2:5" ht="12.75" customHeight="1">
      <c r="B1639" s="28"/>
      <c r="C1639" s="90"/>
      <c r="D1639" s="90"/>
      <c r="E1639" s="90"/>
    </row>
    <row r="1640" spans="2:5" ht="12.75" customHeight="1">
      <c r="B1640" s="28"/>
      <c r="C1640" s="90"/>
      <c r="D1640" s="90"/>
      <c r="E1640" s="90"/>
    </row>
    <row r="1641" spans="2:5" ht="12.75" customHeight="1">
      <c r="B1641" s="28"/>
      <c r="C1641" s="90"/>
      <c r="D1641" s="90"/>
      <c r="E1641" s="90"/>
    </row>
    <row r="1642" spans="2:5" ht="12.75" customHeight="1">
      <c r="B1642" s="28"/>
      <c r="C1642" s="90"/>
      <c r="D1642" s="90"/>
      <c r="E1642" s="90"/>
    </row>
    <row r="1643" spans="2:5" ht="12.75" customHeight="1">
      <c r="B1643" s="28"/>
      <c r="C1643" s="90"/>
      <c r="D1643" s="90"/>
      <c r="E1643" s="90"/>
    </row>
    <row r="1644" spans="2:5" ht="12.75" customHeight="1">
      <c r="B1644" s="28"/>
      <c r="C1644" s="90"/>
      <c r="D1644" s="90"/>
      <c r="E1644" s="90"/>
    </row>
    <row r="1645" spans="2:5" ht="12.75" customHeight="1">
      <c r="B1645" s="28"/>
      <c r="C1645" s="90"/>
      <c r="D1645" s="90"/>
      <c r="E1645" s="90"/>
    </row>
    <row r="1646" spans="2:5" ht="12.75" customHeight="1">
      <c r="B1646" s="28"/>
      <c r="C1646" s="90"/>
      <c r="D1646" s="90"/>
      <c r="E1646" s="90"/>
    </row>
    <row r="1647" spans="2:5" ht="12.75" customHeight="1">
      <c r="B1647" s="28"/>
      <c r="C1647" s="90"/>
      <c r="D1647" s="90"/>
      <c r="E1647" s="90"/>
    </row>
    <row r="1648" spans="2:5" ht="12.75" customHeight="1">
      <c r="B1648" s="28"/>
      <c r="C1648" s="90"/>
      <c r="D1648" s="90"/>
      <c r="E1648" s="90"/>
    </row>
    <row r="1649" spans="2:5" ht="12.75" customHeight="1">
      <c r="B1649" s="28"/>
      <c r="C1649" s="90"/>
      <c r="D1649" s="90"/>
      <c r="E1649" s="90"/>
    </row>
    <row r="1650" spans="2:5" ht="12.75" customHeight="1">
      <c r="B1650" s="28"/>
      <c r="C1650" s="90"/>
      <c r="D1650" s="90"/>
      <c r="E1650" s="90"/>
    </row>
    <row r="1651" spans="2:5" ht="12.75" customHeight="1">
      <c r="B1651" s="28"/>
      <c r="C1651" s="90"/>
      <c r="D1651" s="90"/>
      <c r="E1651" s="90"/>
    </row>
    <row r="1652" spans="2:5" ht="12.75" customHeight="1">
      <c r="B1652" s="28"/>
      <c r="C1652" s="90"/>
      <c r="D1652" s="90"/>
      <c r="E1652" s="90"/>
    </row>
    <row r="1653" spans="2:5" ht="12.75" customHeight="1">
      <c r="B1653" s="28"/>
      <c r="C1653" s="90"/>
      <c r="D1653" s="90"/>
      <c r="E1653" s="90"/>
    </row>
    <row r="1654" spans="2:5" ht="12.75" customHeight="1">
      <c r="B1654" s="28"/>
      <c r="C1654" s="90"/>
      <c r="D1654" s="90"/>
      <c r="E1654" s="90"/>
    </row>
    <row r="1655" spans="2:5" ht="12.75" customHeight="1">
      <c r="B1655" s="28"/>
      <c r="C1655" s="90"/>
      <c r="D1655" s="90"/>
      <c r="E1655" s="90"/>
    </row>
    <row r="1656" spans="2:5" ht="12.75" customHeight="1">
      <c r="B1656" s="28"/>
      <c r="C1656" s="90"/>
      <c r="D1656" s="90"/>
      <c r="E1656" s="90"/>
    </row>
    <row r="1657" spans="2:5" ht="12.75" customHeight="1">
      <c r="B1657" s="28"/>
      <c r="C1657" s="90"/>
      <c r="D1657" s="90"/>
      <c r="E1657" s="90"/>
    </row>
    <row r="1658" spans="2:5" ht="12.75" customHeight="1">
      <c r="B1658" s="28"/>
      <c r="C1658" s="90"/>
      <c r="D1658" s="90"/>
      <c r="E1658" s="90"/>
    </row>
    <row r="1659" spans="2:5" ht="12.75" customHeight="1">
      <c r="B1659" s="28"/>
      <c r="C1659" s="90"/>
      <c r="D1659" s="90"/>
      <c r="E1659" s="90"/>
    </row>
    <row r="1660" spans="2:5" ht="12.75" customHeight="1">
      <c r="B1660" s="28"/>
      <c r="C1660" s="90"/>
      <c r="D1660" s="90"/>
      <c r="E1660" s="90"/>
    </row>
    <row r="1661" spans="2:5" ht="12.75" customHeight="1">
      <c r="B1661" s="28"/>
      <c r="C1661" s="90"/>
      <c r="D1661" s="90"/>
      <c r="E1661" s="90"/>
    </row>
    <row r="1662" spans="2:5" ht="12.75" customHeight="1">
      <c r="B1662" s="28"/>
      <c r="C1662" s="90"/>
      <c r="D1662" s="90"/>
      <c r="E1662" s="90"/>
    </row>
    <row r="1663" spans="2:5" ht="12.75" customHeight="1">
      <c r="B1663" s="28"/>
      <c r="C1663" s="90"/>
      <c r="D1663" s="90"/>
      <c r="E1663" s="90"/>
    </row>
    <row r="1664" spans="2:5" ht="12.75" customHeight="1">
      <c r="B1664" s="28"/>
      <c r="C1664" s="90"/>
      <c r="D1664" s="90"/>
      <c r="E1664" s="90"/>
    </row>
    <row r="1665" spans="2:5" ht="12.75" customHeight="1">
      <c r="B1665" s="28"/>
      <c r="C1665" s="90"/>
      <c r="D1665" s="90"/>
      <c r="E1665" s="90"/>
    </row>
    <row r="1666" spans="2:5" ht="12.75" customHeight="1">
      <c r="B1666" s="28"/>
      <c r="C1666" s="90"/>
      <c r="D1666" s="90"/>
      <c r="E1666" s="90"/>
    </row>
    <row r="1667" spans="2:5" ht="12.75" customHeight="1">
      <c r="B1667" s="28"/>
      <c r="C1667" s="90"/>
      <c r="D1667" s="90"/>
      <c r="E1667" s="90"/>
    </row>
    <row r="1668" spans="2:5" ht="12.75" customHeight="1">
      <c r="B1668" s="28"/>
      <c r="C1668" s="90"/>
      <c r="D1668" s="90"/>
      <c r="E1668" s="90"/>
    </row>
    <row r="1669" spans="2:5" ht="12.75" customHeight="1">
      <c r="B1669" s="28"/>
      <c r="C1669" s="90"/>
      <c r="D1669" s="90"/>
      <c r="E1669" s="90"/>
    </row>
    <row r="1670" spans="2:5" ht="12.75" customHeight="1">
      <c r="B1670" s="28"/>
      <c r="C1670" s="90"/>
      <c r="D1670" s="90"/>
      <c r="E1670" s="90"/>
    </row>
    <row r="1671" spans="2:5" ht="12.75" customHeight="1">
      <c r="B1671" s="28"/>
      <c r="C1671" s="90"/>
      <c r="D1671" s="90"/>
      <c r="E1671" s="90"/>
    </row>
    <row r="1672" spans="2:5" ht="12.75" customHeight="1">
      <c r="B1672" s="28"/>
      <c r="C1672" s="90"/>
      <c r="D1672" s="90"/>
      <c r="E1672" s="90"/>
    </row>
    <row r="1673" spans="2:5" ht="12.75" customHeight="1">
      <c r="B1673" s="28"/>
      <c r="C1673" s="90"/>
      <c r="D1673" s="90"/>
      <c r="E1673" s="90"/>
    </row>
    <row r="1674" spans="2:5" ht="12.75" customHeight="1">
      <c r="B1674" s="28"/>
      <c r="C1674" s="90"/>
      <c r="D1674" s="90"/>
      <c r="E1674" s="90"/>
    </row>
    <row r="1675" spans="2:5" ht="12.75" customHeight="1">
      <c r="B1675" s="28"/>
      <c r="C1675" s="90"/>
      <c r="D1675" s="90"/>
      <c r="E1675" s="90"/>
    </row>
    <row r="1676" spans="2:5" ht="12.75" customHeight="1">
      <c r="B1676" s="28"/>
      <c r="C1676" s="90"/>
      <c r="D1676" s="90"/>
      <c r="E1676" s="90"/>
    </row>
    <row r="1677" spans="2:5" ht="12.75" customHeight="1">
      <c r="B1677" s="28"/>
      <c r="C1677" s="90"/>
      <c r="D1677" s="90"/>
      <c r="E1677" s="90"/>
    </row>
    <row r="1678" spans="2:5" ht="12.75" customHeight="1">
      <c r="B1678" s="28"/>
      <c r="C1678" s="90"/>
      <c r="D1678" s="90"/>
      <c r="E1678" s="90"/>
    </row>
    <row r="1679" spans="2:5" ht="12.75" customHeight="1">
      <c r="B1679" s="28"/>
      <c r="C1679" s="90"/>
      <c r="D1679" s="90"/>
      <c r="E1679" s="90"/>
    </row>
    <row r="1680" spans="2:5" ht="12.75" customHeight="1">
      <c r="B1680" s="28"/>
      <c r="C1680" s="90"/>
      <c r="D1680" s="90"/>
      <c r="E1680" s="90"/>
    </row>
    <row r="1681" spans="2:5" ht="12.75" customHeight="1">
      <c r="B1681" s="28"/>
      <c r="C1681" s="90"/>
      <c r="D1681" s="90"/>
      <c r="E1681" s="90"/>
    </row>
    <row r="1682" spans="2:5" ht="12.75" customHeight="1">
      <c r="B1682" s="28"/>
      <c r="C1682" s="90"/>
      <c r="D1682" s="90"/>
      <c r="E1682" s="90"/>
    </row>
    <row r="1683" spans="2:5" ht="12.75" customHeight="1">
      <c r="B1683" s="28"/>
      <c r="C1683" s="90"/>
      <c r="D1683" s="90"/>
      <c r="E1683" s="90"/>
    </row>
    <row r="1684" spans="2:5" ht="12.75" customHeight="1">
      <c r="B1684" s="28"/>
      <c r="C1684" s="90"/>
      <c r="D1684" s="90"/>
      <c r="E1684" s="90"/>
    </row>
    <row r="1685" spans="2:5" ht="12.75" customHeight="1">
      <c r="B1685" s="28"/>
      <c r="C1685" s="90"/>
      <c r="D1685" s="90"/>
      <c r="E1685" s="90"/>
    </row>
    <row r="1686" spans="2:5" ht="12.75" customHeight="1">
      <c r="B1686" s="28"/>
      <c r="C1686" s="90"/>
      <c r="D1686" s="90"/>
      <c r="E1686" s="90"/>
    </row>
    <row r="1687" spans="2:5" ht="12.75" customHeight="1">
      <c r="B1687" s="28"/>
      <c r="C1687" s="90"/>
      <c r="D1687" s="90"/>
      <c r="E1687" s="90"/>
    </row>
    <row r="1688" spans="2:5" ht="12.75" customHeight="1">
      <c r="B1688" s="28"/>
      <c r="C1688" s="90"/>
      <c r="D1688" s="90"/>
      <c r="E1688" s="90"/>
    </row>
    <row r="1689" spans="2:5" ht="12.75" customHeight="1">
      <c r="B1689" s="28"/>
      <c r="C1689" s="90"/>
      <c r="D1689" s="90"/>
      <c r="E1689" s="90"/>
    </row>
    <row r="1690" spans="2:5" ht="12.75" customHeight="1">
      <c r="B1690" s="28"/>
      <c r="C1690" s="90"/>
      <c r="D1690" s="90"/>
      <c r="E1690" s="90"/>
    </row>
    <row r="1691" spans="2:5" ht="12.75" customHeight="1">
      <c r="B1691" s="28"/>
      <c r="C1691" s="90"/>
      <c r="D1691" s="90"/>
      <c r="E1691" s="90"/>
    </row>
    <row r="1692" spans="2:5" ht="12.75" customHeight="1">
      <c r="B1692" s="28"/>
      <c r="C1692" s="90"/>
      <c r="D1692" s="90"/>
      <c r="E1692" s="90"/>
    </row>
    <row r="1693" spans="2:5" ht="12.75" customHeight="1">
      <c r="B1693" s="28"/>
      <c r="C1693" s="90"/>
      <c r="D1693" s="90"/>
      <c r="E1693" s="90"/>
    </row>
    <row r="1694" spans="2:5" ht="12.75" customHeight="1">
      <c r="B1694" s="28"/>
      <c r="C1694" s="90"/>
      <c r="D1694" s="90"/>
      <c r="E1694" s="90"/>
    </row>
    <row r="1695" spans="2:5" ht="12.75" customHeight="1">
      <c r="B1695" s="28"/>
      <c r="C1695" s="90"/>
      <c r="D1695" s="90"/>
      <c r="E1695" s="90"/>
    </row>
    <row r="1696" spans="2:5" ht="12.75" customHeight="1">
      <c r="B1696" s="28"/>
      <c r="C1696" s="90"/>
      <c r="D1696" s="90"/>
      <c r="E1696" s="90"/>
    </row>
    <row r="1697" spans="2:5" ht="12.75" customHeight="1">
      <c r="B1697" s="28"/>
      <c r="C1697" s="90"/>
      <c r="D1697" s="90"/>
      <c r="E1697" s="90"/>
    </row>
    <row r="1698" spans="2:5" ht="12.75" customHeight="1">
      <c r="B1698" s="28"/>
      <c r="C1698" s="90"/>
      <c r="D1698" s="90"/>
      <c r="E1698" s="90"/>
    </row>
    <row r="1699" spans="2:5" ht="12.75" customHeight="1">
      <c r="B1699" s="28"/>
      <c r="C1699" s="90"/>
      <c r="D1699" s="90"/>
      <c r="E1699" s="90"/>
    </row>
    <row r="1700" spans="2:5" ht="12.75" customHeight="1">
      <c r="B1700" s="28"/>
      <c r="C1700" s="90"/>
      <c r="D1700" s="90"/>
      <c r="E1700" s="90"/>
    </row>
    <row r="1701" spans="2:5" ht="12.75" customHeight="1">
      <c r="B1701" s="28"/>
      <c r="C1701" s="90"/>
      <c r="D1701" s="90"/>
      <c r="E1701" s="90"/>
    </row>
    <row r="1702" spans="2:5" ht="12.75" customHeight="1">
      <c r="B1702" s="28"/>
      <c r="C1702" s="90"/>
      <c r="D1702" s="90"/>
      <c r="E1702" s="90"/>
    </row>
    <row r="1703" spans="2:5" ht="12.75" customHeight="1">
      <c r="B1703" s="28"/>
      <c r="C1703" s="90"/>
      <c r="D1703" s="90"/>
      <c r="E1703" s="90"/>
    </row>
    <row r="1704" spans="2:5" ht="12.75" customHeight="1">
      <c r="B1704" s="28"/>
      <c r="C1704" s="90"/>
      <c r="D1704" s="90"/>
      <c r="E1704" s="90"/>
    </row>
    <row r="1705" spans="2:5" ht="12.75" customHeight="1">
      <c r="B1705" s="28"/>
      <c r="C1705" s="90"/>
      <c r="D1705" s="90"/>
      <c r="E1705" s="90"/>
    </row>
    <row r="1706" spans="2:5" ht="12.75" customHeight="1">
      <c r="B1706" s="28"/>
      <c r="C1706" s="90"/>
      <c r="D1706" s="90"/>
      <c r="E1706" s="90"/>
    </row>
    <row r="1707" spans="2:5" ht="12.75" customHeight="1">
      <c r="B1707" s="28"/>
      <c r="C1707" s="90"/>
      <c r="D1707" s="90"/>
      <c r="E1707" s="90"/>
    </row>
    <row r="1708" spans="2:5" ht="12.75" customHeight="1">
      <c r="B1708" s="28"/>
      <c r="C1708" s="90"/>
      <c r="D1708" s="90"/>
      <c r="E1708" s="90"/>
    </row>
    <row r="1709" spans="2:5" ht="12.75" customHeight="1">
      <c r="B1709" s="28"/>
      <c r="C1709" s="90"/>
      <c r="D1709" s="90"/>
      <c r="E1709" s="90"/>
    </row>
    <row r="1710" spans="2:5" ht="12.75" customHeight="1">
      <c r="B1710" s="28"/>
      <c r="C1710" s="90"/>
      <c r="D1710" s="90"/>
      <c r="E1710" s="90"/>
    </row>
    <row r="1711" spans="2:5" ht="12.75" customHeight="1">
      <c r="B1711" s="28"/>
      <c r="C1711" s="90"/>
      <c r="D1711" s="90"/>
      <c r="E1711" s="90"/>
    </row>
    <row r="1712" spans="2:5" ht="12.75" customHeight="1">
      <c r="B1712" s="28"/>
      <c r="C1712" s="90"/>
      <c r="D1712" s="90"/>
      <c r="E1712" s="90"/>
    </row>
    <row r="1713" spans="2:5" ht="12.75" customHeight="1">
      <c r="B1713" s="28"/>
      <c r="C1713" s="90"/>
      <c r="D1713" s="90"/>
      <c r="E1713" s="90"/>
    </row>
    <row r="1714" spans="2:5" ht="12.75" customHeight="1">
      <c r="B1714" s="28"/>
      <c r="C1714" s="90"/>
      <c r="D1714" s="90"/>
      <c r="E1714" s="90"/>
    </row>
    <row r="1715" spans="2:5" ht="12.75" customHeight="1">
      <c r="B1715" s="28"/>
      <c r="C1715" s="90"/>
      <c r="D1715" s="90"/>
      <c r="E1715" s="90"/>
    </row>
    <row r="1716" spans="2:5" ht="12.75" customHeight="1">
      <c r="B1716" s="28"/>
      <c r="C1716" s="90"/>
      <c r="D1716" s="90"/>
      <c r="E1716" s="90"/>
    </row>
    <row r="1717" spans="2:5" ht="12.75" customHeight="1">
      <c r="B1717" s="28"/>
      <c r="C1717" s="90"/>
      <c r="D1717" s="90"/>
      <c r="E1717" s="90"/>
    </row>
    <row r="1718" spans="2:5" ht="12.75" customHeight="1">
      <c r="B1718" s="28"/>
      <c r="C1718" s="90"/>
      <c r="D1718" s="90"/>
      <c r="E1718" s="90"/>
    </row>
    <row r="1719" spans="2:5" ht="12.75" customHeight="1">
      <c r="B1719" s="28"/>
      <c r="C1719" s="90"/>
      <c r="D1719" s="90"/>
      <c r="E1719" s="90"/>
    </row>
    <row r="1720" spans="2:5" ht="12.75" customHeight="1">
      <c r="B1720" s="28"/>
      <c r="C1720" s="90"/>
      <c r="D1720" s="90"/>
      <c r="E1720" s="90"/>
    </row>
    <row r="1721" spans="2:5" ht="12.75" customHeight="1">
      <c r="B1721" s="28"/>
      <c r="C1721" s="90"/>
      <c r="D1721" s="90"/>
      <c r="E1721" s="90"/>
    </row>
    <row r="1722" spans="2:5" ht="12.75" customHeight="1">
      <c r="B1722" s="28"/>
      <c r="C1722" s="90"/>
      <c r="D1722" s="90"/>
      <c r="E1722" s="90"/>
    </row>
    <row r="1723" spans="2:5" ht="12.75" customHeight="1">
      <c r="B1723" s="28"/>
      <c r="C1723" s="90"/>
      <c r="D1723" s="90"/>
      <c r="E1723" s="90"/>
    </row>
    <row r="1724" spans="2:5" ht="12.75" customHeight="1">
      <c r="B1724" s="28"/>
      <c r="C1724" s="90"/>
      <c r="D1724" s="90"/>
      <c r="E1724" s="90"/>
    </row>
    <row r="1725" spans="2:5" ht="12.75" customHeight="1">
      <c r="B1725" s="28"/>
      <c r="C1725" s="90"/>
      <c r="D1725" s="90"/>
      <c r="E1725" s="90"/>
    </row>
    <row r="1726" spans="2:5" ht="12.75" customHeight="1">
      <c r="B1726" s="28"/>
      <c r="C1726" s="90"/>
      <c r="D1726" s="90"/>
      <c r="E1726" s="90"/>
    </row>
    <row r="1727" spans="2:5" ht="12.75" customHeight="1">
      <c r="B1727" s="28"/>
      <c r="C1727" s="90"/>
      <c r="D1727" s="90"/>
      <c r="E1727" s="90"/>
    </row>
    <row r="1728" spans="2:5" ht="12.75" customHeight="1">
      <c r="B1728" s="28"/>
      <c r="C1728" s="90"/>
      <c r="D1728" s="90"/>
      <c r="E1728" s="90"/>
    </row>
    <row r="1729" spans="2:5" ht="12.75" customHeight="1">
      <c r="B1729" s="28"/>
      <c r="C1729" s="90"/>
      <c r="D1729" s="90"/>
      <c r="E1729" s="90"/>
    </row>
    <row r="1730" spans="2:5" ht="12.75" customHeight="1">
      <c r="B1730" s="28"/>
      <c r="C1730" s="90"/>
      <c r="D1730" s="90"/>
      <c r="E1730" s="90"/>
    </row>
    <row r="1731" spans="2:5" ht="12.75" customHeight="1">
      <c r="B1731" s="28"/>
      <c r="C1731" s="90"/>
      <c r="D1731" s="90"/>
      <c r="E1731" s="90"/>
    </row>
    <row r="1732" spans="2:5" ht="12.75" customHeight="1">
      <c r="B1732" s="28"/>
      <c r="C1732" s="90"/>
      <c r="D1732" s="90"/>
      <c r="E1732" s="90"/>
    </row>
    <row r="1733" spans="2:5" ht="12.75" customHeight="1">
      <c r="B1733" s="28"/>
      <c r="C1733" s="90"/>
      <c r="D1733" s="90"/>
      <c r="E1733" s="90"/>
    </row>
    <row r="1734" spans="2:5" ht="12.75" customHeight="1">
      <c r="B1734" s="28"/>
      <c r="C1734" s="90"/>
      <c r="D1734" s="90"/>
      <c r="E1734" s="90"/>
    </row>
    <row r="1735" spans="2:5" ht="12.75" customHeight="1">
      <c r="B1735" s="28"/>
      <c r="C1735" s="90"/>
      <c r="D1735" s="90"/>
      <c r="E1735" s="90"/>
    </row>
    <row r="1736" spans="2:5" ht="12.75" customHeight="1">
      <c r="B1736" s="28"/>
      <c r="C1736" s="90"/>
      <c r="D1736" s="90"/>
      <c r="E1736" s="90"/>
    </row>
    <row r="1737" spans="2:5" ht="12.75" customHeight="1">
      <c r="B1737" s="28"/>
      <c r="C1737" s="90"/>
      <c r="D1737" s="90"/>
      <c r="E1737" s="90"/>
    </row>
    <row r="1738" spans="2:5" ht="12.75" customHeight="1">
      <c r="B1738" s="28"/>
      <c r="C1738" s="90"/>
      <c r="D1738" s="90"/>
      <c r="E1738" s="90"/>
    </row>
    <row r="1739" spans="2:5" ht="12.75" customHeight="1">
      <c r="B1739" s="28"/>
      <c r="C1739" s="90"/>
      <c r="D1739" s="90"/>
      <c r="E1739" s="90"/>
    </row>
    <row r="1740" spans="2:5" ht="12.75" customHeight="1">
      <c r="B1740" s="28"/>
      <c r="C1740" s="90"/>
      <c r="D1740" s="90"/>
      <c r="E1740" s="90"/>
    </row>
    <row r="1741" spans="2:5" ht="12.75" customHeight="1">
      <c r="B1741" s="28"/>
      <c r="C1741" s="90"/>
      <c r="D1741" s="90"/>
      <c r="E1741" s="90"/>
    </row>
    <row r="1742" spans="2:5" ht="12.75" customHeight="1">
      <c r="B1742" s="28"/>
      <c r="C1742" s="90"/>
      <c r="D1742" s="90"/>
      <c r="E1742" s="90"/>
    </row>
    <row r="1743" spans="2:5" ht="12.75" customHeight="1">
      <c r="B1743" s="28"/>
      <c r="C1743" s="90"/>
      <c r="D1743" s="90"/>
      <c r="E1743" s="90"/>
    </row>
    <row r="1744" spans="2:5" ht="12.75" customHeight="1">
      <c r="B1744" s="28"/>
      <c r="C1744" s="90"/>
      <c r="D1744" s="90"/>
      <c r="E1744" s="90"/>
    </row>
    <row r="1745" spans="2:5" ht="12.75" customHeight="1">
      <c r="B1745" s="28"/>
      <c r="C1745" s="90"/>
      <c r="D1745" s="90"/>
      <c r="E1745" s="90"/>
    </row>
    <row r="1746" spans="2:5" ht="12.75" customHeight="1">
      <c r="B1746" s="28"/>
      <c r="C1746" s="90"/>
      <c r="D1746" s="90"/>
      <c r="E1746" s="90"/>
    </row>
    <row r="1747" spans="2:5" ht="12.75" customHeight="1">
      <c r="B1747" s="28"/>
      <c r="C1747" s="90"/>
      <c r="D1747" s="90"/>
      <c r="E1747" s="90"/>
    </row>
    <row r="1748" spans="2:5" ht="12.75" customHeight="1">
      <c r="B1748" s="28"/>
      <c r="C1748" s="90"/>
      <c r="D1748" s="90"/>
      <c r="E1748" s="90"/>
    </row>
    <row r="1749" spans="2:5" ht="12.75" customHeight="1">
      <c r="B1749" s="28"/>
      <c r="C1749" s="90"/>
      <c r="D1749" s="90"/>
      <c r="E1749" s="90"/>
    </row>
    <row r="1750" spans="2:5" ht="12.75" customHeight="1">
      <c r="B1750" s="28"/>
      <c r="C1750" s="90"/>
      <c r="D1750" s="90"/>
      <c r="E1750" s="90"/>
    </row>
    <row r="1751" spans="2:5" ht="12.75" customHeight="1">
      <c r="B1751" s="28"/>
      <c r="C1751" s="90"/>
      <c r="D1751" s="90"/>
      <c r="E1751" s="90"/>
    </row>
    <row r="1752" spans="2:5" ht="12.75" customHeight="1">
      <c r="B1752" s="28"/>
      <c r="C1752" s="90"/>
      <c r="D1752" s="90"/>
      <c r="E1752" s="90"/>
    </row>
    <row r="1753" spans="2:5" ht="12.75" customHeight="1">
      <c r="B1753" s="28"/>
      <c r="C1753" s="90"/>
      <c r="D1753" s="90"/>
      <c r="E1753" s="90"/>
    </row>
    <row r="1754" spans="2:5" ht="12.75" customHeight="1">
      <c r="B1754" s="28"/>
      <c r="C1754" s="90"/>
      <c r="D1754" s="90"/>
      <c r="E1754" s="90"/>
    </row>
    <row r="1755" spans="2:5" ht="12.75" customHeight="1">
      <c r="B1755" s="28"/>
      <c r="C1755" s="90"/>
      <c r="D1755" s="90"/>
      <c r="E1755" s="90"/>
    </row>
    <row r="1756" spans="2:5" ht="12.75" customHeight="1">
      <c r="B1756" s="28"/>
      <c r="C1756" s="90"/>
      <c r="D1756" s="90"/>
      <c r="E1756" s="90"/>
    </row>
    <row r="1757" spans="2:5" ht="12.75" customHeight="1">
      <c r="B1757" s="28"/>
      <c r="C1757" s="90"/>
      <c r="D1757" s="90"/>
      <c r="E1757" s="90"/>
    </row>
    <row r="1758" spans="2:5" ht="12.75" customHeight="1">
      <c r="B1758" s="28"/>
      <c r="C1758" s="90"/>
      <c r="D1758" s="90"/>
      <c r="E1758" s="90"/>
    </row>
    <row r="1759" spans="2:5" ht="12.75" customHeight="1">
      <c r="B1759" s="28"/>
      <c r="C1759" s="90"/>
      <c r="D1759" s="90"/>
      <c r="E1759" s="90"/>
    </row>
    <row r="1760" spans="2:5" ht="12.75" customHeight="1">
      <c r="B1760" s="28"/>
      <c r="C1760" s="90"/>
      <c r="D1760" s="90"/>
      <c r="E1760" s="90"/>
    </row>
    <row r="1761" spans="2:5" ht="12.75" customHeight="1">
      <c r="B1761" s="28"/>
      <c r="C1761" s="90"/>
      <c r="D1761" s="90"/>
      <c r="E1761" s="90"/>
    </row>
    <row r="1762" spans="2:5" ht="12.75" customHeight="1">
      <c r="B1762" s="28"/>
      <c r="C1762" s="90"/>
      <c r="D1762" s="90"/>
      <c r="E1762" s="90"/>
    </row>
    <row r="1763" spans="2:5" ht="12.75" customHeight="1">
      <c r="B1763" s="28"/>
      <c r="C1763" s="90"/>
      <c r="D1763" s="90"/>
      <c r="E1763" s="90"/>
    </row>
    <row r="1764" spans="2:5" ht="12.75" customHeight="1">
      <c r="B1764" s="28"/>
      <c r="C1764" s="90"/>
      <c r="D1764" s="90"/>
      <c r="E1764" s="90"/>
    </row>
    <row r="1765" spans="2:5" ht="12.75" customHeight="1">
      <c r="B1765" s="28"/>
      <c r="C1765" s="90"/>
      <c r="D1765" s="90"/>
      <c r="E1765" s="90"/>
    </row>
    <row r="1766" spans="2:5" ht="12.75" customHeight="1">
      <c r="B1766" s="28"/>
      <c r="C1766" s="90"/>
      <c r="D1766" s="90"/>
      <c r="E1766" s="90"/>
    </row>
    <row r="1767" spans="2:5" ht="12.75" customHeight="1">
      <c r="B1767" s="28"/>
      <c r="C1767" s="90"/>
      <c r="D1767" s="90"/>
      <c r="E1767" s="90"/>
    </row>
    <row r="1768" spans="2:5" ht="12.75" customHeight="1">
      <c r="B1768" s="28"/>
      <c r="C1768" s="90"/>
      <c r="D1768" s="90"/>
      <c r="E1768" s="90"/>
    </row>
    <row r="1769" spans="2:5" ht="12.75" customHeight="1">
      <c r="B1769" s="28"/>
      <c r="C1769" s="90"/>
      <c r="D1769" s="90"/>
      <c r="E1769" s="90"/>
    </row>
    <row r="1770" spans="2:5" ht="12.75" customHeight="1">
      <c r="B1770" s="28"/>
      <c r="C1770" s="90"/>
      <c r="D1770" s="90"/>
      <c r="E1770" s="90"/>
    </row>
    <row r="1771" spans="2:5" ht="12.75" customHeight="1">
      <c r="B1771" s="28"/>
      <c r="C1771" s="90"/>
      <c r="D1771" s="90"/>
      <c r="E1771" s="90"/>
    </row>
    <row r="1772" spans="2:5" ht="12.75" customHeight="1">
      <c r="B1772" s="28"/>
      <c r="C1772" s="90"/>
      <c r="D1772" s="90"/>
      <c r="E1772" s="90"/>
    </row>
    <row r="1773" spans="2:5" ht="12.75" customHeight="1">
      <c r="B1773" s="28"/>
      <c r="C1773" s="90"/>
      <c r="D1773" s="90"/>
      <c r="E1773" s="90"/>
    </row>
    <row r="1774" spans="2:5" ht="12.75" customHeight="1">
      <c r="B1774" s="28"/>
      <c r="C1774" s="90"/>
      <c r="D1774" s="90"/>
      <c r="E1774" s="90"/>
    </row>
    <row r="1775" spans="2:5" ht="12.75" customHeight="1">
      <c r="B1775" s="28"/>
      <c r="C1775" s="90"/>
      <c r="D1775" s="90"/>
      <c r="E1775" s="90"/>
    </row>
    <row r="1776" spans="2:5" ht="12.75" customHeight="1">
      <c r="B1776" s="28"/>
      <c r="C1776" s="90"/>
      <c r="D1776" s="90"/>
      <c r="E1776" s="90"/>
    </row>
    <row r="1777" spans="2:5" ht="12.75" customHeight="1">
      <c r="B1777" s="28"/>
      <c r="C1777" s="90"/>
      <c r="D1777" s="90"/>
      <c r="E1777" s="90"/>
    </row>
    <row r="1778" spans="2:5" ht="12.75" customHeight="1">
      <c r="B1778" s="28"/>
      <c r="C1778" s="90"/>
      <c r="D1778" s="90"/>
      <c r="E1778" s="90"/>
    </row>
    <row r="1779" spans="2:5" ht="12.75" customHeight="1">
      <c r="B1779" s="28"/>
      <c r="C1779" s="90"/>
      <c r="D1779" s="90"/>
      <c r="E1779" s="90"/>
    </row>
    <row r="1780" spans="2:5" ht="12.75" customHeight="1">
      <c r="B1780" s="28"/>
      <c r="C1780" s="90"/>
      <c r="D1780" s="90"/>
      <c r="E1780" s="90"/>
    </row>
    <row r="1781" spans="2:5" ht="12.75" customHeight="1">
      <c r="B1781" s="28"/>
      <c r="C1781" s="90"/>
      <c r="D1781" s="90"/>
      <c r="E1781" s="90"/>
    </row>
    <row r="1782" spans="2:5" ht="12.75" customHeight="1">
      <c r="B1782" s="28"/>
      <c r="C1782" s="90"/>
      <c r="D1782" s="90"/>
      <c r="E1782" s="90"/>
    </row>
    <row r="1783" spans="2:5" ht="12.75" customHeight="1">
      <c r="B1783" s="28"/>
      <c r="C1783" s="90"/>
      <c r="D1783" s="90"/>
      <c r="E1783" s="90"/>
    </row>
    <row r="1784" spans="2:5" ht="12.75" customHeight="1">
      <c r="B1784" s="28"/>
      <c r="C1784" s="90"/>
      <c r="D1784" s="90"/>
      <c r="E1784" s="90"/>
    </row>
    <row r="1785" spans="2:5" ht="12.75" customHeight="1">
      <c r="B1785" s="28"/>
      <c r="C1785" s="90"/>
      <c r="D1785" s="90"/>
      <c r="E1785" s="90"/>
    </row>
    <row r="1786" spans="2:5" ht="12.75" customHeight="1">
      <c r="B1786" s="28"/>
      <c r="C1786" s="90"/>
      <c r="D1786" s="90"/>
      <c r="E1786" s="90"/>
    </row>
    <row r="1787" spans="2:5" ht="12.75" customHeight="1">
      <c r="B1787" s="28"/>
      <c r="C1787" s="90"/>
      <c r="D1787" s="90"/>
      <c r="E1787" s="90"/>
    </row>
    <row r="1788" spans="2:5" ht="12.75" customHeight="1">
      <c r="B1788" s="28"/>
      <c r="C1788" s="90"/>
      <c r="D1788" s="90"/>
      <c r="E1788" s="90"/>
    </row>
    <row r="1789" spans="2:5" ht="12.75" customHeight="1">
      <c r="B1789" s="28"/>
      <c r="C1789" s="90"/>
      <c r="D1789" s="90"/>
      <c r="E1789" s="90"/>
    </row>
    <row r="1790" spans="2:5" ht="12.75" customHeight="1">
      <c r="B1790" s="28"/>
      <c r="C1790" s="90"/>
      <c r="D1790" s="90"/>
      <c r="E1790" s="90"/>
    </row>
    <row r="1791" spans="2:5" ht="12.75" customHeight="1">
      <c r="B1791" s="28"/>
      <c r="C1791" s="90"/>
      <c r="D1791" s="90"/>
      <c r="E1791" s="90"/>
    </row>
    <row r="1792" spans="2:5" ht="12.75" customHeight="1">
      <c r="B1792" s="28"/>
      <c r="C1792" s="90"/>
      <c r="D1792" s="90"/>
      <c r="E1792" s="90"/>
    </row>
    <row r="1793" spans="2:5" ht="12.75" customHeight="1">
      <c r="B1793" s="28"/>
      <c r="C1793" s="90"/>
      <c r="D1793" s="90"/>
      <c r="E1793" s="90"/>
    </row>
    <row r="1794" spans="2:5" ht="12.75" customHeight="1">
      <c r="B1794" s="28"/>
      <c r="C1794" s="90"/>
      <c r="D1794" s="90"/>
      <c r="E1794" s="90"/>
    </row>
    <row r="1795" spans="2:5" ht="12.75" customHeight="1">
      <c r="B1795" s="28"/>
      <c r="C1795" s="90"/>
      <c r="D1795" s="90"/>
      <c r="E1795" s="90"/>
    </row>
    <row r="1796" spans="2:5" ht="12.75" customHeight="1">
      <c r="B1796" s="28"/>
      <c r="C1796" s="90"/>
      <c r="D1796" s="90"/>
      <c r="E1796" s="90"/>
    </row>
    <row r="1797" spans="2:5" ht="12.75" customHeight="1">
      <c r="B1797" s="28"/>
      <c r="C1797" s="90"/>
      <c r="D1797" s="90"/>
      <c r="E1797" s="90"/>
    </row>
    <row r="1798" spans="2:5" ht="12.75" customHeight="1">
      <c r="B1798" s="28"/>
      <c r="C1798" s="90"/>
      <c r="D1798" s="90"/>
      <c r="E1798" s="90"/>
    </row>
    <row r="1799" spans="2:5" ht="12.75" customHeight="1">
      <c r="B1799" s="28"/>
      <c r="C1799" s="90"/>
      <c r="D1799" s="90"/>
      <c r="E1799" s="90"/>
    </row>
    <row r="1800" spans="2:5" ht="12.75" customHeight="1">
      <c r="B1800" s="28"/>
      <c r="C1800" s="90"/>
      <c r="D1800" s="90"/>
      <c r="E1800" s="90"/>
    </row>
    <row r="1801" spans="2:5" ht="12.75" customHeight="1">
      <c r="B1801" s="28"/>
      <c r="C1801" s="90"/>
      <c r="D1801" s="90"/>
      <c r="E1801" s="90"/>
    </row>
    <row r="1802" spans="2:5" ht="12.75" customHeight="1">
      <c r="B1802" s="28"/>
      <c r="C1802" s="90"/>
      <c r="D1802" s="90"/>
      <c r="E1802" s="90"/>
    </row>
    <row r="1803" spans="2:5" ht="12.75" customHeight="1">
      <c r="B1803" s="28"/>
      <c r="C1803" s="90"/>
      <c r="D1803" s="90"/>
      <c r="E1803" s="90"/>
    </row>
    <row r="1804" spans="2:5" ht="12.75" customHeight="1">
      <c r="B1804" s="28"/>
      <c r="C1804" s="90"/>
      <c r="D1804" s="90"/>
      <c r="E1804" s="90"/>
    </row>
    <row r="1805" spans="2:5" ht="12.75" customHeight="1">
      <c r="B1805" s="28"/>
      <c r="C1805" s="90"/>
      <c r="D1805" s="90"/>
      <c r="E1805" s="90"/>
    </row>
    <row r="1806" spans="2:5" ht="12.75" customHeight="1">
      <c r="B1806" s="28"/>
      <c r="C1806" s="90"/>
      <c r="D1806" s="90"/>
      <c r="E1806" s="90"/>
    </row>
    <row r="1807" spans="2:5" ht="12.75" customHeight="1">
      <c r="B1807" s="28"/>
      <c r="C1807" s="90"/>
      <c r="D1807" s="90"/>
      <c r="E1807" s="90"/>
    </row>
    <row r="1808" spans="2:5" ht="12.75" customHeight="1">
      <c r="B1808" s="28"/>
      <c r="C1808" s="90"/>
      <c r="D1808" s="90"/>
      <c r="E1808" s="90"/>
    </row>
    <row r="1809" spans="2:5" ht="12.75" customHeight="1">
      <c r="B1809" s="28"/>
      <c r="C1809" s="90"/>
      <c r="D1809" s="90"/>
      <c r="E1809" s="90"/>
    </row>
    <row r="1810" spans="2:5" ht="12.75" customHeight="1">
      <c r="B1810" s="28"/>
      <c r="C1810" s="90"/>
      <c r="D1810" s="90"/>
      <c r="E1810" s="90"/>
    </row>
    <row r="1811" spans="2:5" ht="12.75" customHeight="1">
      <c r="B1811" s="28"/>
      <c r="C1811" s="90"/>
      <c r="D1811" s="90"/>
      <c r="E1811" s="90"/>
    </row>
    <row r="1812" spans="2:5" ht="12.75" customHeight="1">
      <c r="B1812" s="28"/>
      <c r="C1812" s="90"/>
      <c r="D1812" s="90"/>
      <c r="E1812" s="90"/>
    </row>
    <row r="1813" spans="2:5" ht="12.75" customHeight="1">
      <c r="B1813" s="28"/>
      <c r="C1813" s="90"/>
      <c r="D1813" s="90"/>
      <c r="E1813" s="90"/>
    </row>
    <row r="1814" spans="2:5" ht="12.75" customHeight="1">
      <c r="B1814" s="28"/>
      <c r="C1814" s="90"/>
      <c r="D1814" s="90"/>
      <c r="E1814" s="90"/>
    </row>
    <row r="1815" spans="2:5" ht="12.75" customHeight="1">
      <c r="B1815" s="28"/>
      <c r="C1815" s="90"/>
      <c r="D1815" s="90"/>
      <c r="E1815" s="90"/>
    </row>
    <row r="1816" spans="2:5" ht="12.75" customHeight="1">
      <c r="B1816" s="28"/>
      <c r="C1816" s="90"/>
      <c r="D1816" s="90"/>
      <c r="E1816" s="90"/>
    </row>
    <row r="1817" spans="2:5" ht="12.75" customHeight="1">
      <c r="B1817" s="28"/>
      <c r="C1817" s="90"/>
      <c r="D1817" s="90"/>
      <c r="E1817" s="90"/>
    </row>
    <row r="1818" spans="2:5" ht="12.75" customHeight="1">
      <c r="B1818" s="28"/>
      <c r="C1818" s="90"/>
      <c r="D1818" s="90"/>
      <c r="E1818" s="90"/>
    </row>
    <row r="1819" spans="2:5" ht="12.75" customHeight="1">
      <c r="B1819" s="28"/>
      <c r="C1819" s="90"/>
      <c r="D1819" s="90"/>
      <c r="E1819" s="90"/>
    </row>
    <row r="1820" spans="2:5" ht="12.75" customHeight="1">
      <c r="B1820" s="28"/>
      <c r="C1820" s="90"/>
      <c r="D1820" s="90"/>
      <c r="E1820" s="90"/>
    </row>
    <row r="1821" spans="2:5" ht="12.75" customHeight="1">
      <c r="B1821" s="28"/>
      <c r="C1821" s="90"/>
      <c r="D1821" s="90"/>
      <c r="E1821" s="90"/>
    </row>
    <row r="1822" spans="2:5" ht="12.75" customHeight="1">
      <c r="B1822" s="28"/>
      <c r="C1822" s="90"/>
      <c r="D1822" s="90"/>
      <c r="E1822" s="90"/>
    </row>
    <row r="1823" spans="2:5" ht="12.75" customHeight="1">
      <c r="B1823" s="28"/>
      <c r="C1823" s="90"/>
      <c r="D1823" s="90"/>
      <c r="E1823" s="90"/>
    </row>
    <row r="1824" spans="2:5" ht="12.75" customHeight="1">
      <c r="B1824" s="28"/>
      <c r="C1824" s="90"/>
      <c r="D1824" s="90"/>
      <c r="E1824" s="90"/>
    </row>
    <row r="1825" spans="2:5" ht="12.75" customHeight="1">
      <c r="B1825" s="28"/>
      <c r="C1825" s="90"/>
      <c r="D1825" s="90"/>
      <c r="E1825" s="90"/>
    </row>
    <row r="1826" spans="2:5" ht="12.75" customHeight="1">
      <c r="B1826" s="28"/>
      <c r="C1826" s="90"/>
      <c r="D1826" s="90"/>
      <c r="E1826" s="90"/>
    </row>
    <row r="1827" spans="2:5" ht="12.75" customHeight="1">
      <c r="B1827" s="28"/>
      <c r="C1827" s="90"/>
      <c r="D1827" s="90"/>
      <c r="E1827" s="90"/>
    </row>
    <row r="1828" spans="2:5" ht="12.75" customHeight="1">
      <c r="B1828" s="28"/>
      <c r="C1828" s="90"/>
      <c r="D1828" s="90"/>
      <c r="E1828" s="90"/>
    </row>
    <row r="1829" spans="2:5" ht="12.75" customHeight="1">
      <c r="B1829" s="28"/>
      <c r="C1829" s="90"/>
      <c r="D1829" s="90"/>
      <c r="E1829" s="90"/>
    </row>
    <row r="1830" spans="2:5" ht="12.75" customHeight="1">
      <c r="B1830" s="28"/>
      <c r="C1830" s="90"/>
      <c r="D1830" s="90"/>
      <c r="E1830" s="90"/>
    </row>
    <row r="1831" spans="2:5" ht="12.75" customHeight="1">
      <c r="B1831" s="28"/>
      <c r="C1831" s="90"/>
      <c r="D1831" s="90"/>
      <c r="E1831" s="90"/>
    </row>
    <row r="1832" spans="2:5" ht="12.75" customHeight="1">
      <c r="B1832" s="28"/>
      <c r="C1832" s="90"/>
      <c r="D1832" s="90"/>
      <c r="E1832" s="90"/>
    </row>
    <row r="1833" spans="2:5" ht="12.75" customHeight="1">
      <c r="B1833" s="28"/>
      <c r="C1833" s="90"/>
      <c r="D1833" s="90"/>
      <c r="E1833" s="90"/>
    </row>
    <row r="1834" spans="2:5" ht="12.75" customHeight="1">
      <c r="B1834" s="28"/>
      <c r="C1834" s="90"/>
      <c r="D1834" s="90"/>
      <c r="E1834" s="90"/>
    </row>
    <row r="1835" spans="2:5" ht="12.75" customHeight="1">
      <c r="B1835" s="28"/>
      <c r="C1835" s="90"/>
      <c r="D1835" s="90"/>
      <c r="E1835" s="90"/>
    </row>
    <row r="1836" spans="2:5" ht="12.75" customHeight="1">
      <c r="B1836" s="28"/>
      <c r="C1836" s="90"/>
      <c r="D1836" s="90"/>
      <c r="E1836" s="90"/>
    </row>
    <row r="1837" spans="2:5" ht="12.75" customHeight="1">
      <c r="B1837" s="28"/>
      <c r="C1837" s="90"/>
      <c r="D1837" s="90"/>
      <c r="E1837" s="90"/>
    </row>
    <row r="1838" spans="2:5" ht="12.75" customHeight="1">
      <c r="B1838" s="28"/>
      <c r="C1838" s="90"/>
      <c r="D1838" s="90"/>
      <c r="E1838" s="90"/>
    </row>
    <row r="1839" spans="2:5" ht="12.75" customHeight="1">
      <c r="B1839" s="28"/>
      <c r="C1839" s="90"/>
      <c r="D1839" s="90"/>
      <c r="E1839" s="90"/>
    </row>
    <row r="1840" spans="2:5" ht="12.75" customHeight="1">
      <c r="B1840" s="28"/>
      <c r="C1840" s="90"/>
      <c r="D1840" s="90"/>
      <c r="E1840" s="90"/>
    </row>
    <row r="1841" spans="2:5" ht="12.75" customHeight="1">
      <c r="B1841" s="28"/>
      <c r="C1841" s="90"/>
      <c r="D1841" s="90"/>
      <c r="E1841" s="90"/>
    </row>
    <row r="1842" spans="2:5" ht="12.75" customHeight="1">
      <c r="B1842" s="28"/>
      <c r="C1842" s="90"/>
      <c r="D1842" s="90"/>
      <c r="E1842" s="90"/>
    </row>
    <row r="1843" spans="2:5" ht="12.75" customHeight="1">
      <c r="B1843" s="28"/>
      <c r="C1843" s="90"/>
      <c r="D1843" s="90"/>
      <c r="E1843" s="90"/>
    </row>
    <row r="1844" spans="2:5" ht="12.75" customHeight="1">
      <c r="B1844" s="28"/>
      <c r="C1844" s="90"/>
      <c r="D1844" s="90"/>
      <c r="E1844" s="90"/>
    </row>
    <row r="1845" spans="2:5" ht="12.75" customHeight="1">
      <c r="B1845" s="28"/>
      <c r="C1845" s="90"/>
      <c r="D1845" s="90"/>
      <c r="E1845" s="90"/>
    </row>
    <row r="1846" spans="2:5" ht="12.75" customHeight="1">
      <c r="B1846" s="28"/>
      <c r="C1846" s="90"/>
      <c r="D1846" s="90"/>
      <c r="E1846" s="90"/>
    </row>
    <row r="1847" spans="2:5" ht="12.75" customHeight="1">
      <c r="B1847" s="28"/>
      <c r="C1847" s="90"/>
      <c r="D1847" s="90"/>
      <c r="E1847" s="90"/>
    </row>
    <row r="1848" spans="2:5" ht="12.75" customHeight="1">
      <c r="B1848" s="28"/>
      <c r="C1848" s="90"/>
      <c r="D1848" s="90"/>
      <c r="E1848" s="90"/>
    </row>
    <row r="1849" spans="2:5" ht="12.75" customHeight="1">
      <c r="B1849" s="28"/>
      <c r="C1849" s="90"/>
      <c r="D1849" s="90"/>
      <c r="E1849" s="90"/>
    </row>
    <row r="1850" spans="2:5" ht="12.75" customHeight="1">
      <c r="B1850" s="28"/>
      <c r="C1850" s="90"/>
      <c r="D1850" s="90"/>
      <c r="E1850" s="90"/>
    </row>
    <row r="1851" spans="2:5" ht="12.75" customHeight="1">
      <c r="B1851" s="28"/>
      <c r="C1851" s="90"/>
      <c r="D1851" s="90"/>
      <c r="E1851" s="90"/>
    </row>
    <row r="1852" spans="2:5" ht="12.75" customHeight="1">
      <c r="B1852" s="28"/>
      <c r="C1852" s="90"/>
      <c r="D1852" s="90"/>
      <c r="E1852" s="90"/>
    </row>
    <row r="1853" spans="2:5" ht="12.75" customHeight="1">
      <c r="B1853" s="28"/>
      <c r="C1853" s="90"/>
      <c r="D1853" s="90"/>
      <c r="E1853" s="90"/>
    </row>
    <row r="1854" spans="2:5" ht="12.75" customHeight="1">
      <c r="B1854" s="28"/>
      <c r="C1854" s="90"/>
      <c r="D1854" s="90"/>
      <c r="E1854" s="90"/>
    </row>
    <row r="1855" spans="2:5" ht="12.75" customHeight="1">
      <c r="B1855" s="28"/>
      <c r="C1855" s="90"/>
      <c r="D1855" s="90"/>
      <c r="E1855" s="90"/>
    </row>
    <row r="1856" spans="2:5" ht="12.75" customHeight="1">
      <c r="B1856" s="28"/>
      <c r="C1856" s="90"/>
      <c r="D1856" s="90"/>
      <c r="E1856" s="90"/>
    </row>
    <row r="1857" spans="2:5" ht="12.75" customHeight="1">
      <c r="B1857" s="28"/>
      <c r="C1857" s="90"/>
      <c r="D1857" s="90"/>
      <c r="E1857" s="90"/>
    </row>
    <row r="1858" spans="2:5" ht="12.75" customHeight="1">
      <c r="B1858" s="28"/>
      <c r="C1858" s="90"/>
      <c r="D1858" s="90"/>
      <c r="E1858" s="90"/>
    </row>
    <row r="1859" spans="2:5" ht="12.75" customHeight="1">
      <c r="B1859" s="28"/>
      <c r="C1859" s="90"/>
      <c r="D1859" s="90"/>
      <c r="E1859" s="90"/>
    </row>
    <row r="1860" spans="2:5" ht="12.75" customHeight="1">
      <c r="B1860" s="28"/>
      <c r="C1860" s="90"/>
      <c r="D1860" s="90"/>
      <c r="E1860" s="90"/>
    </row>
    <row r="1861" spans="2:5" ht="12.75" customHeight="1">
      <c r="B1861" s="28"/>
      <c r="C1861" s="90"/>
      <c r="D1861" s="90"/>
      <c r="E1861" s="90"/>
    </row>
    <row r="1862" spans="2:5" ht="12.75" customHeight="1">
      <c r="B1862" s="28"/>
      <c r="C1862" s="90"/>
      <c r="D1862" s="90"/>
      <c r="E1862" s="90"/>
    </row>
    <row r="1863" spans="2:5" ht="12.75" customHeight="1">
      <c r="B1863" s="28"/>
      <c r="C1863" s="90"/>
      <c r="D1863" s="90"/>
      <c r="E1863" s="90"/>
    </row>
    <row r="1864" spans="2:5" ht="12.75" customHeight="1">
      <c r="B1864" s="28"/>
      <c r="C1864" s="90"/>
      <c r="D1864" s="90"/>
      <c r="E1864" s="90"/>
    </row>
    <row r="1865" spans="2:5" ht="12.75" customHeight="1">
      <c r="B1865" s="28"/>
      <c r="C1865" s="90"/>
      <c r="D1865" s="90"/>
      <c r="E1865" s="90"/>
    </row>
    <row r="1866" spans="2:5" ht="12.75" customHeight="1">
      <c r="B1866" s="28"/>
      <c r="C1866" s="90"/>
      <c r="D1866" s="90"/>
      <c r="E1866" s="90"/>
    </row>
    <row r="1867" spans="2:5" ht="12.75" customHeight="1">
      <c r="B1867" s="28"/>
      <c r="C1867" s="90"/>
      <c r="D1867" s="90"/>
      <c r="E1867" s="90"/>
    </row>
    <row r="1868" spans="2:5" ht="12.75" customHeight="1">
      <c r="B1868" s="28"/>
      <c r="C1868" s="90"/>
      <c r="D1868" s="90"/>
      <c r="E1868" s="90"/>
    </row>
    <row r="1869" spans="2:5" ht="12.75" customHeight="1">
      <c r="B1869" s="28"/>
      <c r="C1869" s="90"/>
      <c r="D1869" s="90"/>
      <c r="E1869" s="90"/>
    </row>
    <row r="1870" spans="2:5" ht="12.75" customHeight="1">
      <c r="B1870" s="28"/>
      <c r="C1870" s="90"/>
      <c r="D1870" s="90"/>
      <c r="E1870" s="90"/>
    </row>
    <row r="1871" spans="2:5" ht="12.75" customHeight="1">
      <c r="B1871" s="28"/>
      <c r="C1871" s="90"/>
      <c r="D1871" s="90"/>
      <c r="E1871" s="90"/>
    </row>
    <row r="1872" spans="2:5" ht="12.75" customHeight="1">
      <c r="B1872" s="28"/>
      <c r="C1872" s="90"/>
      <c r="D1872" s="90"/>
      <c r="E1872" s="90"/>
    </row>
    <row r="1873" spans="2:5" ht="12.75" customHeight="1">
      <c r="B1873" s="28"/>
      <c r="C1873" s="90"/>
      <c r="D1873" s="90"/>
      <c r="E1873" s="90"/>
    </row>
    <row r="1874" spans="2:5" ht="12.75" customHeight="1">
      <c r="B1874" s="28"/>
      <c r="C1874" s="90"/>
      <c r="D1874" s="90"/>
      <c r="E1874" s="90"/>
    </row>
    <row r="1875" spans="2:5" ht="12.75" customHeight="1">
      <c r="B1875" s="28"/>
      <c r="C1875" s="90"/>
      <c r="D1875" s="90"/>
      <c r="E1875" s="90"/>
    </row>
    <row r="1876" spans="2:5" ht="12.75" customHeight="1">
      <c r="B1876" s="28"/>
      <c r="C1876" s="90"/>
      <c r="D1876" s="90"/>
      <c r="E1876" s="90"/>
    </row>
    <row r="1877" spans="2:5" ht="12.75" customHeight="1">
      <c r="B1877" s="28"/>
      <c r="C1877" s="90"/>
      <c r="D1877" s="90"/>
      <c r="E1877" s="90"/>
    </row>
    <row r="1878" spans="2:5" ht="12.75" customHeight="1">
      <c r="B1878" s="28"/>
      <c r="C1878" s="90"/>
      <c r="D1878" s="90"/>
      <c r="E1878" s="90"/>
    </row>
    <row r="1879" spans="2:5" ht="12.75" customHeight="1">
      <c r="B1879" s="28"/>
      <c r="C1879" s="90"/>
      <c r="D1879" s="90"/>
      <c r="E1879" s="90"/>
    </row>
    <row r="1880" spans="2:5" ht="12.75" customHeight="1">
      <c r="B1880" s="28"/>
      <c r="C1880" s="90"/>
      <c r="D1880" s="90"/>
      <c r="E1880" s="90"/>
    </row>
    <row r="1881" spans="2:5" ht="12.75" customHeight="1">
      <c r="B1881" s="28"/>
      <c r="C1881" s="90"/>
      <c r="D1881" s="90"/>
      <c r="E1881" s="90"/>
    </row>
    <row r="1882" spans="2:5" ht="12.75" customHeight="1">
      <c r="B1882" s="28"/>
      <c r="C1882" s="90"/>
      <c r="D1882" s="90"/>
      <c r="E1882" s="90"/>
    </row>
    <row r="1883" spans="2:5" ht="12.75" customHeight="1">
      <c r="B1883" s="28"/>
      <c r="C1883" s="90"/>
      <c r="D1883" s="90"/>
      <c r="E1883" s="90"/>
    </row>
    <row r="1884" spans="2:5" ht="12.75" customHeight="1">
      <c r="B1884" s="28"/>
      <c r="C1884" s="90"/>
      <c r="D1884" s="90"/>
      <c r="E1884" s="90"/>
    </row>
    <row r="1885" spans="2:5" ht="12.75" customHeight="1">
      <c r="B1885" s="28"/>
      <c r="C1885" s="90"/>
      <c r="D1885" s="90"/>
      <c r="E1885" s="90"/>
    </row>
    <row r="1886" spans="2:5" ht="12.75" customHeight="1">
      <c r="B1886" s="28"/>
      <c r="C1886" s="90"/>
      <c r="D1886" s="90"/>
      <c r="E1886" s="90"/>
    </row>
    <row r="1887" spans="2:5" ht="12.75" customHeight="1">
      <c r="B1887" s="28"/>
      <c r="C1887" s="90"/>
      <c r="D1887" s="90"/>
      <c r="E1887" s="90"/>
    </row>
    <row r="1888" spans="2:5" ht="12.75" customHeight="1">
      <c r="B1888" s="28"/>
      <c r="C1888" s="90"/>
      <c r="D1888" s="90"/>
      <c r="E1888" s="90"/>
    </row>
    <row r="1889" spans="2:5" ht="12.75" customHeight="1">
      <c r="B1889" s="28"/>
      <c r="C1889" s="90"/>
      <c r="D1889" s="90"/>
      <c r="E1889" s="90"/>
    </row>
    <row r="1890" spans="2:5" ht="12.75" customHeight="1">
      <c r="B1890" s="28"/>
      <c r="C1890" s="90"/>
      <c r="D1890" s="90"/>
      <c r="E1890" s="90"/>
    </row>
    <row r="1891" spans="2:5" ht="12.75" customHeight="1">
      <c r="B1891" s="28"/>
      <c r="C1891" s="90"/>
      <c r="D1891" s="90"/>
      <c r="E1891" s="90"/>
    </row>
    <row r="1892" spans="2:5" ht="12.75" customHeight="1">
      <c r="B1892" s="28"/>
      <c r="C1892" s="90"/>
      <c r="D1892" s="90"/>
      <c r="E1892" s="90"/>
    </row>
    <row r="1893" spans="2:5" ht="12.75" customHeight="1">
      <c r="B1893" s="28"/>
      <c r="C1893" s="90"/>
      <c r="D1893" s="90"/>
      <c r="E1893" s="90"/>
    </row>
    <row r="1894" spans="2:5" ht="12.75" customHeight="1">
      <c r="B1894" s="28"/>
      <c r="C1894" s="90"/>
      <c r="D1894" s="90"/>
      <c r="E1894" s="90"/>
    </row>
    <row r="1895" spans="2:5" ht="12.75" customHeight="1">
      <c r="B1895" s="28"/>
      <c r="C1895" s="90"/>
      <c r="D1895" s="90"/>
      <c r="E1895" s="90"/>
    </row>
    <row r="1896" spans="2:5" ht="12.75" customHeight="1">
      <c r="B1896" s="28"/>
      <c r="C1896" s="90"/>
      <c r="D1896" s="90"/>
      <c r="E1896" s="90"/>
    </row>
    <row r="1897" spans="2:5" ht="12.75" customHeight="1">
      <c r="B1897" s="28"/>
      <c r="C1897" s="90"/>
      <c r="D1897" s="90"/>
      <c r="E1897" s="90"/>
    </row>
    <row r="1898" spans="2:5" ht="12.75" customHeight="1">
      <c r="B1898" s="28"/>
      <c r="C1898" s="90"/>
      <c r="D1898" s="90"/>
      <c r="E1898" s="90"/>
    </row>
    <row r="1899" spans="2:5" ht="12.75" customHeight="1">
      <c r="B1899" s="28"/>
      <c r="C1899" s="90"/>
      <c r="D1899" s="90"/>
      <c r="E1899" s="90"/>
    </row>
    <row r="1900" spans="2:5" ht="12.75" customHeight="1">
      <c r="B1900" s="28"/>
      <c r="C1900" s="90"/>
      <c r="D1900" s="90"/>
      <c r="E1900" s="90"/>
    </row>
    <row r="1901" spans="2:5" ht="12.75" customHeight="1">
      <c r="B1901" s="28"/>
      <c r="C1901" s="90"/>
      <c r="D1901" s="90"/>
      <c r="E1901" s="90"/>
    </row>
    <row r="1902" spans="2:5" ht="12.75" customHeight="1">
      <c r="B1902" s="28"/>
      <c r="C1902" s="90"/>
      <c r="D1902" s="90"/>
      <c r="E1902" s="90"/>
    </row>
    <row r="1903" spans="2:5" ht="12.75" customHeight="1">
      <c r="B1903" s="28"/>
      <c r="C1903" s="90"/>
      <c r="D1903" s="90"/>
      <c r="E1903" s="90"/>
    </row>
    <row r="1904" spans="2:5" ht="12.75" customHeight="1">
      <c r="B1904" s="28"/>
      <c r="C1904" s="90"/>
      <c r="D1904" s="90"/>
      <c r="E1904" s="90"/>
    </row>
    <row r="1905" spans="2:5" ht="12.75" customHeight="1">
      <c r="B1905" s="28"/>
      <c r="C1905" s="90"/>
      <c r="D1905" s="90"/>
      <c r="E1905" s="90"/>
    </row>
    <row r="1906" spans="2:5" ht="12.75" customHeight="1">
      <c r="B1906" s="28"/>
      <c r="C1906" s="90"/>
      <c r="D1906" s="90"/>
      <c r="E1906" s="90"/>
    </row>
    <row r="1907" spans="2:5" ht="12.75" customHeight="1">
      <c r="B1907" s="28"/>
      <c r="C1907" s="90"/>
      <c r="D1907" s="90"/>
      <c r="E1907" s="90"/>
    </row>
    <row r="1908" spans="2:5" ht="12.75" customHeight="1">
      <c r="B1908" s="28"/>
      <c r="C1908" s="90"/>
      <c r="D1908" s="90"/>
      <c r="E1908" s="90"/>
    </row>
    <row r="1909" spans="2:5" ht="12.75" customHeight="1">
      <c r="B1909" s="28"/>
      <c r="C1909" s="90"/>
      <c r="D1909" s="90"/>
      <c r="E1909" s="90"/>
    </row>
    <row r="1910" spans="2:5" ht="12.75" customHeight="1">
      <c r="B1910" s="28"/>
      <c r="C1910" s="90"/>
      <c r="D1910" s="90"/>
      <c r="E1910" s="90"/>
    </row>
    <row r="1911" spans="2:5" ht="12.75" customHeight="1">
      <c r="B1911" s="28"/>
      <c r="C1911" s="90"/>
      <c r="D1911" s="90"/>
      <c r="E1911" s="90"/>
    </row>
    <row r="1912" spans="2:5" ht="12.75" customHeight="1">
      <c r="B1912" s="28"/>
      <c r="C1912" s="90"/>
      <c r="D1912" s="90"/>
      <c r="E1912" s="90"/>
    </row>
    <row r="1913" spans="2:5" ht="12.75" customHeight="1">
      <c r="B1913" s="28"/>
      <c r="C1913" s="90"/>
      <c r="D1913" s="90"/>
      <c r="E1913" s="90"/>
    </row>
    <row r="1914" spans="2:5" ht="12.75" customHeight="1">
      <c r="B1914" s="28"/>
      <c r="C1914" s="90"/>
      <c r="D1914" s="90"/>
      <c r="E1914" s="90"/>
    </row>
    <row r="1915" spans="2:5" ht="12.75" customHeight="1">
      <c r="B1915" s="28"/>
      <c r="C1915" s="90"/>
      <c r="D1915" s="90"/>
      <c r="E1915" s="90"/>
    </row>
    <row r="1916" spans="2:5" ht="12.75" customHeight="1">
      <c r="B1916" s="28"/>
      <c r="C1916" s="90"/>
      <c r="D1916" s="90"/>
      <c r="E1916" s="90"/>
    </row>
    <row r="1917" spans="2:5" ht="12.75" customHeight="1">
      <c r="B1917" s="28"/>
      <c r="C1917" s="90"/>
      <c r="D1917" s="90"/>
      <c r="E1917" s="90"/>
    </row>
    <row r="1918" spans="2:5" ht="12.75" customHeight="1">
      <c r="B1918" s="28"/>
      <c r="C1918" s="90"/>
      <c r="D1918" s="90"/>
      <c r="E1918" s="90"/>
    </row>
    <row r="1919" spans="2:5" ht="12.75" customHeight="1">
      <c r="B1919" s="28"/>
      <c r="C1919" s="90"/>
      <c r="D1919" s="90"/>
      <c r="E1919" s="90"/>
    </row>
    <row r="1920" spans="2:5" ht="12.75" customHeight="1">
      <c r="B1920" s="28"/>
      <c r="C1920" s="90"/>
      <c r="D1920" s="90"/>
      <c r="E1920" s="90"/>
    </row>
    <row r="1921" spans="2:5" ht="12.75" customHeight="1">
      <c r="B1921" s="28"/>
      <c r="C1921" s="90"/>
      <c r="D1921" s="90"/>
      <c r="E1921" s="90"/>
    </row>
    <row r="1922" spans="2:5" ht="12.75" customHeight="1">
      <c r="B1922" s="28"/>
      <c r="C1922" s="90"/>
      <c r="D1922" s="90"/>
      <c r="E1922" s="90"/>
    </row>
    <row r="1923" spans="2:5" ht="12.75" customHeight="1">
      <c r="B1923" s="28"/>
      <c r="C1923" s="90"/>
      <c r="D1923" s="90"/>
      <c r="E1923" s="90"/>
    </row>
    <row r="1924" spans="2:5" ht="12.75" customHeight="1">
      <c r="B1924" s="28"/>
      <c r="C1924" s="90"/>
      <c r="D1924" s="90"/>
      <c r="E1924" s="90"/>
    </row>
    <row r="1925" spans="2:5" ht="12.75" customHeight="1">
      <c r="B1925" s="28"/>
      <c r="C1925" s="90"/>
      <c r="D1925" s="90"/>
      <c r="E1925" s="90"/>
    </row>
    <row r="1926" spans="2:5" ht="12.75" customHeight="1">
      <c r="B1926" s="28"/>
      <c r="C1926" s="90"/>
      <c r="D1926" s="90"/>
      <c r="E1926" s="90"/>
    </row>
    <row r="1927" spans="2:5" ht="12.75" customHeight="1">
      <c r="B1927" s="28"/>
      <c r="C1927" s="90"/>
      <c r="D1927" s="90"/>
      <c r="E1927" s="90"/>
    </row>
    <row r="1928" spans="2:5" ht="12.75" customHeight="1">
      <c r="B1928" s="28"/>
      <c r="C1928" s="90"/>
      <c r="D1928" s="90"/>
      <c r="E1928" s="90"/>
    </row>
    <row r="1929" spans="2:5" ht="12.75" customHeight="1">
      <c r="B1929" s="28"/>
      <c r="C1929" s="90"/>
      <c r="D1929" s="90"/>
      <c r="E1929" s="90"/>
    </row>
    <row r="1930" spans="2:5" ht="12.75" customHeight="1">
      <c r="B1930" s="28"/>
      <c r="C1930" s="90"/>
      <c r="D1930" s="90"/>
      <c r="E1930" s="90"/>
    </row>
    <row r="1931" spans="2:5" ht="12.75" customHeight="1">
      <c r="B1931" s="28"/>
      <c r="C1931" s="90"/>
      <c r="D1931" s="90"/>
      <c r="E1931" s="90"/>
    </row>
    <row r="1932" spans="2:5" ht="12.75" customHeight="1">
      <c r="B1932" s="28"/>
      <c r="C1932" s="90"/>
      <c r="D1932" s="90"/>
      <c r="E1932" s="90"/>
    </row>
    <row r="1933" spans="2:5" ht="12.75" customHeight="1">
      <c r="B1933" s="28"/>
      <c r="C1933" s="90"/>
      <c r="D1933" s="90"/>
      <c r="E1933" s="90"/>
    </row>
    <row r="1934" spans="2:5" ht="12.75" customHeight="1">
      <c r="B1934" s="28"/>
      <c r="C1934" s="90"/>
      <c r="D1934" s="90"/>
      <c r="E1934" s="90"/>
    </row>
    <row r="1935" spans="2:5" ht="12.75" customHeight="1">
      <c r="B1935" s="28"/>
      <c r="C1935" s="90"/>
      <c r="D1935" s="90"/>
      <c r="E1935" s="90"/>
    </row>
    <row r="1936" spans="2:5" ht="12.75" customHeight="1">
      <c r="B1936" s="28"/>
      <c r="C1936" s="90"/>
      <c r="D1936" s="90"/>
      <c r="E1936" s="90"/>
    </row>
    <row r="1937" spans="2:5" ht="12.75" customHeight="1">
      <c r="B1937" s="28"/>
      <c r="C1937" s="90"/>
      <c r="D1937" s="90"/>
      <c r="E1937" s="90"/>
    </row>
    <row r="1938" spans="2:5" ht="12.75" customHeight="1">
      <c r="B1938" s="28"/>
      <c r="C1938" s="90"/>
      <c r="D1938" s="90"/>
      <c r="E1938" s="90"/>
    </row>
    <row r="1939" spans="2:5" ht="12.75" customHeight="1">
      <c r="B1939" s="28"/>
      <c r="C1939" s="90"/>
      <c r="D1939" s="90"/>
      <c r="E1939" s="90"/>
    </row>
    <row r="1940" spans="2:5" ht="12.75" customHeight="1">
      <c r="B1940" s="28"/>
      <c r="C1940" s="90"/>
      <c r="D1940" s="90"/>
      <c r="E1940" s="90"/>
    </row>
    <row r="1941" spans="2:5" ht="12.75" customHeight="1">
      <c r="B1941" s="28"/>
      <c r="C1941" s="90"/>
      <c r="D1941" s="90"/>
      <c r="E1941" s="90"/>
    </row>
    <row r="1942" spans="2:5" ht="12.75" customHeight="1">
      <c r="B1942" s="28"/>
      <c r="C1942" s="90"/>
      <c r="D1942" s="90"/>
      <c r="E1942" s="90"/>
    </row>
    <row r="1943" spans="2:5" ht="12.75" customHeight="1">
      <c r="B1943" s="28"/>
      <c r="C1943" s="90"/>
      <c r="D1943" s="90"/>
      <c r="E1943" s="90"/>
    </row>
    <row r="1944" spans="2:5" ht="12.75" customHeight="1">
      <c r="B1944" s="28"/>
      <c r="C1944" s="90"/>
      <c r="D1944" s="90"/>
      <c r="E1944" s="90"/>
    </row>
    <row r="1945" spans="2:5" ht="12.75" customHeight="1">
      <c r="B1945" s="28"/>
      <c r="C1945" s="90"/>
      <c r="D1945" s="90"/>
      <c r="E1945" s="90"/>
    </row>
    <row r="1946" spans="2:5" ht="12.75" customHeight="1">
      <c r="B1946" s="28"/>
      <c r="C1946" s="90"/>
      <c r="D1946" s="90"/>
      <c r="E1946" s="90"/>
    </row>
    <row r="1947" spans="2:5" ht="12.75" customHeight="1">
      <c r="B1947" s="28"/>
      <c r="C1947" s="90"/>
      <c r="D1947" s="90"/>
      <c r="E1947" s="90"/>
    </row>
    <row r="1948" spans="2:5" ht="12.75" customHeight="1">
      <c r="B1948" s="28"/>
      <c r="C1948" s="90"/>
      <c r="D1948" s="90"/>
      <c r="E1948" s="90"/>
    </row>
    <row r="1949" spans="2:5" ht="12.75" customHeight="1">
      <c r="B1949" s="28"/>
      <c r="C1949" s="90"/>
      <c r="D1949" s="90"/>
      <c r="E1949" s="90"/>
    </row>
    <row r="1950" spans="2:5" ht="12.75" customHeight="1">
      <c r="B1950" s="28"/>
      <c r="C1950" s="90"/>
      <c r="D1950" s="90"/>
      <c r="E1950" s="90"/>
    </row>
    <row r="1951" spans="2:5" ht="12.75" customHeight="1">
      <c r="B1951" s="28"/>
      <c r="C1951" s="90"/>
      <c r="D1951" s="90"/>
      <c r="E1951" s="90"/>
    </row>
    <row r="1952" spans="2:5" ht="12.75" customHeight="1">
      <c r="B1952" s="28"/>
      <c r="C1952" s="90"/>
      <c r="D1952" s="90"/>
      <c r="E1952" s="90"/>
    </row>
    <row r="1953" spans="2:5" ht="12.75" customHeight="1">
      <c r="B1953" s="28"/>
      <c r="C1953" s="90"/>
      <c r="D1953" s="90"/>
      <c r="E1953" s="90"/>
    </row>
    <row r="1954" spans="2:5" ht="12.75" customHeight="1">
      <c r="B1954" s="28"/>
      <c r="C1954" s="90"/>
      <c r="D1954" s="90"/>
      <c r="E1954" s="90"/>
    </row>
    <row r="1955" spans="2:5" ht="12.75" customHeight="1">
      <c r="B1955" s="28"/>
      <c r="C1955" s="90"/>
      <c r="D1955" s="90"/>
      <c r="E1955" s="90"/>
    </row>
    <row r="1956" spans="2:5" ht="12.75" customHeight="1">
      <c r="B1956" s="28"/>
      <c r="C1956" s="90"/>
      <c r="D1956" s="90"/>
      <c r="E1956" s="90"/>
    </row>
    <row r="1957" spans="2:5" ht="12.75" customHeight="1">
      <c r="B1957" s="28"/>
      <c r="C1957" s="90"/>
      <c r="D1957" s="90"/>
      <c r="E1957" s="90"/>
    </row>
    <row r="1958" spans="2:5" ht="12.75" customHeight="1">
      <c r="B1958" s="28"/>
      <c r="C1958" s="90"/>
      <c r="D1958" s="90"/>
      <c r="E1958" s="90"/>
    </row>
    <row r="1959" spans="2:5" ht="12.75" customHeight="1">
      <c r="B1959" s="28"/>
      <c r="C1959" s="90"/>
      <c r="D1959" s="90"/>
      <c r="E1959" s="90"/>
    </row>
    <row r="1960" spans="2:5" ht="12.75" customHeight="1">
      <c r="B1960" s="28"/>
      <c r="C1960" s="90"/>
      <c r="D1960" s="90"/>
      <c r="E1960" s="90"/>
    </row>
    <row r="1961" spans="2:5" ht="12.75" customHeight="1">
      <c r="B1961" s="28"/>
      <c r="C1961" s="90"/>
      <c r="D1961" s="90"/>
      <c r="E1961" s="90"/>
    </row>
    <row r="1962" spans="2:5" ht="12.75" customHeight="1">
      <c r="B1962" s="28"/>
      <c r="C1962" s="90"/>
      <c r="D1962" s="90"/>
      <c r="E1962" s="90"/>
    </row>
    <row r="1963" spans="2:5" ht="12.75" customHeight="1">
      <c r="B1963" s="28"/>
      <c r="C1963" s="90"/>
      <c r="D1963" s="90"/>
      <c r="E1963" s="90"/>
    </row>
    <row r="1964" spans="2:5" ht="12.75" customHeight="1">
      <c r="B1964" s="28"/>
      <c r="C1964" s="90"/>
      <c r="D1964" s="90"/>
      <c r="E1964" s="90"/>
    </row>
    <row r="1965" spans="2:5" ht="12.75" customHeight="1">
      <c r="B1965" s="28"/>
      <c r="C1965" s="90"/>
      <c r="D1965" s="90"/>
      <c r="E1965" s="90"/>
    </row>
    <row r="1966" spans="2:5" ht="12.75" customHeight="1">
      <c r="B1966" s="28"/>
      <c r="C1966" s="90"/>
      <c r="D1966" s="90"/>
      <c r="E1966" s="90"/>
    </row>
    <row r="1967" spans="2:5" ht="12.75" customHeight="1">
      <c r="B1967" s="28"/>
      <c r="C1967" s="90"/>
      <c r="D1967" s="90"/>
      <c r="E1967" s="90"/>
    </row>
    <row r="1968" spans="2:5" ht="12.75" customHeight="1">
      <c r="B1968" s="28"/>
      <c r="C1968" s="90"/>
      <c r="D1968" s="90"/>
      <c r="E1968" s="90"/>
    </row>
    <row r="1969" spans="2:5" ht="12.75" customHeight="1">
      <c r="B1969" s="28"/>
      <c r="C1969" s="90"/>
      <c r="D1969" s="90"/>
      <c r="E1969" s="90"/>
    </row>
    <row r="1970" spans="2:5" ht="12.75" customHeight="1">
      <c r="B1970" s="28"/>
      <c r="C1970" s="90"/>
      <c r="D1970" s="90"/>
      <c r="E1970" s="90"/>
    </row>
    <row r="1971" spans="2:5" ht="12.75" customHeight="1">
      <c r="B1971" s="28"/>
      <c r="C1971" s="90"/>
      <c r="D1971" s="90"/>
      <c r="E1971" s="90"/>
    </row>
    <row r="1972" spans="2:5" ht="12.75" customHeight="1">
      <c r="B1972" s="28"/>
      <c r="C1972" s="90"/>
      <c r="D1972" s="90"/>
      <c r="E1972" s="90"/>
    </row>
    <row r="1973" spans="2:5" ht="12.75" customHeight="1">
      <c r="B1973" s="28"/>
      <c r="C1973" s="90"/>
      <c r="D1973" s="90"/>
      <c r="E1973" s="90"/>
    </row>
  </sheetData>
  <sheetProtection password="CCBC" sheet="1" objects="1" scenarios="1"/>
  <mergeCells count="6">
    <mergeCell ref="B8:C8"/>
    <mergeCell ref="V2:W2"/>
    <mergeCell ref="T2:U2"/>
    <mergeCell ref="B7:C7"/>
    <mergeCell ref="H3:K3"/>
    <mergeCell ref="M3:P3"/>
  </mergeCells>
  <conditionalFormatting sqref="D22:D40 D7:D8 D18:D19 C18:C40 C47:D56 C41:D43 F18:F40 F44:F56">
    <cfRule type="expression" priority="1" dxfId="0" stopIfTrue="1">
      <formula>$B$2=TRUE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0" r:id="rId1"/>
  <headerFooter alignWithMargins="0">
    <oddHeader>&amp;L&amp;"Arial,Vet"Bijlage 1 bij circulaire JHYM/xxxx/CI/06/xxc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0">
    <tabColor indexed="50"/>
    <pageSetUpPr fitToPage="1"/>
  </sheetPr>
  <dimension ref="A1:V106"/>
  <sheetViews>
    <sheetView showGridLines="0" showRowColHeaders="0" showZeros="0" showOutlineSymbols="0" view="pageBreakPreview" zoomScale="75" zoomScaleNormal="75" zoomScaleSheetLayoutView="75" workbookViewId="0" topLeftCell="A1">
      <selection activeCell="A1" sqref="A1"/>
    </sheetView>
  </sheetViews>
  <sheetFormatPr defaultColWidth="9.140625" defaultRowHeight="12.75" customHeight="1"/>
  <cols>
    <col min="1" max="1" width="6.28125" style="2" bestFit="1" customWidth="1"/>
    <col min="2" max="2" width="34.8515625" style="7" customWidth="1"/>
    <col min="3" max="9" width="11.7109375" style="7" customWidth="1"/>
    <col min="10" max="10" width="12.28125" style="7" bestFit="1" customWidth="1"/>
    <col min="11" max="11" width="11.28125" style="7" bestFit="1" customWidth="1"/>
    <col min="12" max="17" width="11.7109375" style="7" customWidth="1"/>
    <col min="18" max="16384" width="9.140625" style="7" customWidth="1"/>
  </cols>
  <sheetData>
    <row r="1" spans="2:14" ht="12.75" customHeight="1">
      <c r="B1" s="2" t="s">
        <v>271</v>
      </c>
      <c r="C1" s="12"/>
      <c r="D1" s="12"/>
      <c r="E1" s="12"/>
      <c r="F1" s="12"/>
      <c r="G1" s="12"/>
      <c r="H1" s="37"/>
      <c r="I1" s="37"/>
      <c r="J1" s="12"/>
      <c r="K1" s="12"/>
      <c r="L1" s="12"/>
      <c r="M1" s="12"/>
      <c r="N1" s="12"/>
    </row>
    <row r="2" spans="2:14" ht="12.75" customHeight="1">
      <c r="B2" s="72" t="b">
        <f>Blad1!A25</f>
        <v>1</v>
      </c>
      <c r="C2" s="12"/>
      <c r="D2" s="12"/>
      <c r="E2" s="12"/>
      <c r="F2" s="12"/>
      <c r="G2" s="12"/>
      <c r="H2" s="37"/>
      <c r="I2" s="37"/>
      <c r="J2" s="12"/>
      <c r="K2" s="12"/>
      <c r="L2" s="12"/>
      <c r="M2" s="12"/>
      <c r="N2" s="12"/>
    </row>
    <row r="3" spans="3:17" ht="12.75" customHeight="1">
      <c r="C3" s="73" t="s">
        <v>9</v>
      </c>
      <c r="D3" s="74" t="s">
        <v>153</v>
      </c>
      <c r="E3" s="73" t="s">
        <v>272</v>
      </c>
      <c r="F3" s="73" t="s">
        <v>126</v>
      </c>
      <c r="G3" s="74" t="s">
        <v>272</v>
      </c>
      <c r="H3" s="406" t="str">
        <f>CONCATENATE("nacalculatie ",Blad1!B3-1)</f>
        <v>nacalculatie 2005</v>
      </c>
      <c r="I3" s="407"/>
      <c r="J3" s="407"/>
      <c r="K3" s="408"/>
      <c r="L3" s="73" t="s">
        <v>185</v>
      </c>
      <c r="M3" s="409" t="str">
        <f>CONCATENATE("Productieafspraken ",Blad1!B3)</f>
        <v>Productieafspraken 2006</v>
      </c>
      <c r="N3" s="410"/>
      <c r="O3" s="410"/>
      <c r="P3" s="411"/>
      <c r="Q3" s="73" t="s">
        <v>185</v>
      </c>
    </row>
    <row r="4" spans="3:17" ht="12.75" customHeight="1">
      <c r="C4" s="75">
        <f>Blad1!$B$3-1</f>
        <v>2005</v>
      </c>
      <c r="D4" s="75">
        <f>Blad1!$B$3-1</f>
        <v>2005</v>
      </c>
      <c r="E4" s="75">
        <f>Blad1!$B$3-1</f>
        <v>2005</v>
      </c>
      <c r="F4" s="75">
        <f>Blad1!$B$3</f>
        <v>2006</v>
      </c>
      <c r="G4" s="76">
        <f>Blad1!$B$3</f>
        <v>2006</v>
      </c>
      <c r="H4" s="78" t="s">
        <v>161</v>
      </c>
      <c r="I4" s="79"/>
      <c r="J4" s="80" t="s">
        <v>272</v>
      </c>
      <c r="K4" s="81" t="s">
        <v>272</v>
      </c>
      <c r="L4" s="75">
        <f>Blad1!$B$3-1</f>
        <v>2005</v>
      </c>
      <c r="M4" s="78" t="s">
        <v>161</v>
      </c>
      <c r="N4" s="79"/>
      <c r="O4" s="80" t="s">
        <v>162</v>
      </c>
      <c r="P4" s="80" t="s">
        <v>162</v>
      </c>
      <c r="Q4" s="75">
        <f>Blad1!$B$3</f>
        <v>2006</v>
      </c>
    </row>
    <row r="5" spans="3:17" ht="12.75" customHeight="1">
      <c r="C5" s="9"/>
      <c r="D5" s="9"/>
      <c r="E5" s="9"/>
      <c r="F5" s="171"/>
      <c r="G5" s="9"/>
      <c r="H5" s="82" t="s">
        <v>77</v>
      </c>
      <c r="I5" s="82" t="s">
        <v>78</v>
      </c>
      <c r="J5" s="83" t="s">
        <v>77</v>
      </c>
      <c r="K5" s="83" t="s">
        <v>78</v>
      </c>
      <c r="L5" s="16"/>
      <c r="M5" s="82" t="s">
        <v>77</v>
      </c>
      <c r="N5" s="82" t="s">
        <v>78</v>
      </c>
      <c r="O5" s="83" t="s">
        <v>77</v>
      </c>
      <c r="P5" s="83" t="s">
        <v>78</v>
      </c>
      <c r="Q5" s="16"/>
    </row>
    <row r="6" spans="2:17" ht="12.75" customHeight="1">
      <c r="B6" s="10"/>
      <c r="C6" s="8"/>
      <c r="D6" s="8"/>
      <c r="E6" s="8"/>
      <c r="F6" s="8"/>
      <c r="G6" s="8"/>
      <c r="H6" s="17"/>
      <c r="I6" s="17"/>
      <c r="J6" s="8"/>
      <c r="K6" s="8"/>
      <c r="L6" s="8"/>
      <c r="M6" s="8"/>
      <c r="N6" s="8"/>
      <c r="O6" s="8"/>
      <c r="P6" s="8"/>
      <c r="Q6" s="8"/>
    </row>
    <row r="7" spans="1:17" ht="12.75" customHeight="1">
      <c r="A7" s="367">
        <f>R65*100+1</f>
        <v>401</v>
      </c>
      <c r="B7" s="10" t="s">
        <v>182</v>
      </c>
      <c r="C7" s="8"/>
      <c r="D7" s="8"/>
      <c r="E7" s="8"/>
      <c r="F7" s="8"/>
      <c r="G7" s="8"/>
      <c r="H7" s="17" t="s">
        <v>199</v>
      </c>
      <c r="I7" s="17"/>
      <c r="J7" s="117">
        <f>Blad3!J58</f>
        <v>0</v>
      </c>
      <c r="K7" s="117">
        <f>Blad3!K58</f>
        <v>0</v>
      </c>
      <c r="L7" s="117">
        <f>Blad3!L58</f>
        <v>0</v>
      </c>
      <c r="M7" s="90"/>
      <c r="N7" s="90"/>
      <c r="O7" s="117">
        <f>Blad3!O58</f>
        <v>0</v>
      </c>
      <c r="P7" s="117">
        <f>Blad3!P58</f>
        <v>0</v>
      </c>
      <c r="Q7" s="117">
        <f>Blad3!Q58</f>
        <v>0</v>
      </c>
    </row>
    <row r="8" spans="1:22" ht="12.75" customHeight="1">
      <c r="A8" s="368"/>
      <c r="B8" s="10"/>
      <c r="C8" s="8"/>
      <c r="D8" s="8"/>
      <c r="E8" s="8"/>
      <c r="F8" s="8"/>
      <c r="G8" s="8"/>
      <c r="H8" s="17"/>
      <c r="I8" s="17"/>
      <c r="J8" s="8"/>
      <c r="K8" s="8"/>
      <c r="L8" s="8"/>
      <c r="M8" s="8"/>
      <c r="N8" s="8"/>
      <c r="O8" s="8"/>
      <c r="P8" s="8"/>
      <c r="Q8" s="8"/>
      <c r="S8" s="177"/>
      <c r="T8" s="177"/>
      <c r="U8" s="177"/>
      <c r="V8" s="177"/>
    </row>
    <row r="9" spans="1:5" ht="12.75" customHeight="1">
      <c r="A9" s="368"/>
      <c r="B9" s="10"/>
      <c r="C9" s="10"/>
      <c r="D9" s="10"/>
      <c r="E9" s="10"/>
    </row>
    <row r="10" spans="1:17" ht="12.75" customHeight="1">
      <c r="A10" s="367">
        <f>A7+1</f>
        <v>402</v>
      </c>
      <c r="B10" s="99" t="s">
        <v>384</v>
      </c>
      <c r="C10" s="379"/>
      <c r="D10" s="379"/>
      <c r="E10" s="138">
        <f>C10-D10</f>
        <v>0</v>
      </c>
      <c r="F10" s="379"/>
      <c r="G10" s="103">
        <f>F10-C10</f>
        <v>0</v>
      </c>
      <c r="H10" s="109">
        <f>Blad14!C42</f>
        <v>4706</v>
      </c>
      <c r="I10" s="109">
        <f>Blad14!D42</f>
        <v>1208</v>
      </c>
      <c r="J10" s="139">
        <f>ROUND(E10*ROUND(H10*Blad3!$Y$4,0),0)</f>
        <v>0</v>
      </c>
      <c r="K10" s="138">
        <f>ROUND(E10*ROUND(I10*Blad3!$Z$4,0),0)</f>
        <v>0</v>
      </c>
      <c r="L10" s="138">
        <f>ROUND(C10*ROUND(H10*Blad3!$Y$4,0),0)+ROUND(C10*ROUND(I10*Blad3!$Z$4,0),0)</f>
        <v>0</v>
      </c>
      <c r="M10" s="109">
        <f>Blad14!E42</f>
        <v>4749.02</v>
      </c>
      <c r="N10" s="109">
        <f>Blad14!F42</f>
        <v>1225.64</v>
      </c>
      <c r="O10" s="138">
        <f>ROUND(($F10)*ROUND(M10*Blad3!$AA$5,2),0)</f>
        <v>0</v>
      </c>
      <c r="P10" s="138">
        <f>ROUND(($F10)*ROUND(N10*Blad3!$AB$5,2),0)</f>
        <v>0</v>
      </c>
      <c r="Q10" s="138">
        <f>ROUND(F10*ROUND(M10*Blad3!$AA$5,2),0)+ROUND(F10*ROUND(N10*Blad3!$AB$5,2),0)</f>
        <v>0</v>
      </c>
    </row>
    <row r="11" spans="1:17" ht="12.75" customHeight="1">
      <c r="A11" s="367">
        <f aca="true" t="shared" si="0" ref="A11:A16">A10+1</f>
        <v>403</v>
      </c>
      <c r="B11" s="99" t="s">
        <v>385</v>
      </c>
      <c r="C11" s="379"/>
      <c r="D11" s="379"/>
      <c r="E11" s="138">
        <f aca="true" t="shared" si="1" ref="E11:E16">C11-D11</f>
        <v>0</v>
      </c>
      <c r="F11" s="379"/>
      <c r="G11" s="103">
        <f aca="true" t="shared" si="2" ref="G11:G54">F11-C11</f>
        <v>0</v>
      </c>
      <c r="H11" s="109">
        <f>Blad14!C43</f>
        <v>59639</v>
      </c>
      <c r="I11" s="109">
        <f>Blad14!D43</f>
        <v>16167</v>
      </c>
      <c r="J11" s="139">
        <f>ROUND(E11*ROUND(H11*Blad3!$Y$4,0),0)</f>
        <v>0</v>
      </c>
      <c r="K11" s="138">
        <f>ROUND(E11*ROUND(I11*Blad3!$Z$4,0),0)</f>
        <v>0</v>
      </c>
      <c r="L11" s="138">
        <f>ROUND(C11*ROUND(H11*Blad3!$Y$4,0),0)+ROUND(C11*ROUND(I11*Blad3!$Z$4,0),0)</f>
        <v>0</v>
      </c>
      <c r="M11" s="109">
        <f>Blad14!E43</f>
        <v>60187.65</v>
      </c>
      <c r="N11" s="109">
        <f>Blad14!F43</f>
        <v>16396.26</v>
      </c>
      <c r="O11" s="138">
        <f>ROUND(($F11)*ROUND(M11*Blad3!$AA$5,2),0)</f>
        <v>0</v>
      </c>
      <c r="P11" s="138">
        <f>ROUND(($F11)*ROUND(N11*Blad3!$AB$5,2),0)</f>
        <v>0</v>
      </c>
      <c r="Q11" s="138">
        <f>ROUND(F11*ROUND(M11*Blad3!$AA$5,2),0)+ROUND(F11*ROUND(N11*Blad3!$AB$5,2),0)</f>
        <v>0</v>
      </c>
    </row>
    <row r="12" spans="1:17" ht="12.75" customHeight="1">
      <c r="A12" s="367">
        <f t="shared" si="0"/>
        <v>404</v>
      </c>
      <c r="B12" s="99" t="s">
        <v>386</v>
      </c>
      <c r="C12" s="379"/>
      <c r="D12" s="379"/>
      <c r="E12" s="138">
        <f t="shared" si="1"/>
        <v>0</v>
      </c>
      <c r="F12" s="379"/>
      <c r="G12" s="103">
        <f t="shared" si="2"/>
        <v>0</v>
      </c>
      <c r="H12" s="109">
        <f>Blad14!C44</f>
        <v>21919</v>
      </c>
      <c r="I12" s="109">
        <f>Blad14!D44</f>
        <v>5461</v>
      </c>
      <c r="J12" s="139">
        <f>ROUND(E12*ROUND(H12*Blad3!$Y$4,0),0)</f>
        <v>0</v>
      </c>
      <c r="K12" s="138">
        <f>ROUND(E12*ROUND(I12*Blad3!$Z$4,0),0)</f>
        <v>0</v>
      </c>
      <c r="L12" s="138">
        <f>ROUND(C12*ROUND(H12*Blad3!$Y$4,0),0)+ROUND(C12*ROUND(I12*Blad3!$Z$4,0),0)</f>
        <v>0</v>
      </c>
      <c r="M12" s="109">
        <f>Blad14!E44</f>
        <v>22120.33</v>
      </c>
      <c r="N12" s="109">
        <f>Blad14!F44</f>
        <v>5538.42</v>
      </c>
      <c r="O12" s="138">
        <f>ROUND(($F12)*ROUND(M12*Blad3!$AA$5,2),0)</f>
        <v>0</v>
      </c>
      <c r="P12" s="138">
        <f>ROUND(($F12)*ROUND(N12*Blad3!$AB$5,2),0)</f>
        <v>0</v>
      </c>
      <c r="Q12" s="138">
        <f>ROUND(F12*ROUND(M12*Blad3!$AA$5,2),0)+ROUND(F12*ROUND(N12*Blad3!$AB$5,2),0)</f>
        <v>0</v>
      </c>
    </row>
    <row r="13" spans="1:17" ht="12.75" customHeight="1">
      <c r="A13" s="367">
        <f t="shared" si="0"/>
        <v>405</v>
      </c>
      <c r="B13" s="99" t="s">
        <v>387</v>
      </c>
      <c r="C13" s="379"/>
      <c r="D13" s="379"/>
      <c r="E13" s="138">
        <f t="shared" si="1"/>
        <v>0</v>
      </c>
      <c r="F13" s="379"/>
      <c r="G13" s="103">
        <f t="shared" si="2"/>
        <v>0</v>
      </c>
      <c r="H13" s="109">
        <f>Blad14!C45</f>
        <v>7611</v>
      </c>
      <c r="I13" s="109">
        <f>Blad14!D45</f>
        <v>41282</v>
      </c>
      <c r="J13" s="139">
        <f>ROUND(E13*ROUND(H13*Blad3!$Y$4,0),0)</f>
        <v>0</v>
      </c>
      <c r="K13" s="138">
        <f>ROUND(E13*ROUND(I13*Blad3!$Z$4,0),0)</f>
        <v>0</v>
      </c>
      <c r="L13" s="138">
        <f>ROUND(C13*ROUND(H13*Blad3!$Y$4,0),0)+ROUND(C13*ROUND(I13*Blad3!$Z$4,0),0)</f>
        <v>0</v>
      </c>
      <c r="M13" s="109">
        <f>Blad14!E45</f>
        <v>7680.73</v>
      </c>
      <c r="N13" s="109">
        <f>Blad14!F45</f>
        <v>41868.51</v>
      </c>
      <c r="O13" s="138">
        <f>ROUND(($F13)*ROUND(M13*Blad3!$AA$5,2),0)</f>
        <v>0</v>
      </c>
      <c r="P13" s="138">
        <f>ROUND(($F13)*ROUND(N13*Blad3!$AB$5,2),0)</f>
        <v>0</v>
      </c>
      <c r="Q13" s="138">
        <f>ROUND(F13*ROUND(M13*Blad3!$AA$5,2),0)+ROUND(F13*ROUND(N13*Blad3!$AB$5,2),0)</f>
        <v>0</v>
      </c>
    </row>
    <row r="14" spans="1:17" ht="12.75" customHeight="1">
      <c r="A14" s="367">
        <f t="shared" si="0"/>
        <v>406</v>
      </c>
      <c r="B14" s="99" t="s">
        <v>388</v>
      </c>
      <c r="C14" s="379"/>
      <c r="D14" s="379"/>
      <c r="E14" s="138">
        <f t="shared" si="1"/>
        <v>0</v>
      </c>
      <c r="F14" s="379"/>
      <c r="G14" s="103">
        <f t="shared" si="2"/>
        <v>0</v>
      </c>
      <c r="H14" s="109">
        <f>Blad14!C46</f>
        <v>1731</v>
      </c>
      <c r="I14" s="109">
        <f>Blad14!D46</f>
        <v>1286</v>
      </c>
      <c r="J14" s="139">
        <f>ROUND(E14*ROUND(H14*Blad3!$Y$4,0),0)</f>
        <v>0</v>
      </c>
      <c r="K14" s="138">
        <f>ROUND(E14*ROUND(I14*Blad3!$Z$4,0),0)</f>
        <v>0</v>
      </c>
      <c r="L14" s="138">
        <f>ROUND(C14*ROUND(H14*Blad3!$Y$4,0),0)+ROUND(C14*ROUND(I14*Blad3!$Z$4,0),0)</f>
        <v>0</v>
      </c>
      <c r="M14" s="109">
        <f>Blad14!E46</f>
        <v>1747.42</v>
      </c>
      <c r="N14" s="109">
        <f>Blad14!F46</f>
        <v>1304.03</v>
      </c>
      <c r="O14" s="138">
        <f>ROUND(($F14)*ROUND(M14*Blad3!$AA$5,2),0)</f>
        <v>0</v>
      </c>
      <c r="P14" s="138">
        <f>ROUND(($F14)*ROUND(N14*Blad3!$AB$5,2),0)</f>
        <v>0</v>
      </c>
      <c r="Q14" s="138">
        <f>ROUND(F14*ROUND(M14*Blad3!$AA$5,2),0)+ROUND(F14*ROUND(N14*Blad3!$AB$5,2),0)</f>
        <v>0</v>
      </c>
    </row>
    <row r="15" spans="1:17" ht="12.75" customHeight="1">
      <c r="A15" s="367">
        <f t="shared" si="0"/>
        <v>407</v>
      </c>
      <c r="B15" s="99" t="s">
        <v>389</v>
      </c>
      <c r="C15" s="379"/>
      <c r="D15" s="379"/>
      <c r="E15" s="138">
        <f t="shared" si="1"/>
        <v>0</v>
      </c>
      <c r="F15" s="379"/>
      <c r="G15" s="103">
        <f t="shared" si="2"/>
        <v>0</v>
      </c>
      <c r="H15" s="109">
        <f>Blad14!C47</f>
        <v>6249</v>
      </c>
      <c r="I15" s="109">
        <f>Blad14!D47</f>
        <v>33979</v>
      </c>
      <c r="J15" s="139">
        <f>ROUND(E15*ROUND(H15*Blad3!$Y$4,0),0)</f>
        <v>0</v>
      </c>
      <c r="K15" s="138">
        <f>ROUND(E15*ROUND(I15*Blad3!$Z$4,0),0)</f>
        <v>0</v>
      </c>
      <c r="L15" s="138">
        <f>ROUND(C15*ROUND(H15*Blad3!$Y$4,0),0)+ROUND(C15*ROUND(I15*Blad3!$Z$4,0),0)</f>
        <v>0</v>
      </c>
      <c r="M15" s="109">
        <f>Blad14!E47</f>
        <v>6306.53</v>
      </c>
      <c r="N15" s="109">
        <f>Blad14!F47</f>
        <v>34461.15</v>
      </c>
      <c r="O15" s="138">
        <f>ROUND(($F15)*ROUND(M15*Blad3!$AA$5,2),0)</f>
        <v>0</v>
      </c>
      <c r="P15" s="138">
        <f>ROUND(($F15)*ROUND(N15*Blad3!$AB$5,2),0)</f>
        <v>0</v>
      </c>
      <c r="Q15" s="138">
        <f>ROUND(F15*ROUND(M15*Blad3!$AA$5,2),0)+ROUND(F15*ROUND(N15*Blad3!$AB$5,2),0)</f>
        <v>0</v>
      </c>
    </row>
    <row r="16" spans="1:17" ht="12.75" customHeight="1">
      <c r="A16" s="367">
        <f t="shared" si="0"/>
        <v>408</v>
      </c>
      <c r="B16" s="99" t="s">
        <v>390</v>
      </c>
      <c r="C16" s="379"/>
      <c r="D16" s="379"/>
      <c r="E16" s="138">
        <f t="shared" si="1"/>
        <v>0</v>
      </c>
      <c r="F16" s="379"/>
      <c r="G16" s="103">
        <f t="shared" si="2"/>
        <v>0</v>
      </c>
      <c r="H16" s="109">
        <f>Blad14!C48</f>
        <v>1138</v>
      </c>
      <c r="I16" s="109">
        <f>Blad14!D48</f>
        <v>1686</v>
      </c>
      <c r="J16" s="139">
        <f>ROUND(E16*ROUND(H16*Blad3!$Y$4,0),0)</f>
        <v>0</v>
      </c>
      <c r="K16" s="138">
        <f>ROUND(E16*ROUND(I16*Blad3!$Z$4,0),0)</f>
        <v>0</v>
      </c>
      <c r="L16" s="138">
        <f>ROUND(C16*ROUND(H16*Blad3!$Y$4,0),0)+ROUND(C16*ROUND(I16*Blad3!$Z$4,0),0)</f>
        <v>0</v>
      </c>
      <c r="M16" s="109">
        <f>Blad14!E48</f>
        <v>1148.68</v>
      </c>
      <c r="N16" s="109">
        <f>Blad14!F48</f>
        <v>1709.69</v>
      </c>
      <c r="O16" s="138">
        <f>ROUND(($F16)*ROUND(M16*Blad3!$AA$5,2),0)</f>
        <v>0</v>
      </c>
      <c r="P16" s="138">
        <f>ROUND(($F16)*ROUND(N16*Blad3!$AB$5,2),0)</f>
        <v>0</v>
      </c>
      <c r="Q16" s="138">
        <f>ROUND(F16*ROUND(M16*Blad3!$AA$5,2),0)+ROUND(F16*ROUND(N16*Blad3!$AB$5,2),0)</f>
        <v>0</v>
      </c>
    </row>
    <row r="17" spans="1:17" ht="12.75" customHeight="1">
      <c r="A17" s="367">
        <f>A16+1</f>
        <v>409</v>
      </c>
      <c r="B17" s="99" t="s">
        <v>148</v>
      </c>
      <c r="C17" s="379"/>
      <c r="D17" s="379"/>
      <c r="E17" s="138">
        <f aca="true" t="shared" si="3" ref="E17:E24">C17-D17</f>
        <v>0</v>
      </c>
      <c r="F17" s="379"/>
      <c r="G17" s="103">
        <f t="shared" si="2"/>
        <v>0</v>
      </c>
      <c r="H17" s="109">
        <f>Blad14!C49</f>
        <v>0</v>
      </c>
      <c r="I17" s="109">
        <f>Blad14!D49</f>
        <v>14346</v>
      </c>
      <c r="J17" s="139">
        <f>ROUND(E17*ROUND(H17*Blad3!$Y$4,0),0)</f>
        <v>0</v>
      </c>
      <c r="K17" s="138">
        <f>ROUND(E17*ROUND(I17*Blad3!$Z$4,0),0)</f>
        <v>0</v>
      </c>
      <c r="L17" s="138">
        <f>ROUND(C17*ROUND(H17*Blad3!$Y$4,0),0)+ROUND(C17*ROUND(I17*Blad3!$Z$4,0),0)</f>
        <v>0</v>
      </c>
      <c r="M17" s="109">
        <f>Blad14!E49</f>
        <v>0</v>
      </c>
      <c r="N17" s="109">
        <f>Blad14!F49</f>
        <v>14550</v>
      </c>
      <c r="O17" s="138">
        <f>ROUND(($F17)*ROUND(M17*Blad3!$AA$5,2),0)</f>
        <v>0</v>
      </c>
      <c r="P17" s="138">
        <f>ROUND(($F17)*ROUND(N17*Blad3!$AB$5,2),0)</f>
        <v>0</v>
      </c>
      <c r="Q17" s="138">
        <f>ROUND(F17*ROUND(M17*Blad3!$AA$5,2),0)+ROUND(F17*ROUND(N17*Blad3!$AB$5,2),0)</f>
        <v>0</v>
      </c>
    </row>
    <row r="18" spans="1:17" ht="12.75" customHeight="1">
      <c r="A18" s="367">
        <f>A17+1</f>
        <v>410</v>
      </c>
      <c r="B18" s="99" t="s">
        <v>149</v>
      </c>
      <c r="C18" s="379"/>
      <c r="D18" s="379"/>
      <c r="E18" s="138">
        <f t="shared" si="3"/>
        <v>0</v>
      </c>
      <c r="F18" s="379"/>
      <c r="G18" s="103">
        <f t="shared" si="2"/>
        <v>0</v>
      </c>
      <c r="H18" s="109">
        <f>Blad14!C50</f>
        <v>0</v>
      </c>
      <c r="I18" s="109">
        <f>Blad14!D50</f>
        <v>12268</v>
      </c>
      <c r="J18" s="139">
        <f>ROUND(E18*ROUND(H18*Blad3!$Y$4,0),0)</f>
        <v>0</v>
      </c>
      <c r="K18" s="138">
        <f>ROUND(E18*ROUND(I18*Blad3!$Z$4,0),0)</f>
        <v>0</v>
      </c>
      <c r="L18" s="138">
        <f>ROUND(C18*ROUND(H18*Blad3!$Y$4,0),0)+ROUND(C18*ROUND(I18*Blad3!$Z$4,0),0)</f>
        <v>0</v>
      </c>
      <c r="M18" s="109">
        <f>Blad14!E50</f>
        <v>0</v>
      </c>
      <c r="N18" s="109">
        <f>Blad14!F50</f>
        <v>12443.18</v>
      </c>
      <c r="O18" s="138">
        <f>ROUND(($F18)*ROUND(M18*Blad3!$AA$5,2),0)</f>
        <v>0</v>
      </c>
      <c r="P18" s="138">
        <f>ROUND(($F18)*ROUND(N18*Blad3!$AB$5,2),0)</f>
        <v>0</v>
      </c>
      <c r="Q18" s="138">
        <f>ROUND(F18*ROUND(M18*Blad3!$AA$5,2),0)+ROUND(F18*ROUND(N18*Blad3!$AB$5,2),0)</f>
        <v>0</v>
      </c>
    </row>
    <row r="19" spans="1:17" ht="12.75" customHeight="1">
      <c r="A19" s="367">
        <f aca="true" t="shared" si="4" ref="A19:A48">A18+1</f>
        <v>411</v>
      </c>
      <c r="B19" s="99" t="s">
        <v>150</v>
      </c>
      <c r="C19" s="379"/>
      <c r="D19" s="379"/>
      <c r="E19" s="138">
        <f t="shared" si="3"/>
        <v>0</v>
      </c>
      <c r="F19" s="379"/>
      <c r="G19" s="103">
        <f t="shared" si="2"/>
        <v>0</v>
      </c>
      <c r="H19" s="109">
        <f>Blad14!C51</f>
        <v>0</v>
      </c>
      <c r="I19" s="109">
        <f>Blad14!D51</f>
        <v>20489</v>
      </c>
      <c r="J19" s="139">
        <f>ROUND(E19*ROUND(H19*Blad3!$Y$4,0),0)</f>
        <v>0</v>
      </c>
      <c r="K19" s="138">
        <f>ROUND(E19*ROUND(I19*Blad3!$Z$4,0),0)</f>
        <v>0</v>
      </c>
      <c r="L19" s="138">
        <f>ROUND(C19*ROUND(H19*Blad3!$Y$4,0),0)+ROUND(C19*ROUND(I19*Blad3!$Z$4,0),0)</f>
        <v>0</v>
      </c>
      <c r="M19" s="109">
        <f>Blad14!E51</f>
        <v>0</v>
      </c>
      <c r="N19" s="109">
        <f>Blad14!F51</f>
        <v>20780.53</v>
      </c>
      <c r="O19" s="138">
        <f>ROUND(($F19)*ROUND(M19*Blad3!$AA$5,2),0)</f>
        <v>0</v>
      </c>
      <c r="P19" s="138">
        <f>ROUND(($F19)*ROUND(N19*Blad3!$AB$5,2),0)</f>
        <v>0</v>
      </c>
      <c r="Q19" s="138">
        <f>ROUND(F19*ROUND(M19*Blad3!$AA$5,2),0)+ROUND(F19*ROUND(N19*Blad3!$AB$5,2),0)</f>
        <v>0</v>
      </c>
    </row>
    <row r="20" spans="1:17" ht="12.75" customHeight="1">
      <c r="A20" s="367">
        <f t="shared" si="4"/>
        <v>412</v>
      </c>
      <c r="B20" s="99" t="s">
        <v>151</v>
      </c>
      <c r="C20" s="379"/>
      <c r="D20" s="379"/>
      <c r="E20" s="138">
        <f t="shared" si="3"/>
        <v>0</v>
      </c>
      <c r="F20" s="379"/>
      <c r="G20" s="103">
        <f t="shared" si="2"/>
        <v>0</v>
      </c>
      <c r="H20" s="109">
        <f>Blad14!C52</f>
        <v>0</v>
      </c>
      <c r="I20" s="109">
        <f>Blad14!D52</f>
        <v>9815</v>
      </c>
      <c r="J20" s="139">
        <f>ROUND(E20*ROUND(H20*Blad3!$Y$4,0),0)</f>
        <v>0</v>
      </c>
      <c r="K20" s="138">
        <f>ROUND(E20*ROUND(I20*Blad3!$Z$4,0),0)</f>
        <v>0</v>
      </c>
      <c r="L20" s="138">
        <f>ROUND(C20*ROUND(H20*Blad3!$Y$4,0),0)+ROUND(C20*ROUND(I20*Blad3!$Z$4,0),0)</f>
        <v>0</v>
      </c>
      <c r="M20" s="109">
        <f>Blad14!E52</f>
        <v>0</v>
      </c>
      <c r="N20" s="109">
        <f>Blad14!F52</f>
        <v>9954.33</v>
      </c>
      <c r="O20" s="138">
        <f>ROUND(($F20)*ROUND(M20*Blad3!$AA$5,2),0)</f>
        <v>0</v>
      </c>
      <c r="P20" s="138">
        <f>ROUND(($F20)*ROUND(N20*Blad3!$AB$5,2),0)</f>
        <v>0</v>
      </c>
      <c r="Q20" s="138">
        <f>ROUND(F20*ROUND(M20*Blad3!$AA$5,2),0)+ROUND(F20*ROUND(N20*Blad3!$AB$5,2),0)</f>
        <v>0</v>
      </c>
    </row>
    <row r="21" spans="1:17" ht="12.75" customHeight="1">
      <c r="A21" s="367">
        <f t="shared" si="4"/>
        <v>413</v>
      </c>
      <c r="B21" s="99" t="s">
        <v>152</v>
      </c>
      <c r="C21" s="379"/>
      <c r="D21" s="379"/>
      <c r="E21" s="138">
        <f t="shared" si="3"/>
        <v>0</v>
      </c>
      <c r="F21" s="379"/>
      <c r="G21" s="103">
        <f t="shared" si="2"/>
        <v>0</v>
      </c>
      <c r="H21" s="109">
        <f>Blad14!C53</f>
        <v>0</v>
      </c>
      <c r="I21" s="109">
        <f>Blad14!D53</f>
        <v>15458.64</v>
      </c>
      <c r="J21" s="139">
        <f>ROUND(E21*ROUND(H21*Blad3!$Y$4,2),0)</f>
        <v>0</v>
      </c>
      <c r="K21" s="138">
        <f>ROUND(E21*ROUND(I21*Blad3!$Z$4,2),0)</f>
        <v>0</v>
      </c>
      <c r="L21" s="138">
        <f>ROUND(C21*ROUND(H21*Blad3!$Y$4,2),0)+ROUND(C21*ROUND(I21*Blad3!$Z$4,2),0)</f>
        <v>0</v>
      </c>
      <c r="M21" s="109">
        <f>Blad14!E53</f>
        <v>0</v>
      </c>
      <c r="N21" s="109">
        <f>Blad14!F53</f>
        <v>15678.15</v>
      </c>
      <c r="O21" s="138">
        <f>ROUND(($F21)*ROUND(M21*Blad3!$AA$5,2),0)</f>
        <v>0</v>
      </c>
      <c r="P21" s="138">
        <f>ROUND(($F21)*ROUND(N21*Blad3!$AB$5,2),0)</f>
        <v>0</v>
      </c>
      <c r="Q21" s="138">
        <f>ROUND(F21*ROUND(M21*Blad3!$AA$5,2),0)+ROUND(F21*ROUND(N21*Blad3!$AB$5,2),0)</f>
        <v>0</v>
      </c>
    </row>
    <row r="22" spans="1:17" ht="12.75" customHeight="1">
      <c r="A22" s="367">
        <f t="shared" si="4"/>
        <v>414</v>
      </c>
      <c r="B22" s="99" t="s">
        <v>200</v>
      </c>
      <c r="C22" s="379"/>
      <c r="D22" s="379"/>
      <c r="E22" s="138">
        <f t="shared" si="3"/>
        <v>0</v>
      </c>
      <c r="F22" s="379"/>
      <c r="G22" s="103">
        <f t="shared" si="2"/>
        <v>0</v>
      </c>
      <c r="H22" s="109">
        <f>Blad14!C54</f>
        <v>0</v>
      </c>
      <c r="I22" s="109">
        <f>Blad14!D54</f>
        <v>11979.9</v>
      </c>
      <c r="J22" s="139">
        <f>ROUND(E22*ROUND(H22*Blad3!$Y$4,2),0)</f>
        <v>0</v>
      </c>
      <c r="K22" s="138">
        <f>ROUND(E22*ROUND(I22*Blad3!$Z$4,2),0)</f>
        <v>0</v>
      </c>
      <c r="L22" s="138">
        <f>ROUND(C22*ROUND(H22*Blad3!$Y$4,2),0)+ROUND(C22*ROUND(I22*Blad3!$Z$4,2),0)</f>
        <v>0</v>
      </c>
      <c r="M22" s="109">
        <f>Blad14!E54</f>
        <v>0</v>
      </c>
      <c r="N22" s="109">
        <f>Blad14!F54</f>
        <v>12150.01</v>
      </c>
      <c r="O22" s="138">
        <f>ROUND(($F22)*ROUND(M22*Blad3!$AA$5,2),0)</f>
        <v>0</v>
      </c>
      <c r="P22" s="138">
        <f>ROUND(($F22)*ROUND(N22*Blad3!$AB$5,2),0)</f>
        <v>0</v>
      </c>
      <c r="Q22" s="138">
        <f>ROUND(F22*ROUND(M22*Blad3!$AA$5,2),0)+ROUND(F22*ROUND(N22*Blad3!$AB$5,2),0)</f>
        <v>0</v>
      </c>
    </row>
    <row r="23" spans="1:17" ht="12.75" customHeight="1">
      <c r="A23" s="367">
        <f t="shared" si="4"/>
        <v>415</v>
      </c>
      <c r="B23" s="99" t="s">
        <v>201</v>
      </c>
      <c r="C23" s="379"/>
      <c r="D23" s="379"/>
      <c r="E23" s="138">
        <f t="shared" si="3"/>
        <v>0</v>
      </c>
      <c r="F23" s="379"/>
      <c r="G23" s="103">
        <f t="shared" si="2"/>
        <v>0</v>
      </c>
      <c r="H23" s="109">
        <f>Blad14!C55</f>
        <v>0</v>
      </c>
      <c r="I23" s="109">
        <f>Blad14!D55</f>
        <v>9664.46</v>
      </c>
      <c r="J23" s="139">
        <f>ROUND(E23*ROUND(H23*Blad3!$Y$4,2),0)</f>
        <v>0</v>
      </c>
      <c r="K23" s="138">
        <f>ROUND(E23*ROUND(I23*Blad3!$Z$4,2),0)</f>
        <v>0</v>
      </c>
      <c r="L23" s="138">
        <f>ROUND(C23*ROUND(H23*Blad3!$Y$4,2),0)+ROUND(C23*ROUND(I23*Blad3!$Z$4,2),0)</f>
        <v>0</v>
      </c>
      <c r="M23" s="109">
        <f>Blad14!E55</f>
        <v>0</v>
      </c>
      <c r="N23" s="109">
        <f>Blad14!F55</f>
        <v>9801.7</v>
      </c>
      <c r="O23" s="138">
        <f>ROUND(($F23)*ROUND(M23*Blad3!$AA$5,2),0)</f>
        <v>0</v>
      </c>
      <c r="P23" s="138">
        <f>ROUND(($F23)*ROUND(N23*Blad3!$AB$5,2),0)</f>
        <v>0</v>
      </c>
      <c r="Q23" s="138">
        <f>ROUND(F23*ROUND(M23*Blad3!$AA$5,2),0)+ROUND(F23*ROUND(N23*Blad3!$AB$5,2),0)</f>
        <v>0</v>
      </c>
    </row>
    <row r="24" spans="1:17" ht="12.75" customHeight="1">
      <c r="A24" s="367">
        <f t="shared" si="4"/>
        <v>416</v>
      </c>
      <c r="B24" s="99" t="s">
        <v>146</v>
      </c>
      <c r="C24" s="379"/>
      <c r="D24" s="379"/>
      <c r="E24" s="140">
        <f t="shared" si="3"/>
        <v>0</v>
      </c>
      <c r="F24" s="379"/>
      <c r="G24" s="103">
        <f t="shared" si="2"/>
        <v>0</v>
      </c>
      <c r="H24" s="109">
        <f>Blad14!C56</f>
        <v>9736</v>
      </c>
      <c r="I24" s="109">
        <f>Blad14!D56</f>
        <v>5392</v>
      </c>
      <c r="J24" s="139">
        <f>ROUND(E24*ROUND(H24*Blad3!$Y$4,2),0)</f>
        <v>0</v>
      </c>
      <c r="K24" s="138">
        <f>ROUND(E24*ROUND(I24*Blad3!$Z$4,2),0)</f>
        <v>0</v>
      </c>
      <c r="L24" s="138">
        <f>ROUND(C24*ROUND(H24*Blad3!$Y$4,2),0)+ROUND(C24*ROUND(I24*Blad3!$Z$4,2),0)</f>
        <v>0</v>
      </c>
      <c r="M24" s="109">
        <f>Blad14!E56</f>
        <v>9825.61</v>
      </c>
      <c r="N24" s="109">
        <f>Blad14!F56</f>
        <v>5469.32</v>
      </c>
      <c r="O24" s="138">
        <f>ROUND(($F24)*ROUND(M24*Blad3!$AA$5,2),0)</f>
        <v>0</v>
      </c>
      <c r="P24" s="138">
        <f>ROUND(($F24)*ROUND(N24*Blad3!$AB$5,2),0)</f>
        <v>0</v>
      </c>
      <c r="Q24" s="138">
        <f>ROUND(F24*ROUND(M24*Blad3!$AA$5,2),0)+ROUND(F24*ROUND(N24*Blad3!$AB$5,2),0)</f>
        <v>0</v>
      </c>
    </row>
    <row r="25" spans="1:17" ht="12.75" customHeight="1">
      <c r="A25" s="367">
        <f>A24+1</f>
        <v>417</v>
      </c>
      <c r="B25" s="99" t="s">
        <v>525</v>
      </c>
      <c r="C25" s="379"/>
      <c r="D25" s="379"/>
      <c r="E25" s="140">
        <f>C25-D25</f>
        <v>0</v>
      </c>
      <c r="F25" s="379"/>
      <c r="G25" s="103">
        <f t="shared" si="2"/>
        <v>0</v>
      </c>
      <c r="H25" s="109">
        <f>Blad14!C57</f>
        <v>3062</v>
      </c>
      <c r="I25" s="109">
        <f>Blad14!D57</f>
        <v>1864</v>
      </c>
      <c r="J25" s="139">
        <f>ROUND(E25*ROUND(H25*Blad3!$Y$4,2),0)</f>
        <v>0</v>
      </c>
      <c r="K25" s="138">
        <f>ROUND(E25*ROUND(I25*Blad3!$Z$4,2),0)</f>
        <v>0</v>
      </c>
      <c r="L25" s="138">
        <f>ROUND(C25*ROUND(H25*Blad3!$Y$4,2),0)+ROUND(C25*ROUND(I25*Blad3!$Z$4,2),0)</f>
        <v>0</v>
      </c>
      <c r="M25" s="109">
        <f>Blad14!E57</f>
        <v>3089.96</v>
      </c>
      <c r="N25" s="109">
        <f>Blad14!F57</f>
        <v>1890.1</v>
      </c>
      <c r="O25" s="138">
        <f>ROUND(($F25)*ROUND(M25*Blad3!$AA$5,2),0)</f>
        <v>0</v>
      </c>
      <c r="P25" s="138">
        <f>ROUND(($F25)*ROUND(N25*Blad3!$AB$5,2),0)</f>
        <v>0</v>
      </c>
      <c r="Q25" s="138">
        <f>ROUND(F25*ROUND(M25*Blad3!$AA$5,2),0)+ROUND(F25*ROUND(N25*Blad3!$AB$5,2),0)</f>
        <v>0</v>
      </c>
    </row>
    <row r="26" spans="1:17" ht="12.75" customHeight="1">
      <c r="A26" s="367">
        <f>A25+1</f>
        <v>418</v>
      </c>
      <c r="B26" s="99" t="s">
        <v>333</v>
      </c>
      <c r="C26" s="379"/>
      <c r="D26" s="380"/>
      <c r="E26" s="141">
        <f>(IF(C26&lt;1000,0,C26-1000))-(IF(D26&lt;1000,0,D26-1000))</f>
        <v>0</v>
      </c>
      <c r="F26" s="380"/>
      <c r="G26" s="103">
        <f>IF(F26&lt;1000,IF(C26&lt;1000,0,1000-C26),IF(C26&lt;1000,F26-1000,F26-C26))</f>
        <v>0</v>
      </c>
      <c r="H26" s="144">
        <f>Blad14!C58</f>
        <v>651.77</v>
      </c>
      <c r="I26" s="109">
        <f>Blad14!D58</f>
        <v>67.99</v>
      </c>
      <c r="J26" s="139">
        <f>ROUND(E26*ROUND(H26*Blad3!$Y$4,2),0)</f>
        <v>0</v>
      </c>
      <c r="K26" s="138">
        <f>ROUND(E26*ROUND(I26*Blad3!$Z$4,2),0)</f>
        <v>0</v>
      </c>
      <c r="L26" s="138">
        <f>ROUND(IF(C26&lt;1000,0,C26-1000)*ROUND(H26*Blad3!$Y$4,2),0)+ROUND(IF(C26&lt;1000,0,C26-1000)*ROUND(I26*Blad3!$Z$4,2),0)</f>
        <v>0</v>
      </c>
      <c r="M26" s="109">
        <f>Blad14!E58</f>
        <v>859</v>
      </c>
      <c r="N26" s="109">
        <f>Blad14!F58</f>
        <v>91</v>
      </c>
      <c r="O26" s="138">
        <f>ROUND(IF(F26&lt;1000,0,F26-1000)*ROUND(M26*Blad3!$AA$5,2),0)</f>
        <v>0</v>
      </c>
      <c r="P26" s="138">
        <f>ROUND(IF(F26&lt;1000,0,F26-1000)*ROUND(N26*Blad3!$AB$5,2),0)</f>
        <v>0</v>
      </c>
      <c r="Q26" s="138">
        <f>ROUND(IF(F26&lt;1000,0,F26-1000)*ROUND(M26*Blad3!$AA$5,2),0)+ROUND(IF(F26&lt;1000,0,F26-1000)*ROUND(N26*Blad3!$AB$5,2),0)</f>
        <v>0</v>
      </c>
    </row>
    <row r="27" spans="1:17" ht="12.75" customHeight="1">
      <c r="A27" s="367">
        <f t="shared" si="4"/>
        <v>419</v>
      </c>
      <c r="B27" s="99" t="s">
        <v>360</v>
      </c>
      <c r="C27" s="379"/>
      <c r="D27" s="90"/>
      <c r="E27" s="90">
        <f>(IF(C27&lt;1000,0,C27-1000))-(IF(D27&lt;1000,0,D27-1000))</f>
        <v>0</v>
      </c>
      <c r="F27" s="379"/>
      <c r="G27" s="103">
        <f t="shared" si="2"/>
        <v>0</v>
      </c>
      <c r="H27" s="109">
        <f>Blad14!C59</f>
        <v>0</v>
      </c>
      <c r="I27" s="109">
        <f>Blad14!D59</f>
        <v>0</v>
      </c>
      <c r="J27" s="139">
        <f>ROUND((E27)*ROUND(H27*Blad3!$Y$4,2),0)</f>
        <v>0</v>
      </c>
      <c r="K27" s="138">
        <f>ROUND((E27)*ROUND(I27*Blad3!$Z$4,2),0)</f>
        <v>0</v>
      </c>
      <c r="L27" s="138">
        <f>ROUND(C27*ROUND(H27*Blad3!$Y$4,2),0)+ROUND(C27*ROUND(I27*Blad3!$Z$4,2),0)</f>
        <v>0</v>
      </c>
      <c r="M27" s="109">
        <f>Blad14!E59</f>
        <v>8510</v>
      </c>
      <c r="N27" s="109">
        <f>Blad14!F59</f>
        <v>12624</v>
      </c>
      <c r="O27" s="138">
        <f>ROUND(($G27)*ROUND(M27*Blad3!$AA$5,2),0)</f>
        <v>0</v>
      </c>
      <c r="P27" s="138">
        <f>ROUND(($G27)*ROUND(N27*Blad3!$AB$5,2),0)</f>
        <v>0</v>
      </c>
      <c r="Q27" s="138">
        <f>ROUND(G27*ROUND(M27*Blad3!$AA$5,2),0)+ROUND(G27*ROUND(N27*Blad3!$AB$5,2),0)</f>
        <v>0</v>
      </c>
    </row>
    <row r="28" spans="1:17" ht="12.75" customHeight="1">
      <c r="A28" s="367">
        <f t="shared" si="4"/>
        <v>420</v>
      </c>
      <c r="B28" s="99" t="s">
        <v>19</v>
      </c>
      <c r="C28" s="379"/>
      <c r="D28" s="379"/>
      <c r="E28" s="138">
        <f aca="true" t="shared" si="5" ref="E28:E54">C28-D28</f>
        <v>0</v>
      </c>
      <c r="F28" s="379"/>
      <c r="G28" s="103">
        <f t="shared" si="2"/>
        <v>0</v>
      </c>
      <c r="H28" s="109">
        <f>Blad14!J14</f>
        <v>408.71</v>
      </c>
      <c r="I28" s="109">
        <f>Blad14!K14</f>
        <v>264.8</v>
      </c>
      <c r="J28" s="139">
        <f>ROUND(E28*ROUND(H28*Blad3!$Y$4,2),0)</f>
        <v>0</v>
      </c>
      <c r="K28" s="138">
        <f>ROUND(E28*ROUND(I28*Blad3!$Z$4,2),0)</f>
        <v>0</v>
      </c>
      <c r="L28" s="138">
        <f>ROUND(C28*ROUND(H28*Blad3!$Y$4,2),0)+ROUND(C28*ROUND(I28*Blad3!$Z$4,2),0)</f>
        <v>0</v>
      </c>
      <c r="M28" s="109">
        <f>Blad14!L14</f>
        <v>412.47</v>
      </c>
      <c r="N28" s="109">
        <f>Blad14!M14</f>
        <v>268.56</v>
      </c>
      <c r="O28" s="138">
        <f>ROUND(($F28)*ROUND(M28*Blad3!$AA$5,2),0)</f>
        <v>0</v>
      </c>
      <c r="P28" s="138">
        <f>ROUND(($F28)*ROUND(N28*Blad3!$AB$5,2),0)</f>
        <v>0</v>
      </c>
      <c r="Q28" s="138">
        <f>ROUND(F28*ROUND(M28*Blad3!$AA$5,2),0)+ROUND(F28*ROUND(N28*Blad3!$AB$5,2),0)</f>
        <v>0</v>
      </c>
    </row>
    <row r="29" spans="1:17" ht="12.75" customHeight="1">
      <c r="A29" s="367">
        <f t="shared" si="4"/>
        <v>421</v>
      </c>
      <c r="B29" s="99" t="s">
        <v>20</v>
      </c>
      <c r="C29" s="379"/>
      <c r="D29" s="379"/>
      <c r="E29" s="138">
        <f t="shared" si="5"/>
        <v>0</v>
      </c>
      <c r="F29" s="379"/>
      <c r="G29" s="103">
        <f t="shared" si="2"/>
        <v>0</v>
      </c>
      <c r="H29" s="109">
        <f>Blad14!J29</f>
        <v>63.74</v>
      </c>
      <c r="I29" s="109">
        <f>Blad14!K29</f>
        <v>9.93</v>
      </c>
      <c r="J29" s="139">
        <f>ROUND(E29*ROUND(H29*Blad3!$Y$4,2),0)</f>
        <v>0</v>
      </c>
      <c r="K29" s="138">
        <f>ROUND(E29*ROUND(I29*Blad3!$Z$4,2),0)</f>
        <v>0</v>
      </c>
      <c r="L29" s="138">
        <f>ROUND(C29*ROUND(H29*Blad3!$Y$4,2),0)+ROUND(C29*ROUND(I29*Blad3!$Z$4,2),0)</f>
        <v>0</v>
      </c>
      <c r="M29" s="109">
        <f>Blad14!L29</f>
        <v>64.33</v>
      </c>
      <c r="N29" s="109">
        <f>Blad14!M29</f>
        <v>10.07</v>
      </c>
      <c r="O29" s="138">
        <f>ROUND(($F29)*ROUND(M29*Blad3!$AA$5,2),0)</f>
        <v>0</v>
      </c>
      <c r="P29" s="138">
        <f>ROUND(($F29)*ROUND(N29*Blad3!$AB$5,2),0)</f>
        <v>0</v>
      </c>
      <c r="Q29" s="138">
        <f>ROUND(F29*ROUND(M29*Blad3!$AA$5,2),0)+ROUND(F29*ROUND(N29*Blad3!$AB$5,2),0)</f>
        <v>0</v>
      </c>
    </row>
    <row r="30" spans="1:17" ht="12.75" customHeight="1">
      <c r="A30" s="367">
        <f t="shared" si="4"/>
        <v>422</v>
      </c>
      <c r="B30" s="99" t="s">
        <v>141</v>
      </c>
      <c r="C30" s="13"/>
      <c r="D30" s="379"/>
      <c r="E30" s="138">
        <f t="shared" si="5"/>
        <v>0</v>
      </c>
      <c r="F30" s="13"/>
      <c r="G30" s="103">
        <f t="shared" si="2"/>
        <v>0</v>
      </c>
      <c r="H30" s="136">
        <f>Blad14!J30</f>
        <v>1.028</v>
      </c>
      <c r="I30" s="136">
        <f>Blad14!K30</f>
        <v>0.243</v>
      </c>
      <c r="J30" s="139">
        <f>ROUND(E30*H30,0)</f>
        <v>0</v>
      </c>
      <c r="K30" s="138">
        <f>ROUND(E30*I30,0)</f>
        <v>0</v>
      </c>
      <c r="L30" s="138">
        <f>ROUND(C30*H30,0)+ROUND(C30*I30,0)</f>
        <v>0</v>
      </c>
      <c r="M30" s="13">
        <f>Blad14!L30</f>
        <v>0</v>
      </c>
      <c r="N30" s="13">
        <f>Blad14!M30</f>
        <v>0</v>
      </c>
      <c r="O30" s="13">
        <f>ROUND(($F30)*ROUND(M30*Blad3!$AA$5,2),0)</f>
        <v>0</v>
      </c>
      <c r="P30" s="13">
        <f>ROUND(($F30)*ROUND(N30*Blad3!$AB$5,2),0)</f>
        <v>0</v>
      </c>
      <c r="Q30" s="13">
        <f>ROUND(F30*ROUND(M30*Blad3!$AA$5,2),0)+ROUND(F30*ROUND(N30*Blad3!$AB$5,2),0)</f>
        <v>0</v>
      </c>
    </row>
    <row r="31" spans="1:17" ht="12.75" customHeight="1">
      <c r="A31" s="367">
        <f t="shared" si="4"/>
        <v>423</v>
      </c>
      <c r="B31" s="97" t="s">
        <v>353</v>
      </c>
      <c r="C31" s="379"/>
      <c r="D31" s="379"/>
      <c r="E31" s="138">
        <f>C31-D31</f>
        <v>0</v>
      </c>
      <c r="F31" s="379"/>
      <c r="G31" s="103">
        <f t="shared" si="2"/>
        <v>0</v>
      </c>
      <c r="H31" s="109">
        <f>Blad14!J31</f>
        <v>176.3</v>
      </c>
      <c r="I31" s="109">
        <f>Blad14!K31</f>
        <v>41.67</v>
      </c>
      <c r="J31" s="139">
        <f>ROUND(E31*ROUND(H31*Blad3!$Y$4,2),0)</f>
        <v>0</v>
      </c>
      <c r="K31" s="138">
        <f>ROUND(E31*ROUND(I31*Blad3!$Z$4,2),0)</f>
        <v>0</v>
      </c>
      <c r="L31" s="138">
        <f>ROUND(C31*ROUND(H31*Blad3!$Y$4,2),0)+ROUND(C31*ROUND(I31*Blad3!$Z$4,2),0)</f>
        <v>0</v>
      </c>
      <c r="M31" s="109">
        <f>Blad14!L31</f>
        <v>177.92</v>
      </c>
      <c r="N31" s="109">
        <f>Blad14!M31</f>
        <v>42.26</v>
      </c>
      <c r="O31" s="138">
        <f>ROUND(($F31)*ROUND(M31*Blad3!$AA$5,2),0)</f>
        <v>0</v>
      </c>
      <c r="P31" s="138">
        <f>ROUND(($F31)*ROUND(N31*Blad3!$AB$5,2),0)</f>
        <v>0</v>
      </c>
      <c r="Q31" s="138">
        <f>ROUND(F31*ROUND(M31*Blad3!$AA$5,2),0)+ROUND(F31*ROUND(N31*Blad3!$AB$5,2),0)</f>
        <v>0</v>
      </c>
    </row>
    <row r="32" spans="1:17" ht="12.75" customHeight="1">
      <c r="A32" s="367">
        <f t="shared" si="4"/>
        <v>424</v>
      </c>
      <c r="B32" s="97" t="s">
        <v>354</v>
      </c>
      <c r="C32" s="379"/>
      <c r="D32" s="379"/>
      <c r="E32" s="138">
        <f>C32-D32</f>
        <v>0</v>
      </c>
      <c r="F32" s="379"/>
      <c r="G32" s="103">
        <f t="shared" si="2"/>
        <v>0</v>
      </c>
      <c r="H32" s="109">
        <f>Blad14!J32</f>
        <v>95.81</v>
      </c>
      <c r="I32" s="109">
        <f>Blad14!K32</f>
        <v>22.65</v>
      </c>
      <c r="J32" s="139">
        <f>ROUND(E32*ROUND(H32*Blad3!$Y$4,2),0)</f>
        <v>0</v>
      </c>
      <c r="K32" s="138">
        <f>ROUND(E32*ROUND(I32*Blad3!$Z$4,2),0)</f>
        <v>0</v>
      </c>
      <c r="L32" s="138">
        <f>ROUND(C32*ROUND(H32*Blad3!$Y$4,2),0)+ROUND(C32*ROUND(I32*Blad3!$Z$4,2),0)</f>
        <v>0</v>
      </c>
      <c r="M32" s="109">
        <f>Blad14!L32</f>
        <v>96.69</v>
      </c>
      <c r="N32" s="109">
        <f>Blad14!M32</f>
        <v>22.97</v>
      </c>
      <c r="O32" s="138">
        <f>ROUND(($F32)*ROUND(M32*Blad3!$AA$5,2),0)</f>
        <v>0</v>
      </c>
      <c r="P32" s="138">
        <f>ROUND(($F32)*ROUND(N32*Blad3!$AB$5,2),0)</f>
        <v>0</v>
      </c>
      <c r="Q32" s="138">
        <f>ROUND(F32*ROUND(M32*Blad3!$AA$5,2),0)+ROUND(F32*ROUND(N32*Blad3!$AB$5,2),0)</f>
        <v>0</v>
      </c>
    </row>
    <row r="33" spans="1:17" ht="12.75" customHeight="1">
      <c r="A33" s="367">
        <f t="shared" si="4"/>
        <v>425</v>
      </c>
      <c r="B33" s="97" t="s">
        <v>415</v>
      </c>
      <c r="C33" s="379"/>
      <c r="D33" s="379"/>
      <c r="E33" s="138">
        <f>C33-D33</f>
        <v>0</v>
      </c>
      <c r="F33" s="379"/>
      <c r="G33" s="103">
        <f t="shared" si="2"/>
        <v>0</v>
      </c>
      <c r="H33" s="109">
        <f>Blad14!J33</f>
        <v>221.02</v>
      </c>
      <c r="I33" s="109">
        <f>Blad14!K33</f>
        <v>52.25</v>
      </c>
      <c r="J33" s="139">
        <f>ROUND(E33*ROUND(H33*Blad3!$Y$4,2),0)</f>
        <v>0</v>
      </c>
      <c r="K33" s="138">
        <f>ROUND(E33*ROUND(I33*Blad3!$Z$4,2),0)</f>
        <v>0</v>
      </c>
      <c r="L33" s="138">
        <f>ROUND(C33*ROUND(H33*Blad3!$Y$4,2),0)+ROUND(C33*ROUND(I33*Blad3!$Z$4,2),0)</f>
        <v>0</v>
      </c>
      <c r="M33" s="109">
        <f>Blad14!L33</f>
        <v>223.05</v>
      </c>
      <c r="N33" s="109">
        <f>Blad14!M33</f>
        <v>52.99</v>
      </c>
      <c r="O33" s="138">
        <f>ROUND(($F33)*ROUND(M33*Blad3!$AA$5,2),0)</f>
        <v>0</v>
      </c>
      <c r="P33" s="138">
        <f>ROUND(($F33)*ROUND(N33*Blad3!$AB$5,2),0)</f>
        <v>0</v>
      </c>
      <c r="Q33" s="138">
        <f>ROUND(F33*ROUND(M33*Blad3!$AA$5,2),0)+ROUND(F33*ROUND(N33*Blad3!$AB$5,2),0)</f>
        <v>0</v>
      </c>
    </row>
    <row r="34" spans="1:17" ht="12.75" customHeight="1">
      <c r="A34" s="367">
        <f t="shared" si="4"/>
        <v>426</v>
      </c>
      <c r="B34" s="97" t="s">
        <v>416</v>
      </c>
      <c r="C34" s="379"/>
      <c r="D34" s="379"/>
      <c r="E34" s="138">
        <f>C34-D34</f>
        <v>0</v>
      </c>
      <c r="F34" s="379"/>
      <c r="G34" s="103">
        <f t="shared" si="2"/>
        <v>0</v>
      </c>
      <c r="H34" s="109">
        <f>Blad14!J34</f>
        <v>440.5</v>
      </c>
      <c r="I34" s="109">
        <f>Blad14!K34</f>
        <v>104.13</v>
      </c>
      <c r="J34" s="139">
        <f>ROUND(E34*ROUND(H34*Blad3!$Y$4,2),0)</f>
        <v>0</v>
      </c>
      <c r="K34" s="138">
        <f>ROUND(E34*ROUND(I34*Blad3!$Z$4,2),0)</f>
        <v>0</v>
      </c>
      <c r="L34" s="138">
        <f>ROUND(C34*ROUND(H34*Blad3!$Y$4,2),0)+ROUND(C34*ROUND(I34*Blad3!$Z$4,2),0)</f>
        <v>0</v>
      </c>
      <c r="M34" s="109">
        <f>Blad14!L34</f>
        <v>444.55</v>
      </c>
      <c r="N34" s="109">
        <f>Blad14!M34</f>
        <v>105.61</v>
      </c>
      <c r="O34" s="138">
        <f>ROUND(($F34)*ROUND(M34*Blad3!$AA$5,2),0)</f>
        <v>0</v>
      </c>
      <c r="P34" s="138">
        <f>ROUND(($F34)*ROUND(N34*Blad3!$AB$5,2),0)</f>
        <v>0</v>
      </c>
      <c r="Q34" s="138">
        <f>ROUND(F34*ROUND(M34*Blad3!$AA$5,2),0)+ROUND(F34*ROUND(N34*Blad3!$AB$5,2),0)</f>
        <v>0</v>
      </c>
    </row>
    <row r="35" spans="1:17" ht="12.75" customHeight="1">
      <c r="A35" s="367">
        <f t="shared" si="4"/>
        <v>427</v>
      </c>
      <c r="B35" s="97" t="s">
        <v>357</v>
      </c>
      <c r="C35" s="379"/>
      <c r="D35" s="379"/>
      <c r="E35" s="138">
        <f>C35-D35</f>
        <v>0</v>
      </c>
      <c r="F35" s="379"/>
      <c r="G35" s="103">
        <f t="shared" si="2"/>
        <v>0</v>
      </c>
      <c r="H35" s="109">
        <f>Blad14!J35</f>
        <v>797.73</v>
      </c>
      <c r="I35" s="109">
        <f>Blad14!K35</f>
        <v>188.57</v>
      </c>
      <c r="J35" s="139">
        <f>ROUND(E35*ROUND(H35*Blad3!$Y$4,2),0)</f>
        <v>0</v>
      </c>
      <c r="K35" s="138">
        <f>ROUND(E35*ROUND(I35*Blad3!$Z$4,2),0)</f>
        <v>0</v>
      </c>
      <c r="L35" s="138">
        <f>ROUND(C35*ROUND(H35*Blad3!$Y$4,2),0)+ROUND(C35*ROUND(I35*Blad3!$Z$4,2),0)</f>
        <v>0</v>
      </c>
      <c r="M35" s="109">
        <f>Blad14!L35</f>
        <v>805.07</v>
      </c>
      <c r="N35" s="109">
        <f>Blad14!M35</f>
        <v>191.25</v>
      </c>
      <c r="O35" s="138">
        <f>ROUND(($F35)*ROUND(M35*Blad3!$AA$5,2),0)</f>
        <v>0</v>
      </c>
      <c r="P35" s="138">
        <f>ROUND(($F35)*ROUND(N35*Blad3!$AB$5,2),0)</f>
        <v>0</v>
      </c>
      <c r="Q35" s="138">
        <f>ROUND(F35*ROUND(M35*Blad3!$AA$5,2),0)+ROUND(F35*ROUND(N35*Blad3!$AB$5,2),0)</f>
        <v>0</v>
      </c>
    </row>
    <row r="36" spans="1:17" ht="12.75" customHeight="1">
      <c r="A36" s="367">
        <f t="shared" si="4"/>
        <v>428</v>
      </c>
      <c r="B36" s="99" t="s">
        <v>194</v>
      </c>
      <c r="C36" s="379"/>
      <c r="D36" s="379"/>
      <c r="E36" s="138">
        <f t="shared" si="5"/>
        <v>0</v>
      </c>
      <c r="F36" s="379"/>
      <c r="G36" s="103">
        <f t="shared" si="2"/>
        <v>0</v>
      </c>
      <c r="H36" s="109">
        <f>Blad14!J15</f>
        <v>1046.79</v>
      </c>
      <c r="I36" s="109">
        <f>Blad14!K15</f>
        <v>67.02</v>
      </c>
      <c r="J36" s="139">
        <f>ROUND(E36*ROUND(H36*Blad3!$Y$4,2),0)</f>
        <v>0</v>
      </c>
      <c r="K36" s="138">
        <f>ROUND(E36*ROUND(I36*Blad3!$Z$4,2),0)</f>
        <v>0</v>
      </c>
      <c r="L36" s="138">
        <f>ROUND(C36*ROUND(H36*Blad3!$Y$4,2),0)+ROUND(C36*ROUND(I36*Blad3!$Z$4,2),0)</f>
        <v>0</v>
      </c>
      <c r="M36" s="109">
        <f>Blad14!L15</f>
        <v>1056.42</v>
      </c>
      <c r="N36" s="109">
        <f>Blad14!M15</f>
        <v>67.97</v>
      </c>
      <c r="O36" s="138">
        <f>ROUND(($F36)*ROUND(M36*Blad3!$AA$5,2),0)</f>
        <v>0</v>
      </c>
      <c r="P36" s="138">
        <f>ROUND(($F36)*ROUND(N36*Blad3!$AB$5,2),0)</f>
        <v>0</v>
      </c>
      <c r="Q36" s="138">
        <f>ROUND(F36*ROUND(M36*Blad3!$AA$5,2),0)+ROUND(F36*ROUND(N36*Blad3!$AB$5,2),0)</f>
        <v>0</v>
      </c>
    </row>
    <row r="37" spans="1:17" ht="12.75" customHeight="1">
      <c r="A37" s="367">
        <f t="shared" si="4"/>
        <v>429</v>
      </c>
      <c r="B37" s="99" t="s">
        <v>195</v>
      </c>
      <c r="C37" s="379"/>
      <c r="D37" s="379"/>
      <c r="E37" s="138">
        <f t="shared" si="5"/>
        <v>0</v>
      </c>
      <c r="F37" s="379"/>
      <c r="G37" s="103">
        <f t="shared" si="2"/>
        <v>0</v>
      </c>
      <c r="H37" s="109">
        <f>Blad14!J16</f>
        <v>35.48</v>
      </c>
      <c r="I37" s="109">
        <f>Blad14!K16</f>
        <v>19.4</v>
      </c>
      <c r="J37" s="139">
        <f>ROUND(E37*ROUND(H37*Blad3!$Y$4,2),0)</f>
        <v>0</v>
      </c>
      <c r="K37" s="138">
        <f>ROUND(E37*ROUND(I37*Blad3!$Z$4,2),0)</f>
        <v>0</v>
      </c>
      <c r="L37" s="138">
        <f>ROUND(C37*ROUND(H37*Blad3!$Y$4,2),0)+ROUND(C37*ROUND(I37*Blad3!$Z$4,2),0)</f>
        <v>0</v>
      </c>
      <c r="M37" s="109">
        <f>Blad14!L16</f>
        <v>35.81</v>
      </c>
      <c r="N37" s="109">
        <f>Blad14!M16</f>
        <v>19.68</v>
      </c>
      <c r="O37" s="138">
        <f>ROUND(($F37)*ROUND(M37*Blad3!$AA$5,2),0)</f>
        <v>0</v>
      </c>
      <c r="P37" s="138">
        <f>ROUND(($F37)*ROUND(N37*Blad3!$AB$5,2),0)</f>
        <v>0</v>
      </c>
      <c r="Q37" s="138">
        <f>ROUND(F37*ROUND(M37*Blad3!$AA$5,2),0)+ROUND(F37*ROUND(N37*Blad3!$AB$5,2),0)</f>
        <v>0</v>
      </c>
    </row>
    <row r="38" spans="1:17" ht="12.75" customHeight="1">
      <c r="A38" s="367">
        <f t="shared" si="4"/>
        <v>430</v>
      </c>
      <c r="B38" s="99" t="s">
        <v>196</v>
      </c>
      <c r="C38" s="379"/>
      <c r="D38" s="379"/>
      <c r="E38" s="138">
        <f t="shared" si="5"/>
        <v>0</v>
      </c>
      <c r="F38" s="379"/>
      <c r="G38" s="103">
        <f t="shared" si="2"/>
        <v>0</v>
      </c>
      <c r="H38" s="109">
        <f>Blad14!J17</f>
        <v>2325.44</v>
      </c>
      <c r="I38" s="109">
        <f>Blad14!K17</f>
        <v>1082.17</v>
      </c>
      <c r="J38" s="139">
        <f>ROUND(E38*ROUND(H38*Blad3!$Y$4,2),0)</f>
        <v>0</v>
      </c>
      <c r="K38" s="138">
        <f>ROUND(E38*ROUND(I38*Blad3!$Z$4,2),0)</f>
        <v>0</v>
      </c>
      <c r="L38" s="138">
        <f>ROUND(C38*ROUND(H38*Blad3!$Y$4,2),0)+ROUND(C38*ROUND(I38*Blad3!$Z$4,2),0)</f>
        <v>0</v>
      </c>
      <c r="M38" s="109">
        <f>Blad14!L17</f>
        <v>2346.84</v>
      </c>
      <c r="N38" s="109">
        <f>Blad14!M17</f>
        <v>1097.54</v>
      </c>
      <c r="O38" s="138">
        <f>ROUND(($F38)*ROUND(M38*Blad3!$AA$5,2),0)</f>
        <v>0</v>
      </c>
      <c r="P38" s="138">
        <f>ROUND(($F38)*ROUND(N38*Blad3!$AB$5,2),0)</f>
        <v>0</v>
      </c>
      <c r="Q38" s="138">
        <f>ROUND(F38*ROUND(M38*Blad3!$AA$5,2),0)+ROUND(F38*ROUND(N38*Blad3!$AB$5,2),0)</f>
        <v>0</v>
      </c>
    </row>
    <row r="39" spans="1:17" ht="12.75" customHeight="1">
      <c r="A39" s="367">
        <f t="shared" si="4"/>
        <v>431</v>
      </c>
      <c r="B39" s="99" t="s">
        <v>197</v>
      </c>
      <c r="C39" s="379"/>
      <c r="D39" s="379"/>
      <c r="E39" s="138">
        <f t="shared" si="5"/>
        <v>0</v>
      </c>
      <c r="F39" s="379"/>
      <c r="G39" s="103">
        <f t="shared" si="2"/>
        <v>0</v>
      </c>
      <c r="H39" s="109">
        <f>Blad14!J18</f>
        <v>586.94</v>
      </c>
      <c r="I39" s="109">
        <f>Blad14!K18</f>
        <v>106.95</v>
      </c>
      <c r="J39" s="139">
        <f>ROUND(E39*ROUND(H39*Blad3!$Y$4,2),0)</f>
        <v>0</v>
      </c>
      <c r="K39" s="138">
        <f>ROUND(E39*ROUND(I39*Blad3!$Z$4,2),0)</f>
        <v>0</v>
      </c>
      <c r="L39" s="138">
        <f>ROUND(C39*ROUND(H39*Blad3!$Y$4,2),0)+ROUND(C39*ROUND(I39*Blad3!$Z$4,2),0)</f>
        <v>0</v>
      </c>
      <c r="M39" s="109">
        <f>Blad14!L18</f>
        <v>592.34</v>
      </c>
      <c r="N39" s="109">
        <f>Blad14!M18</f>
        <v>108.47</v>
      </c>
      <c r="O39" s="138">
        <f>ROUND(($F39)*ROUND(M39*Blad3!$AA$5,2),0)</f>
        <v>0</v>
      </c>
      <c r="P39" s="138">
        <f>ROUND(($F39)*ROUND(N39*Blad3!$AB$5,2),0)</f>
        <v>0</v>
      </c>
      <c r="Q39" s="138">
        <f>ROUND(F39*ROUND(M39*Blad3!$AA$5,2),0)+ROUND(F39*ROUND(N39*Blad3!$AB$5,2),0)</f>
        <v>0</v>
      </c>
    </row>
    <row r="40" spans="1:17" ht="12.75" customHeight="1">
      <c r="A40" s="367">
        <f t="shared" si="4"/>
        <v>432</v>
      </c>
      <c r="B40" s="99" t="s">
        <v>417</v>
      </c>
      <c r="C40" s="379"/>
      <c r="D40" s="379"/>
      <c r="E40" s="138">
        <f t="shared" si="5"/>
        <v>0</v>
      </c>
      <c r="F40" s="379"/>
      <c r="G40" s="103">
        <f t="shared" si="2"/>
        <v>0</v>
      </c>
      <c r="H40" s="109">
        <f>Blad14!C64</f>
        <v>323.96</v>
      </c>
      <c r="I40" s="109">
        <f>Blad14!D64</f>
        <v>53.87</v>
      </c>
      <c r="J40" s="139">
        <f>ROUND(E40*ROUND(H40*Blad3!$Y$4,2),0)</f>
        <v>0</v>
      </c>
      <c r="K40" s="138">
        <f>ROUND(E40*ROUND(I40*Blad3!$Z$4,2),0)</f>
        <v>0</v>
      </c>
      <c r="L40" s="138">
        <f>ROUND(C40*ROUND(H40*Blad3!$Y$4,2),0)+ROUND(C40*ROUND(I40*Blad3!$Z$4,2),0)</f>
        <v>0</v>
      </c>
      <c r="M40" s="109">
        <f>Blad14!E64</f>
        <v>326.94</v>
      </c>
      <c r="N40" s="109">
        <f>Blad14!F64</f>
        <v>54.63</v>
      </c>
      <c r="O40" s="138">
        <f>ROUND(($F40)*ROUND(M40*Blad3!$AA$5,2),0)</f>
        <v>0</v>
      </c>
      <c r="P40" s="138">
        <f>ROUND(($F40)*ROUND(N40*Blad3!$AB$5,2),0)</f>
        <v>0</v>
      </c>
      <c r="Q40" s="138">
        <f>ROUND(F40*ROUND(M40*Blad3!$AA$5,2),0)+ROUND(F40*ROUND(N40*Blad3!$AB$5,2),0)</f>
        <v>0</v>
      </c>
    </row>
    <row r="41" spans="1:17" ht="12.75" customHeight="1">
      <c r="A41" s="367">
        <f t="shared" si="4"/>
        <v>433</v>
      </c>
      <c r="B41" s="99" t="s">
        <v>418</v>
      </c>
      <c r="C41" s="379"/>
      <c r="D41" s="379"/>
      <c r="E41" s="138">
        <f t="shared" si="5"/>
        <v>0</v>
      </c>
      <c r="F41" s="379"/>
      <c r="G41" s="103">
        <f t="shared" si="2"/>
        <v>0</v>
      </c>
      <c r="H41" s="109">
        <f>Blad14!C65</f>
        <v>1037.72</v>
      </c>
      <c r="I41" s="109">
        <f>Blad14!D65</f>
        <v>171.34</v>
      </c>
      <c r="J41" s="139">
        <f>ROUND(E41*ROUND(H41*Blad3!$Y$4,2),0)</f>
        <v>0</v>
      </c>
      <c r="K41" s="138">
        <f>ROUND(E41*ROUND(I41*Blad3!$Z$4,2),0)</f>
        <v>0</v>
      </c>
      <c r="L41" s="138">
        <f>ROUND(C41*ROUND(H41*Blad3!$Y$4,2),0)+ROUND(C41*ROUND(I41*Blad3!$Z$4,2),0)</f>
        <v>0</v>
      </c>
      <c r="M41" s="109">
        <f>Blad14!E65</f>
        <v>1047.27</v>
      </c>
      <c r="N41" s="109">
        <f>Blad14!F65</f>
        <v>173.78</v>
      </c>
      <c r="O41" s="138">
        <f>ROUND(($F41)*ROUND(M41*Blad3!$AA$5,2),0)</f>
        <v>0</v>
      </c>
      <c r="P41" s="138">
        <f>ROUND(($F41)*ROUND(N41*Blad3!$AB$5,2),0)</f>
        <v>0</v>
      </c>
      <c r="Q41" s="138">
        <f>ROUND(F41*ROUND(M41*Blad3!$AA$5,2),0)+ROUND(F41*ROUND(N41*Blad3!$AB$5,2),0)</f>
        <v>0</v>
      </c>
    </row>
    <row r="42" spans="1:17" ht="12.75" customHeight="1">
      <c r="A42" s="367">
        <f t="shared" si="4"/>
        <v>434</v>
      </c>
      <c r="B42" s="99" t="s">
        <v>419</v>
      </c>
      <c r="C42" s="379"/>
      <c r="D42" s="379"/>
      <c r="E42" s="138">
        <f t="shared" si="5"/>
        <v>0</v>
      </c>
      <c r="F42" s="379"/>
      <c r="G42" s="103">
        <f t="shared" si="2"/>
        <v>0</v>
      </c>
      <c r="H42" s="109">
        <f>Blad14!C66</f>
        <v>1777.93</v>
      </c>
      <c r="I42" s="109">
        <f>Blad14!D66</f>
        <v>293.45</v>
      </c>
      <c r="J42" s="139">
        <f>ROUND(E42*ROUND(H42*Blad3!$Y$4,2),0)</f>
        <v>0</v>
      </c>
      <c r="K42" s="138">
        <f>ROUND(E42*ROUND(I42*Blad3!$Z$4,2),0)</f>
        <v>0</v>
      </c>
      <c r="L42" s="138">
        <f>ROUND(C42*ROUND(H42*Blad3!$Y$4,2),0)+ROUND(C42*ROUND(I42*Blad3!$Z$4,2),0)</f>
        <v>0</v>
      </c>
      <c r="M42" s="109">
        <f>Blad14!E66</f>
        <v>1794.29</v>
      </c>
      <c r="N42" s="109">
        <f>Blad14!F66</f>
        <v>297.62</v>
      </c>
      <c r="O42" s="138">
        <f>ROUND(($F42)*ROUND(M42*Blad3!$AA$5,2),0)</f>
        <v>0</v>
      </c>
      <c r="P42" s="138">
        <f>ROUND(($F42)*ROUND(N42*Blad3!$AB$5,2),0)</f>
        <v>0</v>
      </c>
      <c r="Q42" s="138">
        <f>ROUND(F42*ROUND(M42*Blad3!$AA$5,2),0)+ROUND(F42*ROUND(N42*Blad3!$AB$5,2),0)</f>
        <v>0</v>
      </c>
    </row>
    <row r="43" spans="1:17" ht="12.75" customHeight="1">
      <c r="A43" s="367">
        <f t="shared" si="4"/>
        <v>435</v>
      </c>
      <c r="B43" s="99" t="s">
        <v>420</v>
      </c>
      <c r="C43" s="379"/>
      <c r="D43" s="379"/>
      <c r="E43" s="138">
        <f t="shared" si="5"/>
        <v>0</v>
      </c>
      <c r="F43" s="379"/>
      <c r="G43" s="103">
        <f t="shared" si="2"/>
        <v>0</v>
      </c>
      <c r="H43" s="109">
        <f>Blad14!C67</f>
        <v>2986.75</v>
      </c>
      <c r="I43" s="109">
        <f>Blad14!D67</f>
        <v>492.51</v>
      </c>
      <c r="J43" s="139">
        <f>ROUND(E43*ROUND(H43*Blad3!$Y$4,2),0)</f>
        <v>0</v>
      </c>
      <c r="K43" s="138">
        <f>ROUND(E43*ROUND(I43*Blad3!$Z$4,2),0)</f>
        <v>0</v>
      </c>
      <c r="L43" s="138">
        <f>ROUND(C43*ROUND(H43*Blad3!$Y$4,2),0)+ROUND(C43*ROUND(I43*Blad3!$Z$4,2),0)</f>
        <v>0</v>
      </c>
      <c r="M43" s="109">
        <f>Blad14!E67</f>
        <v>3014.23</v>
      </c>
      <c r="N43" s="109">
        <f>Blad14!F67</f>
        <v>499.5</v>
      </c>
      <c r="O43" s="138">
        <f>ROUND(($F43)*ROUND(M43*Blad3!$AA$5,2),0)</f>
        <v>0</v>
      </c>
      <c r="P43" s="138">
        <f>ROUND(($F43)*ROUND(N43*Blad3!$AB$5,2),0)</f>
        <v>0</v>
      </c>
      <c r="Q43" s="138">
        <f>ROUND(F43*ROUND(M43*Blad3!$AA$5,2),0)+ROUND(F43*ROUND(N43*Blad3!$AB$5,2),0)</f>
        <v>0</v>
      </c>
    </row>
    <row r="44" spans="1:17" ht="12.75" customHeight="1">
      <c r="A44" s="367">
        <f t="shared" si="4"/>
        <v>436</v>
      </c>
      <c r="B44" s="99" t="s">
        <v>421</v>
      </c>
      <c r="C44" s="379"/>
      <c r="D44" s="379"/>
      <c r="E44" s="138">
        <f t="shared" si="5"/>
        <v>0</v>
      </c>
      <c r="F44" s="379"/>
      <c r="G44" s="103">
        <f t="shared" si="2"/>
        <v>0</v>
      </c>
      <c r="H44" s="109">
        <f>Blad14!C68</f>
        <v>157.56</v>
      </c>
      <c r="I44" s="109">
        <f>Blad14!D68</f>
        <v>26.16</v>
      </c>
      <c r="J44" s="139">
        <f>ROUND(E44*ROUND(H44*Blad3!$Y$4,2),0)</f>
        <v>0</v>
      </c>
      <c r="K44" s="138">
        <f>ROUND(E44*ROUND(I44*Blad3!$Z$4,2),0)</f>
        <v>0</v>
      </c>
      <c r="L44" s="138">
        <f>ROUND(C44*ROUND(H44*Blad3!$Y$4,2),0)+ROUND(C44*ROUND(I44*Blad3!$Z$4,2),0)</f>
        <v>0</v>
      </c>
      <c r="M44" s="109">
        <f>Blad14!E68</f>
        <v>159.02</v>
      </c>
      <c r="N44" s="109">
        <f>Blad14!F68</f>
        <v>26.53</v>
      </c>
      <c r="O44" s="138">
        <f>ROUND(($F44)*ROUND(M44*Blad3!$AA$5,2),0)</f>
        <v>0</v>
      </c>
      <c r="P44" s="138">
        <f>ROUND(($F44)*ROUND(N44*Blad3!$AB$5,2),0)</f>
        <v>0</v>
      </c>
      <c r="Q44" s="138">
        <f>ROUND(F44*ROUND(M44*Blad3!$AA$5,2),0)+ROUND(F44*ROUND(N44*Blad3!$AB$5,2),0)</f>
        <v>0</v>
      </c>
    </row>
    <row r="45" spans="1:17" ht="12.75" customHeight="1">
      <c r="A45" s="367">
        <f t="shared" si="4"/>
        <v>437</v>
      </c>
      <c r="B45" s="99" t="s">
        <v>422</v>
      </c>
      <c r="C45" s="379"/>
      <c r="D45" s="379"/>
      <c r="E45" s="138">
        <f t="shared" si="5"/>
        <v>0</v>
      </c>
      <c r="F45" s="379"/>
      <c r="G45" s="103">
        <f t="shared" si="2"/>
        <v>0</v>
      </c>
      <c r="H45" s="109">
        <f>Blad14!C69</f>
        <v>269.45</v>
      </c>
      <c r="I45" s="109">
        <f>Blad14!D69</f>
        <v>39.51</v>
      </c>
      <c r="J45" s="139">
        <f>ROUND(E45*ROUND(H45*Blad3!$Y$4,2),0)</f>
        <v>0</v>
      </c>
      <c r="K45" s="138">
        <f>ROUND(E45*ROUND(I45*Blad3!$Z$4,2),0)</f>
        <v>0</v>
      </c>
      <c r="L45" s="138">
        <f>ROUND(C45*ROUND(H45*Blad3!$Y$4,2),0)+ROUND(C45*ROUND(I45*Blad3!$Z$4,2),0)</f>
        <v>0</v>
      </c>
      <c r="M45" s="109">
        <f>Blad14!E69</f>
        <v>271.93</v>
      </c>
      <c r="N45" s="109">
        <f>Blad14!F69</f>
        <v>40.07</v>
      </c>
      <c r="O45" s="138">
        <f>ROUND(($F45)*ROUND(M45*Blad3!$AA$5,2),0)</f>
        <v>0</v>
      </c>
      <c r="P45" s="138">
        <f>ROUND(($F45)*ROUND(N45*Blad3!$AB$5,2),0)</f>
        <v>0</v>
      </c>
      <c r="Q45" s="138">
        <f>ROUND(F45*ROUND(M45*Blad3!$AA$5,2),0)+ROUND(F45*ROUND(N45*Blad3!$AB$5,2),0)</f>
        <v>0</v>
      </c>
    </row>
    <row r="46" spans="1:17" ht="12.75" customHeight="1">
      <c r="A46" s="367">
        <f t="shared" si="4"/>
        <v>438</v>
      </c>
      <c r="B46" s="99" t="s">
        <v>423</v>
      </c>
      <c r="C46" s="379"/>
      <c r="D46" s="379"/>
      <c r="E46" s="138">
        <f t="shared" si="5"/>
        <v>0</v>
      </c>
      <c r="F46" s="379"/>
      <c r="G46" s="103">
        <f t="shared" si="2"/>
        <v>0</v>
      </c>
      <c r="H46" s="109">
        <f>Blad14!C70</f>
        <v>548.55</v>
      </c>
      <c r="I46" s="109">
        <f>Blad14!D70</f>
        <v>90.29</v>
      </c>
      <c r="J46" s="139">
        <f>ROUND(E46*ROUND(H46*Blad3!$Y$4,2),0)</f>
        <v>0</v>
      </c>
      <c r="K46" s="138">
        <f>ROUND(E46*ROUND(I46*Blad3!$Z$4,2),0)</f>
        <v>0</v>
      </c>
      <c r="L46" s="138">
        <f>ROUND(C46*ROUND(H46*Blad3!$Y$4,2),0)+ROUND(C46*ROUND(I46*Blad3!$Z$4,2),0)</f>
        <v>0</v>
      </c>
      <c r="M46" s="109">
        <f>Blad14!E70</f>
        <v>553.59</v>
      </c>
      <c r="N46" s="109">
        <f>Blad14!F70</f>
        <v>91.57</v>
      </c>
      <c r="O46" s="138">
        <f>ROUND(($F46)*ROUND(M46*Blad3!$AA$5,2),0)</f>
        <v>0</v>
      </c>
      <c r="P46" s="138">
        <f>ROUND(($F46)*ROUND(N46*Blad3!$AB$5,2),0)</f>
        <v>0</v>
      </c>
      <c r="Q46" s="138">
        <f>ROUND(F46*ROUND(M46*Blad3!$AA$5,2),0)+ROUND(F46*ROUND(N46*Blad3!$AB$5,2),0)</f>
        <v>0</v>
      </c>
    </row>
    <row r="47" spans="1:17" ht="12.75" customHeight="1">
      <c r="A47" s="367">
        <f t="shared" si="4"/>
        <v>439</v>
      </c>
      <c r="B47" s="99" t="s">
        <v>424</v>
      </c>
      <c r="C47" s="379"/>
      <c r="D47" s="379"/>
      <c r="E47" s="138">
        <f t="shared" si="5"/>
        <v>0</v>
      </c>
      <c r="F47" s="379"/>
      <c r="G47" s="103">
        <f t="shared" si="2"/>
        <v>0</v>
      </c>
      <c r="H47" s="109">
        <f>Blad14!J7</f>
        <v>1941</v>
      </c>
      <c r="I47" s="109">
        <f>Blad14!K7</f>
        <v>320.65</v>
      </c>
      <c r="J47" s="139">
        <f>ROUND(E47*ROUND(H47*Blad3!$Y$4,2),0)</f>
        <v>0</v>
      </c>
      <c r="K47" s="138">
        <f>ROUND(E47*ROUND(I47*Blad3!$Z$4,2),0)</f>
        <v>0</v>
      </c>
      <c r="L47" s="138">
        <f>ROUND(C47*ROUND(H47*Blad3!$Y$4,2),0)+ROUND(C47*ROUND(I47*Blad3!$Z$4,2),0)</f>
        <v>0</v>
      </c>
      <c r="M47" s="109">
        <f>Blad14!L7</f>
        <v>1959.24</v>
      </c>
      <c r="N47" s="109">
        <f>Blad14!M7</f>
        <v>325.2</v>
      </c>
      <c r="O47" s="138">
        <f>ROUND(($F47)*ROUND(M47*Blad3!$AA$5,2),0)</f>
        <v>0</v>
      </c>
      <c r="P47" s="138">
        <f>ROUND(($F47)*ROUND(N47*Blad3!$AB$5,2),0)</f>
        <v>0</v>
      </c>
      <c r="Q47" s="138">
        <f>ROUND(F47*ROUND(M47*Blad3!$AA$5,2),0)+ROUND(F47*ROUND(N47*Blad3!$AB$5,2),0)</f>
        <v>0</v>
      </c>
    </row>
    <row r="48" spans="1:17" ht="12.75" customHeight="1">
      <c r="A48" s="367">
        <f t="shared" si="4"/>
        <v>440</v>
      </c>
      <c r="B48" s="99" t="s">
        <v>425</v>
      </c>
      <c r="C48" s="379"/>
      <c r="D48" s="379"/>
      <c r="E48" s="138">
        <f t="shared" si="5"/>
        <v>0</v>
      </c>
      <c r="F48" s="379"/>
      <c r="G48" s="103">
        <f t="shared" si="2"/>
        <v>0</v>
      </c>
      <c r="H48" s="109">
        <f>Blad14!J8</f>
        <v>1941</v>
      </c>
      <c r="I48" s="109">
        <f>Blad14!K8</f>
        <v>4432</v>
      </c>
      <c r="J48" s="139">
        <f>ROUND(E48*ROUND(H48*Blad3!$Y$4,2),0)</f>
        <v>0</v>
      </c>
      <c r="K48" s="138">
        <f>ROUND(E48*ROUND(I48*Blad3!$Z$4,2),0)</f>
        <v>0</v>
      </c>
      <c r="L48" s="138">
        <f>ROUND(C48*ROUND(H48*Blad3!$Y$4,2),0)+ROUND(C48*ROUND(I48*Blad3!$Z$4,2),0)</f>
        <v>0</v>
      </c>
      <c r="M48" s="109">
        <f>Blad14!L8</f>
        <v>1959.24</v>
      </c>
      <c r="N48" s="109">
        <f>Blad14!M8</f>
        <v>4495.01</v>
      </c>
      <c r="O48" s="138">
        <f>ROUND(($F48)*ROUND(M48*Blad3!$AA$5,2),0)</f>
        <v>0</v>
      </c>
      <c r="P48" s="138">
        <f>ROUND(($F48)*ROUND(N48*Blad3!$AB$5,2),0)</f>
        <v>0</v>
      </c>
      <c r="Q48" s="138">
        <f>ROUND(F48*ROUND(M48*Blad3!$AA$5,2),0)+ROUND(F48*ROUND(N48*Blad3!$AB$5,2),0)</f>
        <v>0</v>
      </c>
    </row>
    <row r="49" spans="1:17" ht="12.75" customHeight="1">
      <c r="A49" s="367">
        <f>A48+1</f>
        <v>441</v>
      </c>
      <c r="B49" s="99" t="s">
        <v>363</v>
      </c>
      <c r="C49" s="379"/>
      <c r="D49" s="379"/>
      <c r="E49" s="138">
        <f>C49-D49</f>
        <v>0</v>
      </c>
      <c r="F49" s="379"/>
      <c r="G49" s="103">
        <f t="shared" si="2"/>
        <v>0</v>
      </c>
      <c r="H49" s="112">
        <f>Blad14!J9</f>
        <v>0</v>
      </c>
      <c r="I49" s="112">
        <f>Blad14!K9</f>
        <v>3150</v>
      </c>
      <c r="J49" s="139">
        <f>ROUND(E49*ROUND(H49*Blad3!$Y$4,2),0)</f>
        <v>0</v>
      </c>
      <c r="K49" s="138">
        <f>ROUND(E49*ROUND(I49*Blad3!$Z$4,2),0)</f>
        <v>0</v>
      </c>
      <c r="L49" s="138">
        <f>ROUND(C49*ROUND(H49*Blad3!$Y$4,2),0)+ROUND(C49*ROUND(I49*Blad3!$Z$4,2),0)</f>
        <v>0</v>
      </c>
      <c r="M49" s="109">
        <f>Blad14!L9</f>
        <v>0</v>
      </c>
      <c r="N49" s="109">
        <f>Blad14!M9</f>
        <v>3195</v>
      </c>
      <c r="O49" s="138">
        <f>ROUND(($F49)*ROUND(M49*Blad3!$AA$5,2),0)</f>
        <v>0</v>
      </c>
      <c r="P49" s="138">
        <f>ROUND(($F49)*ROUND(N49*Blad3!$AB$5,2),0)</f>
        <v>0</v>
      </c>
      <c r="Q49" s="138">
        <f>ROUND(F49*ROUND(M49*Blad3!$AA$5,2),0)+ROUND(F49*ROUND(N49*Blad3!$AB$5,2),0)</f>
        <v>0</v>
      </c>
    </row>
    <row r="50" spans="1:17" ht="12.75" customHeight="1">
      <c r="A50" s="367">
        <f>A49+1</f>
        <v>442</v>
      </c>
      <c r="B50" s="99" t="s">
        <v>364</v>
      </c>
      <c r="C50" s="379"/>
      <c r="D50" s="379"/>
      <c r="E50" s="138">
        <f>C50-D50</f>
        <v>0</v>
      </c>
      <c r="F50" s="379"/>
      <c r="G50" s="103">
        <f t="shared" si="2"/>
        <v>0</v>
      </c>
      <c r="H50" s="112">
        <f>Blad14!J10</f>
        <v>0</v>
      </c>
      <c r="I50" s="112">
        <f>Blad14!K10</f>
        <v>0</v>
      </c>
      <c r="J50" s="139">
        <f>ROUND(E50*ROUND(H50*Blad3!$Y$4,2),0)</f>
        <v>0</v>
      </c>
      <c r="K50" s="138">
        <f>ROUND(E50*ROUND(I50*Blad3!$Z$4,2),0)</f>
        <v>0</v>
      </c>
      <c r="L50" s="138">
        <f>ROUND(C50*ROUND(H50*Blad3!$Y$4,2),0)+ROUND(C50*ROUND(I50*Blad3!$Z$4,2),0)</f>
        <v>0</v>
      </c>
      <c r="M50" s="109">
        <f>Blad14!L10</f>
        <v>968</v>
      </c>
      <c r="N50" s="109">
        <f>Blad14!M10</f>
        <v>72</v>
      </c>
      <c r="O50" s="138">
        <f>ROUND(($F50)*ROUND(M50*Blad3!$AA$5,2),0)</f>
        <v>0</v>
      </c>
      <c r="P50" s="138">
        <f>ROUND(($F50)*ROUND(N50*Blad3!$AB$5,2),0)</f>
        <v>0</v>
      </c>
      <c r="Q50" s="138">
        <f>ROUND(F50*ROUND(M50*Blad3!$AA$5,2),0)+ROUND(F50*ROUND(N50*Blad3!$AB$5,2),0)</f>
        <v>0</v>
      </c>
    </row>
    <row r="51" spans="1:17" ht="12.75" customHeight="1">
      <c r="A51" s="367">
        <f>A50+1</f>
        <v>443</v>
      </c>
      <c r="B51" s="99" t="s">
        <v>365</v>
      </c>
      <c r="C51" s="379"/>
      <c r="D51" s="379"/>
      <c r="E51" s="138">
        <f>C51-D51</f>
        <v>0</v>
      </c>
      <c r="F51" s="379"/>
      <c r="G51" s="103">
        <f t="shared" si="2"/>
        <v>0</v>
      </c>
      <c r="H51" s="112">
        <f>Blad14!J11</f>
        <v>0</v>
      </c>
      <c r="I51" s="112">
        <f>Blad14!K11</f>
        <v>0</v>
      </c>
      <c r="J51" s="139">
        <f>ROUND(E51*ROUND(H51*Blad3!$Y$4,2),0)</f>
        <v>0</v>
      </c>
      <c r="K51" s="138">
        <f>ROUND(E51*ROUND(I51*Blad3!$Z$4,2),0)</f>
        <v>0</v>
      </c>
      <c r="L51" s="138">
        <f>ROUND(C51*ROUND(H51*Blad3!$Y$4,2),0)+ROUND(C51*ROUND(I51*Blad3!$Z$4,2),0)</f>
        <v>0</v>
      </c>
      <c r="M51" s="109">
        <f>Blad14!L11</f>
        <v>3367</v>
      </c>
      <c r="N51" s="109">
        <f>Blad14!M11</f>
        <v>1484</v>
      </c>
      <c r="O51" s="138">
        <f>ROUND(($F51)*ROUND(M51*Blad3!$AA$5,2),0)</f>
        <v>0</v>
      </c>
      <c r="P51" s="138">
        <f>ROUND(($F51)*ROUND(N51*Blad3!$AB$5,2),0)</f>
        <v>0</v>
      </c>
      <c r="Q51" s="138">
        <f>ROUND(F51*ROUND(M51*Blad3!$AA$5,2),0)+ROUND(F51*ROUND(N51*Blad3!$AB$5,2),0)</f>
        <v>0</v>
      </c>
    </row>
    <row r="52" spans="1:17" ht="12.75" customHeight="1">
      <c r="A52" s="367">
        <f>A51+1</f>
        <v>444</v>
      </c>
      <c r="B52" s="99" t="s">
        <v>367</v>
      </c>
      <c r="C52" s="379"/>
      <c r="D52" s="379"/>
      <c r="E52" s="138">
        <f>C52-D52</f>
        <v>0</v>
      </c>
      <c r="F52" s="379"/>
      <c r="G52" s="103">
        <f t="shared" si="2"/>
        <v>0</v>
      </c>
      <c r="H52" s="112">
        <f>Blad14!J12</f>
        <v>0</v>
      </c>
      <c r="I52" s="112">
        <f>Blad14!K12</f>
        <v>0</v>
      </c>
      <c r="J52" s="139">
        <f>ROUND(E52*ROUND(H52*Blad3!$Y$4,2),0)</f>
        <v>0</v>
      </c>
      <c r="K52" s="138">
        <f>ROUND(E52*ROUND(I52*Blad3!$Z$4,2),0)</f>
        <v>0</v>
      </c>
      <c r="L52" s="138">
        <f>ROUND(C52*ROUND(H52*Blad3!$Y$4,2),0)+ROUND(C52*ROUND(I52*Blad3!$Z$4,2),0)</f>
        <v>0</v>
      </c>
      <c r="M52" s="109">
        <f>Blad14!L12</f>
        <v>19181</v>
      </c>
      <c r="N52" s="109">
        <f>Blad14!M12</f>
        <v>0</v>
      </c>
      <c r="O52" s="138">
        <f>ROUND(($F52)*ROUND(M52*Blad3!$AA$5,0),0)</f>
        <v>0</v>
      </c>
      <c r="P52" s="138">
        <f>ROUND(($F52)*ROUND(N52*Blad3!$AB$5,0),0)</f>
        <v>0</v>
      </c>
      <c r="Q52" s="138">
        <f>ROUND(F52*ROUND(M52*Blad3!$AA$5,0),0)+ROUND(F52*ROUND(N52*Blad3!$AB$5,0),0)</f>
        <v>0</v>
      </c>
    </row>
    <row r="53" spans="1:17" ht="12.75" customHeight="1">
      <c r="A53" s="367">
        <f>A52+1</f>
        <v>445</v>
      </c>
      <c r="B53" s="99" t="s">
        <v>368</v>
      </c>
      <c r="C53" s="379"/>
      <c r="D53" s="379"/>
      <c r="E53" s="138">
        <f>C53-D53</f>
        <v>0</v>
      </c>
      <c r="F53" s="379"/>
      <c r="G53" s="103">
        <f t="shared" si="2"/>
        <v>0</v>
      </c>
      <c r="H53" s="112">
        <f>Blad14!J13</f>
        <v>0</v>
      </c>
      <c r="I53" s="112">
        <f>Blad14!K13</f>
        <v>0</v>
      </c>
      <c r="J53" s="139">
        <f>ROUND(E53*ROUND(H53*Blad3!$Y$4,2),0)</f>
        <v>0</v>
      </c>
      <c r="K53" s="138">
        <f>ROUND(E53*ROUND(I53*Blad3!$Z$4,2),0)</f>
        <v>0</v>
      </c>
      <c r="L53" s="138">
        <f>ROUND(C53*ROUND(H53*Blad3!$Y$4,2),0)+ROUND(C53*ROUND(I53*Blad3!$Z$4,2),0)</f>
        <v>0</v>
      </c>
      <c r="M53" s="109">
        <f>Blad14!L13</f>
        <v>611.28</v>
      </c>
      <c r="N53" s="109">
        <f>Blad14!M13</f>
        <v>0</v>
      </c>
      <c r="O53" s="138">
        <f>ROUND(($F53)*ROUND(M53*Blad3!$AA$5,2),0)</f>
        <v>0</v>
      </c>
      <c r="P53" s="138">
        <f>ROUND(($F53)*ROUND(N53*Blad3!$AB$5,2),0)</f>
        <v>0</v>
      </c>
      <c r="Q53" s="138">
        <f>ROUND(F53*ROUND(M53*Blad3!$AA$5,2),0)+ROUND(F53*ROUND(N53*Blad3!$AB$5,2),0)</f>
        <v>0</v>
      </c>
    </row>
    <row r="54" spans="1:17" ht="12.75" customHeight="1">
      <c r="A54" s="367">
        <f>A48+1</f>
        <v>441</v>
      </c>
      <c r="B54" s="99" t="s">
        <v>21</v>
      </c>
      <c r="C54" s="379"/>
      <c r="D54" s="379"/>
      <c r="E54" s="138">
        <f t="shared" si="5"/>
        <v>0</v>
      </c>
      <c r="F54" s="379"/>
      <c r="G54" s="103">
        <f t="shared" si="2"/>
        <v>0</v>
      </c>
      <c r="H54" s="112">
        <f>Blad3!H16</f>
        <v>0</v>
      </c>
      <c r="I54" s="112">
        <f>Blad3!I16</f>
        <v>0</v>
      </c>
      <c r="J54" s="139">
        <f>ROUND(E54*ROUND(H54*Blad3!$Y$4,2),0)</f>
        <v>0</v>
      </c>
      <c r="K54" s="138">
        <f>ROUND(E54*ROUND(I54*Blad3!$Z$4,2),0)</f>
        <v>0</v>
      </c>
      <c r="L54" s="138">
        <f>ROUND(C54*ROUND(H54*Blad3!$Y$4,2),0)+ROUND(C54*ROUND(I54*Blad3!$Z$4,2),0)</f>
        <v>0</v>
      </c>
      <c r="M54" s="143">
        <f>Blad3!M16</f>
        <v>0</v>
      </c>
      <c r="N54" s="143">
        <f>Blad3!N16</f>
        <v>0</v>
      </c>
      <c r="O54" s="138">
        <f>ROUND(($F54)*ROUND(M54*Blad3!$AA$5,2),0)</f>
        <v>0</v>
      </c>
      <c r="P54" s="138">
        <f>ROUND(($F54)*ROUND(N54*Blad3!$AB$5,2),0)</f>
        <v>0</v>
      </c>
      <c r="Q54" s="138">
        <f>ROUND(F54*ROUND(M54*Blad3!$AA$5,2),0)+ROUND(F54*ROUND(N54*Blad3!$AB$5,2),0)</f>
        <v>0</v>
      </c>
    </row>
    <row r="55" spans="1:17" ht="12.75" customHeight="1">
      <c r="A55" s="368"/>
      <c r="B55" s="10"/>
      <c r="C55" s="90"/>
      <c r="D55" s="90"/>
      <c r="E55" s="90"/>
      <c r="F55" s="12"/>
      <c r="G55" s="12"/>
      <c r="H55" s="38"/>
      <c r="I55" s="38"/>
      <c r="J55" s="13"/>
      <c r="K55" s="13"/>
      <c r="L55" s="176"/>
      <c r="M55" s="13"/>
      <c r="N55" s="13"/>
      <c r="O55" s="176"/>
      <c r="P55" s="176"/>
      <c r="Q55" s="176"/>
    </row>
    <row r="56" spans="1:17" ht="12.75" customHeight="1">
      <c r="A56" s="367">
        <f>A54+1</f>
        <v>442</v>
      </c>
      <c r="B56" s="10" t="s">
        <v>181</v>
      </c>
      <c r="C56" s="90"/>
      <c r="D56" s="90"/>
      <c r="E56" s="90"/>
      <c r="F56" s="12"/>
      <c r="G56" s="12"/>
      <c r="H56" s="38"/>
      <c r="I56" s="38"/>
      <c r="J56" s="138">
        <f>SUM(J7:J54)</f>
        <v>0</v>
      </c>
      <c r="K56" s="138">
        <f>SUM(K7:K54)</f>
        <v>0</v>
      </c>
      <c r="L56" s="138">
        <f>SUM(L7:L54)</f>
        <v>0</v>
      </c>
      <c r="M56" s="89"/>
      <c r="N56" s="89"/>
      <c r="O56" s="138">
        <f>SUM(O7:O54)</f>
        <v>0</v>
      </c>
      <c r="P56" s="138">
        <f>SUM(P7:P54)</f>
        <v>0</v>
      </c>
      <c r="Q56" s="138">
        <f>SUM(Q7:Q54)</f>
        <v>0</v>
      </c>
    </row>
    <row r="57" spans="2:17" ht="12.75" customHeight="1">
      <c r="B57" s="10"/>
      <c r="C57" s="90"/>
      <c r="D57" s="90"/>
      <c r="E57" s="90"/>
      <c r="F57" s="12"/>
      <c r="G57" s="12"/>
      <c r="H57" s="38"/>
      <c r="I57" s="38"/>
      <c r="J57" s="152"/>
      <c r="K57" s="152"/>
      <c r="L57" s="152"/>
      <c r="M57" s="89"/>
      <c r="N57" s="89"/>
      <c r="O57" s="152"/>
      <c r="P57" s="152"/>
      <c r="Q57" s="152"/>
    </row>
    <row r="58" spans="1:14" s="15" customFormat="1" ht="12.75" customHeight="1">
      <c r="A58" s="35"/>
      <c r="B58" s="28" t="s">
        <v>523</v>
      </c>
      <c r="C58" s="90"/>
      <c r="D58" s="90"/>
      <c r="E58" s="90"/>
      <c r="F58" s="12"/>
      <c r="G58" s="12"/>
      <c r="H58" s="38"/>
      <c r="I58" s="38"/>
      <c r="J58" s="13"/>
      <c r="K58" s="13"/>
      <c r="L58" s="13"/>
      <c r="M58" s="13"/>
      <c r="N58" s="13"/>
    </row>
    <row r="59" spans="1:17" s="15" customFormat="1" ht="12.75" customHeight="1">
      <c r="A59" s="35"/>
      <c r="B59" s="28" t="s">
        <v>335</v>
      </c>
      <c r="C59" s="90"/>
      <c r="D59" s="90"/>
      <c r="E59" s="90"/>
      <c r="F59" s="12"/>
      <c r="G59" s="12"/>
      <c r="H59" s="38"/>
      <c r="I59" s="38"/>
      <c r="J59" s="13"/>
      <c r="K59" s="13"/>
      <c r="L59" s="13"/>
      <c r="M59" s="13"/>
      <c r="N59" s="13"/>
      <c r="Q59" s="28"/>
    </row>
    <row r="60" spans="2:17" ht="12.75" customHeight="1">
      <c r="B60" s="28" t="str">
        <f>CONCATENATE("     Voor de berekeningen van de budgetmutatie ",Blad1!B3-1,"geldt alleen het aantal dagen boven 1.000, in de formules is hiermee rekening gehouden.")</f>
        <v>     Voor de berekeningen van de budgetmutatie 2005geldt alleen het aantal dagen boven 1.000, in de formules is hiermee rekening gehouden.</v>
      </c>
      <c r="C60" s="90"/>
      <c r="D60" s="90"/>
      <c r="E60" s="90"/>
      <c r="F60" s="12"/>
      <c r="G60" s="12"/>
      <c r="H60" s="38"/>
      <c r="I60" s="38"/>
      <c r="J60" s="13"/>
      <c r="K60" s="13"/>
      <c r="L60" s="13"/>
      <c r="M60" s="13"/>
      <c r="N60" s="13"/>
      <c r="O60" s="15"/>
      <c r="Q60" s="10"/>
    </row>
    <row r="61" spans="2:17" ht="12.75" customHeight="1">
      <c r="B61" s="28" t="s">
        <v>203</v>
      </c>
      <c r="C61" s="90"/>
      <c r="D61" s="90"/>
      <c r="E61" s="90"/>
      <c r="F61" s="12"/>
      <c r="G61" s="12"/>
      <c r="H61" s="38"/>
      <c r="I61" s="38"/>
      <c r="J61" s="13"/>
      <c r="K61" s="13"/>
      <c r="L61" s="13"/>
      <c r="M61" s="13"/>
      <c r="N61" s="13"/>
      <c r="O61" s="15"/>
      <c r="Q61" s="10"/>
    </row>
    <row r="62" spans="9:17" ht="12.75" customHeight="1">
      <c r="I62" s="38"/>
      <c r="J62" s="13"/>
      <c r="K62" s="13"/>
      <c r="L62" s="13"/>
      <c r="M62" s="13"/>
      <c r="N62" s="13"/>
      <c r="O62" s="15"/>
      <c r="Q62" s="10"/>
    </row>
    <row r="63" spans="2:17" ht="12.75" customHeight="1">
      <c r="B63" s="28" t="s">
        <v>334</v>
      </c>
      <c r="C63" s="90"/>
      <c r="D63" s="90"/>
      <c r="E63" s="90"/>
      <c r="F63" s="12"/>
      <c r="I63" s="38"/>
      <c r="J63" s="13"/>
      <c r="K63" s="13"/>
      <c r="L63" s="13"/>
      <c r="M63" s="13"/>
      <c r="N63" s="13"/>
      <c r="O63" s="15"/>
      <c r="Q63" s="10"/>
    </row>
    <row r="64" spans="2:17" ht="12.75" customHeight="1">
      <c r="B64" s="28" t="s">
        <v>202</v>
      </c>
      <c r="C64" s="90"/>
      <c r="D64" s="90"/>
      <c r="E64" s="90"/>
      <c r="F64" s="12"/>
      <c r="I64" s="38"/>
      <c r="J64" s="13"/>
      <c r="K64" s="13"/>
      <c r="L64" s="13"/>
      <c r="M64" s="13"/>
      <c r="N64" s="13"/>
      <c r="O64" s="15"/>
      <c r="Q64" s="10"/>
    </row>
    <row r="65" spans="2:18" ht="12.75" customHeight="1">
      <c r="B65" s="28" t="s">
        <v>267</v>
      </c>
      <c r="C65" s="90"/>
      <c r="D65" s="90"/>
      <c r="E65" s="90"/>
      <c r="F65" s="12"/>
      <c r="G65" s="12"/>
      <c r="H65" s="38"/>
      <c r="I65" s="38"/>
      <c r="J65" s="13"/>
      <c r="K65" s="13"/>
      <c r="L65" s="13"/>
      <c r="M65" s="13"/>
      <c r="N65" s="13"/>
      <c r="O65" s="15"/>
      <c r="R65" s="10">
        <f>Blad3!R65+1</f>
        <v>4</v>
      </c>
    </row>
    <row r="66" spans="7:15" ht="12.75" customHeight="1">
      <c r="G66" s="12"/>
      <c r="H66" s="38"/>
      <c r="I66" s="38"/>
      <c r="J66" s="13"/>
      <c r="K66" s="13"/>
      <c r="L66" s="13"/>
      <c r="M66" s="13"/>
      <c r="N66" s="13"/>
      <c r="O66" s="15"/>
    </row>
    <row r="67" spans="7:15" ht="12.75" customHeight="1">
      <c r="G67" s="12"/>
      <c r="H67" s="38"/>
      <c r="I67" s="38"/>
      <c r="J67" s="13"/>
      <c r="K67" s="13"/>
      <c r="L67" s="13"/>
      <c r="M67" s="13"/>
      <c r="N67" s="13"/>
      <c r="O67" s="15"/>
    </row>
    <row r="68" spans="7:15" ht="12.75" customHeight="1">
      <c r="G68" s="12"/>
      <c r="H68" s="38"/>
      <c r="I68" s="38"/>
      <c r="J68" s="13"/>
      <c r="K68" s="13"/>
      <c r="L68" s="13"/>
      <c r="M68" s="13"/>
      <c r="N68" s="13"/>
      <c r="O68" s="15"/>
    </row>
    <row r="69" spans="2:14" ht="12.75" customHeight="1">
      <c r="B69" s="71"/>
      <c r="C69" s="90"/>
      <c r="D69" s="90"/>
      <c r="E69" s="90"/>
      <c r="F69" s="38"/>
      <c r="G69" s="38"/>
      <c r="H69" s="38"/>
      <c r="I69" s="13"/>
      <c r="J69" s="13"/>
      <c r="K69" s="13"/>
      <c r="L69" s="13"/>
      <c r="M69" s="13"/>
      <c r="N69" s="15"/>
    </row>
    <row r="70" spans="2:14" ht="12.75" customHeight="1">
      <c r="B70" s="71"/>
      <c r="C70" s="90"/>
      <c r="D70" s="90"/>
      <c r="E70" s="90"/>
      <c r="F70" s="38"/>
      <c r="G70" s="38"/>
      <c r="H70" s="38"/>
      <c r="I70" s="13"/>
      <c r="J70" s="13"/>
      <c r="K70" s="13"/>
      <c r="L70" s="13"/>
      <c r="M70" s="13"/>
      <c r="N70" s="15"/>
    </row>
    <row r="71" spans="2:14" ht="12.75" customHeight="1">
      <c r="B71" s="71"/>
      <c r="C71" s="90"/>
      <c r="D71" s="90"/>
      <c r="E71" s="90"/>
      <c r="F71" s="38"/>
      <c r="G71" s="38"/>
      <c r="H71" s="38"/>
      <c r="I71" s="13"/>
      <c r="J71" s="13"/>
      <c r="K71" s="13"/>
      <c r="L71" s="13"/>
      <c r="M71" s="13"/>
      <c r="N71" s="15"/>
    </row>
    <row r="72" spans="2:14" ht="12.75" customHeight="1">
      <c r="B72" s="71"/>
      <c r="C72" s="90"/>
      <c r="D72" s="90"/>
      <c r="E72" s="90"/>
      <c r="F72" s="38"/>
      <c r="G72" s="38"/>
      <c r="H72" s="38"/>
      <c r="I72" s="13"/>
      <c r="J72" s="13"/>
      <c r="K72" s="13"/>
      <c r="L72" s="13"/>
      <c r="M72" s="13"/>
      <c r="N72" s="15"/>
    </row>
    <row r="73" spans="2:14" ht="12.75" customHeight="1">
      <c r="B73" s="71"/>
      <c r="C73" s="90"/>
      <c r="D73" s="90"/>
      <c r="E73" s="90"/>
      <c r="F73" s="38"/>
      <c r="G73" s="38"/>
      <c r="H73" s="38"/>
      <c r="I73" s="13"/>
      <c r="J73" s="13"/>
      <c r="K73" s="13"/>
      <c r="L73" s="13"/>
      <c r="M73" s="13"/>
      <c r="N73" s="15"/>
    </row>
    <row r="74" spans="2:14" ht="12.75" customHeight="1">
      <c r="B74" s="71"/>
      <c r="C74" s="90"/>
      <c r="D74" s="90"/>
      <c r="E74" s="90"/>
      <c r="F74" s="38"/>
      <c r="G74" s="38"/>
      <c r="H74" s="38"/>
      <c r="I74" s="13"/>
      <c r="J74" s="13"/>
      <c r="K74" s="13"/>
      <c r="L74" s="13"/>
      <c r="M74" s="13"/>
      <c r="N74" s="15"/>
    </row>
    <row r="75" spans="2:14" ht="12.75" customHeight="1">
      <c r="B75" s="71"/>
      <c r="C75" s="90"/>
      <c r="D75" s="90"/>
      <c r="E75" s="90"/>
      <c r="F75" s="38"/>
      <c r="G75" s="38"/>
      <c r="H75" s="38"/>
      <c r="I75" s="13"/>
      <c r="J75" s="13"/>
      <c r="K75" s="13"/>
      <c r="L75" s="13"/>
      <c r="M75" s="13"/>
      <c r="N75" s="15"/>
    </row>
    <row r="76" spans="2:14" ht="12.75" customHeight="1">
      <c r="B76" s="71"/>
      <c r="C76" s="90"/>
      <c r="D76" s="90"/>
      <c r="E76" s="90"/>
      <c r="F76" s="38"/>
      <c r="G76" s="38"/>
      <c r="H76" s="38"/>
      <c r="I76" s="13"/>
      <c r="J76" s="13"/>
      <c r="K76" s="13"/>
      <c r="L76" s="13"/>
      <c r="M76" s="13"/>
      <c r="N76" s="15"/>
    </row>
    <row r="77" spans="2:14" ht="12.75" customHeight="1">
      <c r="B77" s="71"/>
      <c r="C77" s="90"/>
      <c r="D77" s="90"/>
      <c r="E77" s="90"/>
      <c r="F77" s="38"/>
      <c r="G77" s="38"/>
      <c r="H77" s="38"/>
      <c r="I77" s="13"/>
      <c r="J77" s="13"/>
      <c r="K77" s="13"/>
      <c r="L77" s="13"/>
      <c r="M77" s="13"/>
      <c r="N77" s="15"/>
    </row>
    <row r="78" spans="2:14" ht="12.75" customHeight="1">
      <c r="B78" s="71"/>
      <c r="C78" s="90"/>
      <c r="D78" s="90"/>
      <c r="E78" s="90"/>
      <c r="F78" s="38"/>
      <c r="G78" s="38"/>
      <c r="H78" s="38"/>
      <c r="I78" s="13"/>
      <c r="J78" s="13"/>
      <c r="K78" s="13"/>
      <c r="L78" s="13"/>
      <c r="M78" s="13"/>
      <c r="N78" s="15"/>
    </row>
    <row r="79" spans="2:14" ht="12.75" customHeight="1">
      <c r="B79" s="71"/>
      <c r="C79" s="90"/>
      <c r="D79" s="90"/>
      <c r="E79" s="90"/>
      <c r="F79" s="38"/>
      <c r="G79" s="38"/>
      <c r="H79" s="38"/>
      <c r="I79" s="13"/>
      <c r="J79" s="13"/>
      <c r="K79" s="13"/>
      <c r="L79" s="13"/>
      <c r="M79" s="13"/>
      <c r="N79" s="15"/>
    </row>
    <row r="80" spans="2:14" ht="12.75" customHeight="1">
      <c r="B80" s="71"/>
      <c r="C80" s="90"/>
      <c r="D80" s="90"/>
      <c r="E80" s="90"/>
      <c r="F80" s="38"/>
      <c r="G80" s="38"/>
      <c r="H80" s="38"/>
      <c r="I80" s="13"/>
      <c r="J80" s="13"/>
      <c r="K80" s="13"/>
      <c r="L80" s="13"/>
      <c r="M80" s="13"/>
      <c r="N80" s="15"/>
    </row>
    <row r="81" spans="2:14" ht="12.75" customHeight="1">
      <c r="B81" s="10"/>
      <c r="C81" s="10"/>
      <c r="D81" s="10"/>
      <c r="E81" s="10"/>
      <c r="F81" s="15"/>
      <c r="G81" s="15"/>
      <c r="H81" s="15"/>
      <c r="I81" s="15"/>
      <c r="J81" s="15"/>
      <c r="K81" s="15"/>
      <c r="L81" s="15"/>
      <c r="M81" s="15"/>
      <c r="N81" s="15"/>
    </row>
    <row r="82" spans="2:8" ht="12.75" customHeight="1">
      <c r="B82" s="10"/>
      <c r="C82" s="10"/>
      <c r="D82" s="10"/>
      <c r="E82" s="10"/>
      <c r="F82" s="15"/>
      <c r="G82" s="15"/>
      <c r="H82" s="15"/>
    </row>
    <row r="83" spans="2:8" ht="12.75" customHeight="1">
      <c r="B83" s="10"/>
      <c r="C83" s="10"/>
      <c r="D83" s="10"/>
      <c r="E83" s="10"/>
      <c r="F83" s="15"/>
      <c r="G83" s="15"/>
      <c r="H83" s="15"/>
    </row>
    <row r="84" spans="2:8" ht="12.75" customHeight="1">
      <c r="B84" s="10"/>
      <c r="C84" s="10"/>
      <c r="D84" s="10"/>
      <c r="E84" s="10"/>
      <c r="F84" s="15"/>
      <c r="G84" s="15"/>
      <c r="H84" s="15"/>
    </row>
    <row r="85" spans="2:8" ht="12.75" customHeight="1">
      <c r="B85" s="10"/>
      <c r="C85" s="10"/>
      <c r="D85" s="10"/>
      <c r="E85" s="10"/>
      <c r="F85" s="15"/>
      <c r="G85" s="15"/>
      <c r="H85" s="15"/>
    </row>
    <row r="86" spans="2:9" ht="12.75" customHeight="1">
      <c r="B86" s="10"/>
      <c r="C86" s="10"/>
      <c r="D86" s="10"/>
      <c r="E86" s="10"/>
      <c r="H86" s="15"/>
      <c r="I86" s="15"/>
    </row>
    <row r="87" spans="2:9" ht="12.75" customHeight="1">
      <c r="B87" s="10"/>
      <c r="C87" s="10"/>
      <c r="D87" s="10"/>
      <c r="E87" s="10"/>
      <c r="H87" s="15"/>
      <c r="I87" s="15"/>
    </row>
    <row r="88" spans="2:9" ht="12.75" customHeight="1">
      <c r="B88" s="10"/>
      <c r="C88" s="10"/>
      <c r="D88" s="10"/>
      <c r="E88" s="10"/>
      <c r="H88" s="15"/>
      <c r="I88" s="15"/>
    </row>
    <row r="89" spans="2:9" ht="12.75" customHeight="1">
      <c r="B89" s="10"/>
      <c r="C89" s="10"/>
      <c r="D89" s="10"/>
      <c r="E89" s="10"/>
      <c r="H89" s="15"/>
      <c r="I89" s="15"/>
    </row>
    <row r="90" spans="2:9" ht="12.75" customHeight="1">
      <c r="B90" s="10"/>
      <c r="C90" s="10"/>
      <c r="D90" s="10"/>
      <c r="E90" s="10"/>
      <c r="H90" s="15"/>
      <c r="I90" s="15"/>
    </row>
    <row r="91" spans="2:9" ht="12.75" customHeight="1">
      <c r="B91" s="10"/>
      <c r="C91" s="10"/>
      <c r="D91" s="10"/>
      <c r="E91" s="10"/>
      <c r="H91" s="15"/>
      <c r="I91" s="15"/>
    </row>
    <row r="92" spans="2:9" ht="12.75" customHeight="1">
      <c r="B92" s="10"/>
      <c r="C92" s="10"/>
      <c r="D92" s="10"/>
      <c r="E92" s="10"/>
      <c r="H92" s="15"/>
      <c r="I92" s="15"/>
    </row>
    <row r="93" spans="2:9" ht="12.75" customHeight="1">
      <c r="B93" s="10"/>
      <c r="C93" s="10"/>
      <c r="D93" s="10"/>
      <c r="E93" s="10"/>
      <c r="H93" s="15"/>
      <c r="I93" s="15"/>
    </row>
    <row r="94" spans="2:9" ht="12.75" customHeight="1">
      <c r="B94" s="10"/>
      <c r="C94" s="10"/>
      <c r="D94" s="10"/>
      <c r="E94" s="10"/>
      <c r="H94" s="15"/>
      <c r="I94" s="15"/>
    </row>
    <row r="95" spans="2:9" ht="12.75" customHeight="1">
      <c r="B95" s="10"/>
      <c r="C95" s="10"/>
      <c r="D95" s="10"/>
      <c r="E95" s="10"/>
      <c r="H95" s="15"/>
      <c r="I95" s="15"/>
    </row>
    <row r="96" spans="2:5" ht="12.75" customHeight="1">
      <c r="B96" s="10"/>
      <c r="C96" s="10"/>
      <c r="D96" s="10"/>
      <c r="E96" s="10"/>
    </row>
    <row r="97" spans="2:5" ht="12.75" customHeight="1">
      <c r="B97" s="10"/>
      <c r="C97" s="10"/>
      <c r="D97" s="10"/>
      <c r="E97" s="10"/>
    </row>
    <row r="98" spans="2:5" ht="12.75" customHeight="1">
      <c r="B98" s="10"/>
      <c r="C98" s="10"/>
      <c r="D98" s="10"/>
      <c r="E98" s="10"/>
    </row>
    <row r="99" spans="2:5" ht="12.75" customHeight="1">
      <c r="B99" s="10"/>
      <c r="C99" s="10"/>
      <c r="D99" s="10"/>
      <c r="E99" s="10"/>
    </row>
    <row r="100" spans="2:5" ht="12.75" customHeight="1">
      <c r="B100" s="10"/>
      <c r="C100" s="10"/>
      <c r="D100" s="10"/>
      <c r="E100" s="10"/>
    </row>
    <row r="101" spans="2:5" ht="12.75" customHeight="1">
      <c r="B101" s="10"/>
      <c r="C101" s="10"/>
      <c r="D101" s="10"/>
      <c r="E101" s="10"/>
    </row>
    <row r="102" spans="2:5" ht="12.75" customHeight="1">
      <c r="B102" s="10"/>
      <c r="C102" s="10"/>
      <c r="D102" s="10"/>
      <c r="E102" s="10"/>
    </row>
    <row r="103" spans="2:5" ht="12.75" customHeight="1">
      <c r="B103" s="10"/>
      <c r="C103" s="10"/>
      <c r="D103" s="10"/>
      <c r="E103" s="10"/>
    </row>
    <row r="104" spans="2:5" ht="12.75" customHeight="1">
      <c r="B104" s="10"/>
      <c r="C104" s="10"/>
      <c r="D104" s="10"/>
      <c r="E104" s="10"/>
    </row>
    <row r="105" spans="2:5" ht="12.75" customHeight="1">
      <c r="B105" s="10"/>
      <c r="C105" s="10"/>
      <c r="D105" s="10"/>
      <c r="E105" s="10"/>
    </row>
    <row r="106" spans="2:5" ht="12.75" customHeight="1">
      <c r="B106" s="10"/>
      <c r="C106" s="10"/>
      <c r="D106" s="10"/>
      <c r="E106" s="10"/>
    </row>
  </sheetData>
  <sheetProtection password="CCBC" sheet="1" objects="1" scenarios="1"/>
  <mergeCells count="2">
    <mergeCell ref="H3:K3"/>
    <mergeCell ref="M3:P3"/>
  </mergeCells>
  <conditionalFormatting sqref="C31:C54 C26:C29 F31:F54 C10:D25 F10:F29 D26 D28:D54">
    <cfRule type="expression" priority="1" dxfId="0" stopIfTrue="1">
      <formula>$B$2=TRUE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5" r:id="rId1"/>
  <headerFooter alignWithMargins="0">
    <oddHeader>&amp;L&amp;"Arial,Vet"Bijlage 1 bij circulaire JHYM/xxxx/CI/06/xxc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9">
    <tabColor indexed="50"/>
    <pageSetUpPr fitToPage="1"/>
  </sheetPr>
  <dimension ref="A1:R78"/>
  <sheetViews>
    <sheetView showGridLines="0" showRowColHeaders="0" showZeros="0" showOutlineSymbols="0" view="pageBreakPreview" zoomScale="75" zoomScaleNormal="50" zoomScaleSheetLayoutView="75" workbookViewId="0" topLeftCell="A1">
      <selection activeCell="C10" sqref="C10"/>
    </sheetView>
  </sheetViews>
  <sheetFormatPr defaultColWidth="9.140625" defaultRowHeight="12.75" customHeight="1"/>
  <cols>
    <col min="1" max="1" width="5.140625" style="2" bestFit="1" customWidth="1"/>
    <col min="2" max="2" width="52.421875" style="7" customWidth="1"/>
    <col min="3" max="6" width="11.7109375" style="12" customWidth="1"/>
    <col min="7" max="9" width="11.7109375" style="37" customWidth="1"/>
    <col min="10" max="17" width="11.7109375" style="39" customWidth="1"/>
    <col min="18" max="16384" width="9.140625" style="7" customWidth="1"/>
  </cols>
  <sheetData>
    <row r="1" spans="2:6" ht="12.75" customHeight="1">
      <c r="B1" s="53" t="str">
        <f>CONCATENATE("Productieaantallen ",Blad1!B3," / ",Blad1!B3-1," eerstelijnsvoorzieningen / -functies.")</f>
        <v>Productieaantallen 2006 / 2005 eerstelijnsvoorzieningen / -functies.</v>
      </c>
      <c r="C1" s="37"/>
      <c r="D1" s="37"/>
      <c r="E1" s="37"/>
      <c r="F1" s="37"/>
    </row>
    <row r="2" spans="2:6" ht="12.75" customHeight="1">
      <c r="B2" s="91" t="b">
        <f>Blad1!A25</f>
        <v>1</v>
      </c>
      <c r="C2" s="37"/>
      <c r="D2" s="37"/>
      <c r="E2" s="37"/>
      <c r="F2" s="37"/>
    </row>
    <row r="3" spans="3:17" ht="12.75" customHeight="1">
      <c r="C3" s="93" t="s">
        <v>9</v>
      </c>
      <c r="D3" s="94" t="s">
        <v>153</v>
      </c>
      <c r="E3" s="93" t="s">
        <v>272</v>
      </c>
      <c r="F3" s="93" t="s">
        <v>126</v>
      </c>
      <c r="G3" s="93" t="s">
        <v>272</v>
      </c>
      <c r="H3" s="406" t="str">
        <f>CONCATENATE("Nacalculatie ",Blad1!B3-1)</f>
        <v>Nacalculatie 2005</v>
      </c>
      <c r="I3" s="407"/>
      <c r="J3" s="407"/>
      <c r="K3" s="408"/>
      <c r="L3" s="93" t="s">
        <v>185</v>
      </c>
      <c r="M3" s="406" t="str">
        <f>CONCATENATE("Productieafspraken ",Blad1!B3)</f>
        <v>Productieafspraken 2006</v>
      </c>
      <c r="N3" s="407"/>
      <c r="O3" s="407"/>
      <c r="P3" s="408"/>
      <c r="Q3" s="93" t="s">
        <v>185</v>
      </c>
    </row>
    <row r="4" spans="2:17" ht="12.75" customHeight="1">
      <c r="B4" s="92"/>
      <c r="C4" s="95">
        <f>Blad1!$B$3-1</f>
        <v>2005</v>
      </c>
      <c r="D4" s="95">
        <f>Blad1!$B$3-1</f>
        <v>2005</v>
      </c>
      <c r="E4" s="95">
        <f>Blad1!$B$3-1</f>
        <v>2005</v>
      </c>
      <c r="F4" s="95">
        <f>Blad1!$B$3</f>
        <v>2006</v>
      </c>
      <c r="G4" s="95">
        <f>Blad1!$B$3</f>
        <v>2006</v>
      </c>
      <c r="H4" s="78" t="s">
        <v>161</v>
      </c>
      <c r="I4" s="79"/>
      <c r="J4" s="82" t="s">
        <v>272</v>
      </c>
      <c r="K4" s="82" t="s">
        <v>272</v>
      </c>
      <c r="L4" s="95">
        <f>Blad1!$B$3-1</f>
        <v>2005</v>
      </c>
      <c r="M4" s="78" t="s">
        <v>161</v>
      </c>
      <c r="N4" s="79"/>
      <c r="O4" s="82" t="s">
        <v>162</v>
      </c>
      <c r="P4" s="77" t="s">
        <v>162</v>
      </c>
      <c r="Q4" s="95">
        <f>Blad1!$B$3</f>
        <v>2006</v>
      </c>
    </row>
    <row r="5" spans="2:17" ht="12.75" customHeight="1">
      <c r="B5" s="49" t="str">
        <f>CONCATENATE("U wordt verzocht afspraken ",Blad1!B3," op basis van tarieven ",Blad1!B3-1," te maken.")</f>
        <v>U wordt verzocht afspraken 2006 op basis van tarieven 2005 te maken.</v>
      </c>
      <c r="C5" s="54"/>
      <c r="D5" s="54"/>
      <c r="E5" s="54"/>
      <c r="F5" s="178"/>
      <c r="G5" s="18"/>
      <c r="H5" s="82" t="s">
        <v>77</v>
      </c>
      <c r="I5" s="82" t="s">
        <v>78</v>
      </c>
      <c r="J5" s="96" t="s">
        <v>77</v>
      </c>
      <c r="K5" s="96" t="s">
        <v>78</v>
      </c>
      <c r="L5" s="40"/>
      <c r="M5" s="82" t="s">
        <v>77</v>
      </c>
      <c r="N5" s="82" t="s">
        <v>78</v>
      </c>
      <c r="O5" s="96" t="s">
        <v>77</v>
      </c>
      <c r="P5" s="96" t="s">
        <v>78</v>
      </c>
      <c r="Q5" s="40"/>
    </row>
    <row r="6" spans="2:16" ht="12.75" customHeight="1">
      <c r="B6" s="85"/>
      <c r="C6" s="18"/>
      <c r="D6" s="18"/>
      <c r="E6" s="18"/>
      <c r="F6" s="18"/>
      <c r="G6" s="18"/>
      <c r="H6" s="18"/>
      <c r="I6" s="18"/>
      <c r="J6" s="40"/>
      <c r="K6" s="40"/>
      <c r="L6" s="40"/>
      <c r="M6" s="40"/>
      <c r="N6" s="40"/>
      <c r="O6" s="40"/>
      <c r="P6" s="40"/>
    </row>
    <row r="7" spans="1:17" ht="12.75" customHeight="1">
      <c r="A7" s="367">
        <f>Q65*100+1</f>
        <v>501</v>
      </c>
      <c r="B7" s="85" t="s">
        <v>184</v>
      </c>
      <c r="C7" s="18"/>
      <c r="D7" s="18"/>
      <c r="E7" s="18"/>
      <c r="F7" s="18"/>
      <c r="G7" s="18"/>
      <c r="H7" s="18"/>
      <c r="I7" s="18"/>
      <c r="J7" s="116">
        <f>Blad4!J56</f>
        <v>0</v>
      </c>
      <c r="K7" s="116">
        <f>Blad4!K56</f>
        <v>0</v>
      </c>
      <c r="L7" s="116">
        <f>Blad4!L56</f>
        <v>0</v>
      </c>
      <c r="M7" s="115"/>
      <c r="N7" s="115"/>
      <c r="O7" s="116">
        <f>Blad4!O56</f>
        <v>0</v>
      </c>
      <c r="P7" s="116">
        <f>Blad4!P56</f>
        <v>0</v>
      </c>
      <c r="Q7" s="116">
        <f>Blad4!Q56</f>
        <v>0</v>
      </c>
    </row>
    <row r="8" spans="1:16" ht="12.75" customHeight="1">
      <c r="A8" s="368"/>
      <c r="B8" s="85"/>
      <c r="C8" s="18"/>
      <c r="D8" s="18"/>
      <c r="E8" s="18"/>
      <c r="F8" s="18"/>
      <c r="G8" s="18"/>
      <c r="H8" s="18"/>
      <c r="I8" s="18"/>
      <c r="J8" s="40"/>
      <c r="K8" s="40"/>
      <c r="L8" s="40"/>
      <c r="M8" s="40"/>
      <c r="N8" s="40"/>
      <c r="O8" s="18"/>
      <c r="P8" s="18"/>
    </row>
    <row r="9" spans="1:16" ht="12.75" customHeight="1">
      <c r="A9" s="368"/>
      <c r="B9" s="101" t="s">
        <v>189</v>
      </c>
      <c r="C9" s="42"/>
      <c r="D9" s="42"/>
      <c r="E9" s="42"/>
      <c r="F9" s="37"/>
      <c r="H9" s="38"/>
      <c r="I9" s="38"/>
      <c r="O9" s="37"/>
      <c r="P9" s="37"/>
    </row>
    <row r="10" spans="1:16" ht="12.75" customHeight="1">
      <c r="A10" s="367">
        <f>A7+1</f>
        <v>502</v>
      </c>
      <c r="B10" s="102" t="s">
        <v>190</v>
      </c>
      <c r="C10" s="379"/>
      <c r="D10" s="379"/>
      <c r="E10" s="103">
        <f>Blad5!C10-Blad5!D10</f>
        <v>0</v>
      </c>
      <c r="F10" s="379"/>
      <c r="G10" s="103">
        <f>F10-C10</f>
        <v>0</v>
      </c>
      <c r="H10" s="41"/>
      <c r="I10" s="29"/>
      <c r="O10" s="37"/>
      <c r="P10" s="37"/>
    </row>
    <row r="11" spans="1:16" ht="12.75" customHeight="1">
      <c r="A11" s="367">
        <f>A10+1</f>
        <v>503</v>
      </c>
      <c r="B11" s="102" t="s">
        <v>191</v>
      </c>
      <c r="C11" s="379"/>
      <c r="D11" s="379"/>
      <c r="E11" s="103">
        <f>Blad5!C11-Blad5!D11</f>
        <v>0</v>
      </c>
      <c r="F11" s="379"/>
      <c r="G11" s="103">
        <f>F11-C11</f>
        <v>0</v>
      </c>
      <c r="H11" s="38"/>
      <c r="I11" s="29"/>
      <c r="O11" s="37"/>
      <c r="P11" s="37"/>
    </row>
    <row r="12" spans="1:17" ht="12.75" customHeight="1">
      <c r="A12" s="367">
        <f>A11+1</f>
        <v>504</v>
      </c>
      <c r="B12" s="102" t="s">
        <v>31</v>
      </c>
      <c r="C12" s="379"/>
      <c r="D12" s="379"/>
      <c r="E12" s="103">
        <f>Blad5!C12-Blad5!D12</f>
        <v>0</v>
      </c>
      <c r="F12" s="379"/>
      <c r="G12" s="103">
        <f>F12-C12</f>
        <v>0</v>
      </c>
      <c r="H12" s="109">
        <f>Blad14!J51</f>
        <v>5.94</v>
      </c>
      <c r="I12" s="109">
        <f>Blad14!K51</f>
        <v>2.17</v>
      </c>
      <c r="J12" s="103">
        <f>ROUND(E12*ROUND(H12*Blad3!$Y$4,2),0)</f>
        <v>0</v>
      </c>
      <c r="K12" s="103">
        <f>ROUND(E12*ROUND(I12*Blad3!$Z$4,2),0)</f>
        <v>0</v>
      </c>
      <c r="L12" s="103">
        <f>ROUND(C12*ROUND(H12*Blad3!Y$4,2),0)+ROUND(C12*ROUND(I12*Blad3!Z$4,2),0)</f>
        <v>0</v>
      </c>
      <c r="M12" s="112">
        <f>Blad14!L51</f>
        <v>5.99</v>
      </c>
      <c r="N12" s="112">
        <f>Blad14!M51</f>
        <v>2.2</v>
      </c>
      <c r="O12" s="104">
        <f>ROUND(($F12)*ROUND(M12*Blad3!$AA$5,2),0)</f>
        <v>0</v>
      </c>
      <c r="P12" s="104">
        <f>ROUND(($F12)*ROUND(N12*Blad3!$AB$5,2),0)</f>
        <v>0</v>
      </c>
      <c r="Q12" s="108">
        <f>ROUND($F12*(M12+N12),0)</f>
        <v>0</v>
      </c>
    </row>
    <row r="13" spans="1:17" ht="12.75" customHeight="1">
      <c r="A13" s="367">
        <f>A12+1</f>
        <v>505</v>
      </c>
      <c r="B13" s="102" t="s">
        <v>32</v>
      </c>
      <c r="C13" s="104">
        <f>SUM(C10:C12)</f>
        <v>0</v>
      </c>
      <c r="D13" s="104">
        <f>SUM(D10:D12)</f>
        <v>0</v>
      </c>
      <c r="E13" s="103">
        <f>Blad5!C13-Blad5!D13</f>
        <v>0</v>
      </c>
      <c r="F13" s="104">
        <f>SUM(F10:F12)</f>
        <v>0</v>
      </c>
      <c r="G13" s="103">
        <f>F13-C13</f>
        <v>0</v>
      </c>
      <c r="H13" s="113">
        <f>ROUND(IF(Blad5!C$15&lt;=15,Blad14!J52,IF(Blad5!C$15&gt;=76,Blad14!J53,ROUND((Blad5!C$15-15)*((Blad14!J53-Blad14!J52)/61),2)+Blad14!J52)),2)</f>
        <v>3.73</v>
      </c>
      <c r="I13" s="114">
        <f>ROUND(IF(Blad5!$C$15&lt;=15,Blad14!K52,IF(Blad5!$C$15&gt;=76,Blad14!K53,ROUND((Blad5!C$15-15)*((Blad14!K53-Blad14!K52)/61),2)+Blad14!K52)),2)</f>
        <v>1.36</v>
      </c>
      <c r="J13" s="103">
        <f>ROUND(E13*ROUND(H13*Blad3!$Y$4,2),0)</f>
        <v>0</v>
      </c>
      <c r="K13" s="103">
        <f>ROUND(E13*ROUND(I13*Blad3!$Z$4,2),0)</f>
        <v>0</v>
      </c>
      <c r="L13" s="103">
        <f>ROUND(C13*ROUND(H13*Blad3!Y$4,2),0)+ROUND(C13*ROUND(I13*Blad3!Z$4,2),0)</f>
        <v>0</v>
      </c>
      <c r="M13" s="113">
        <f>ROUND(IF(Blad5!F$15&lt;=15,Blad14!L52,IF(Blad5!F$15&gt;=76,Blad14!L53,ROUND((Blad5!F$15-15)*((Blad14!J53-Blad14!L52)/61),2)+Blad14!L52)),2)</f>
        <v>3.76</v>
      </c>
      <c r="N13" s="114">
        <f>ROUND(IF(Blad5!$F$15&lt;=15,Blad14!M52,IF(Blad5!$F$15&gt;=76,Blad14!M53,ROUND((Blad5!F$15-15)*((Blad14!M53-Blad14!M52)/61),2)+Blad14!M52)),2)</f>
        <v>1.39</v>
      </c>
      <c r="O13" s="104">
        <f>ROUND(($F13)*ROUND(M13*Blad3!$AA$5,2),0)</f>
        <v>0</v>
      </c>
      <c r="P13" s="104">
        <f>ROUND(($F13)*ROUND(N13*Blad3!$AB$5,2),0)</f>
        <v>0</v>
      </c>
      <c r="Q13" s="108">
        <f>ROUND($F13*(M13+N13),0)</f>
        <v>0</v>
      </c>
    </row>
    <row r="14" spans="1:17" ht="12.75" customHeight="1">
      <c r="A14" s="367">
        <f>A13+1</f>
        <v>506</v>
      </c>
      <c r="B14" s="102" t="s">
        <v>192</v>
      </c>
      <c r="C14" s="379"/>
      <c r="D14" s="379"/>
      <c r="E14" s="103">
        <f>Blad5!C14-Blad5!D14</f>
        <v>0</v>
      </c>
      <c r="F14" s="379"/>
      <c r="G14" s="103">
        <f>F14-C14</f>
        <v>0</v>
      </c>
      <c r="H14" s="136">
        <f>Blad14!J54</f>
        <v>0.63</v>
      </c>
      <c r="I14" s="136">
        <f>Blad14!K54</f>
        <v>0.561</v>
      </c>
      <c r="J14" s="103">
        <f>ROUND($E14*H14,0)</f>
        <v>0</v>
      </c>
      <c r="K14" s="103">
        <f>ROUND($E14*I14,0)</f>
        <v>0</v>
      </c>
      <c r="L14" s="108">
        <f>ROUND($C14*(H14+I14),0)</f>
        <v>0</v>
      </c>
      <c r="M14" s="128">
        <f>Blad14!L54</f>
        <v>0.65</v>
      </c>
      <c r="N14" s="128">
        <f>Blad14!M54</f>
        <v>0.58</v>
      </c>
      <c r="O14" s="104">
        <f>ROUND($F14*M14,0)</f>
        <v>0</v>
      </c>
      <c r="P14" s="104">
        <f>ROUND($F14*N14,0)</f>
        <v>0</v>
      </c>
      <c r="Q14" s="108">
        <f>ROUND($F14*(M14+N14),0)</f>
        <v>0</v>
      </c>
    </row>
    <row r="15" spans="1:16" ht="12.75" customHeight="1">
      <c r="A15" s="367">
        <f>A14+1</f>
        <v>507</v>
      </c>
      <c r="B15" s="102" t="s">
        <v>33</v>
      </c>
      <c r="C15" s="105">
        <f>IF(C10+C11&lt;&gt;0,ROUND((C11/(C10+C11))*100,0),0)</f>
        <v>0</v>
      </c>
      <c r="D15" s="105">
        <f>IF(D10+D11&lt;&gt;0,ROUND((D11/(D10+D11))*100,0),0)</f>
        <v>0</v>
      </c>
      <c r="E15" s="103"/>
      <c r="F15" s="105">
        <f>IF(F10+F11&lt;&gt;0,ROUND((F11/(F10+F11))*100,0),0)</f>
        <v>0</v>
      </c>
      <c r="G15" s="29"/>
      <c r="H15" s="29"/>
      <c r="I15" s="29"/>
      <c r="O15" s="37"/>
      <c r="P15" s="37"/>
    </row>
    <row r="16" spans="1:17" s="10" customFormat="1" ht="12.75" customHeight="1">
      <c r="A16" s="369"/>
      <c r="B16" s="62" t="s">
        <v>34</v>
      </c>
      <c r="C16" s="42"/>
      <c r="D16" s="42"/>
      <c r="E16" s="42"/>
      <c r="F16" s="42"/>
      <c r="G16" s="29"/>
      <c r="H16" s="29"/>
      <c r="I16" s="29"/>
      <c r="J16" s="88"/>
      <c r="K16" s="88"/>
      <c r="L16" s="88"/>
      <c r="M16" s="88"/>
      <c r="N16" s="88"/>
      <c r="O16" s="42"/>
      <c r="P16" s="42"/>
      <c r="Q16" s="88"/>
    </row>
    <row r="17" spans="1:17" ht="12.75" customHeight="1">
      <c r="A17" s="367">
        <f>A15+1</f>
        <v>508</v>
      </c>
      <c r="B17" s="106" t="s">
        <v>300</v>
      </c>
      <c r="C17" s="379"/>
      <c r="D17" s="379"/>
      <c r="E17" s="103">
        <f>C17-D17</f>
        <v>0</v>
      </c>
      <c r="F17" s="379"/>
      <c r="G17" s="103">
        <f>F17-C17</f>
        <v>0</v>
      </c>
      <c r="H17" s="107">
        <f>Blad14!J58</f>
        <v>0.413</v>
      </c>
      <c r="I17" s="107">
        <f>Blad14!K58</f>
        <v>0.085</v>
      </c>
      <c r="J17" s="103">
        <f>ROUND($E17*H17,0)</f>
        <v>0</v>
      </c>
      <c r="K17" s="103">
        <f>ROUND($E17*I17,0)</f>
        <v>0</v>
      </c>
      <c r="L17" s="108">
        <f>ROUND($C17*(H17+I17),0)</f>
        <v>0</v>
      </c>
      <c r="M17" s="107">
        <f>Blad14!L58</f>
        <v>0.413</v>
      </c>
      <c r="N17" s="107">
        <f>Blad14!M58</f>
        <v>0.085</v>
      </c>
      <c r="O17" s="104">
        <f>ROUND($F17*M17,0)</f>
        <v>0</v>
      </c>
      <c r="P17" s="104">
        <f>ROUND($F17*N17,0)</f>
        <v>0</v>
      </c>
      <c r="Q17" s="108">
        <f>ROUND($F17*(M17+N17),0)</f>
        <v>0</v>
      </c>
    </row>
    <row r="18" spans="1:17" s="10" customFormat="1" ht="12.75" customHeight="1">
      <c r="A18" s="369"/>
      <c r="B18" s="62" t="s">
        <v>35</v>
      </c>
      <c r="C18" s="42"/>
      <c r="D18" s="42"/>
      <c r="E18" s="42"/>
      <c r="F18" s="42"/>
      <c r="G18" s="29"/>
      <c r="H18" s="29"/>
      <c r="I18" s="29"/>
      <c r="J18" s="88"/>
      <c r="K18" s="88"/>
      <c r="L18" s="88"/>
      <c r="M18" s="88"/>
      <c r="N18" s="88"/>
      <c r="O18" s="42"/>
      <c r="P18" s="42"/>
      <c r="Q18" s="88"/>
    </row>
    <row r="19" spans="1:17" ht="12.75" customHeight="1">
      <c r="A19" s="367">
        <f>A17+1</f>
        <v>509</v>
      </c>
      <c r="B19" s="106" t="s">
        <v>301</v>
      </c>
      <c r="C19" s="379"/>
      <c r="D19" s="379"/>
      <c r="E19" s="103">
        <f>C19-D19</f>
        <v>0</v>
      </c>
      <c r="F19" s="379"/>
      <c r="G19" s="103">
        <f>F19-C19</f>
        <v>0</v>
      </c>
      <c r="H19" s="107">
        <f>Blad14!J59</f>
        <v>0.464</v>
      </c>
      <c r="I19" s="107">
        <f>Blad14!K59</f>
        <v>0.108</v>
      </c>
      <c r="J19" s="103">
        <f>ROUND($E19*H19,0)</f>
        <v>0</v>
      </c>
      <c r="K19" s="103">
        <f>ROUND($E19*I19,0)</f>
        <v>0</v>
      </c>
      <c r="L19" s="108">
        <f>ROUND($C19*(H19+I19),0)</f>
        <v>0</v>
      </c>
      <c r="M19" s="107">
        <f>Blad14!L59</f>
        <v>0.464</v>
      </c>
      <c r="N19" s="107">
        <f>Blad14!M59</f>
        <v>0.108</v>
      </c>
      <c r="O19" s="104">
        <f>ROUND($F19*M19,0)</f>
        <v>0</v>
      </c>
      <c r="P19" s="104">
        <f>ROUND($F19*N19,0)</f>
        <v>0</v>
      </c>
      <c r="Q19" s="108">
        <f>ROUND($F19*(M19+N19),0)</f>
        <v>0</v>
      </c>
    </row>
    <row r="20" spans="1:17" s="10" customFormat="1" ht="12.75" customHeight="1">
      <c r="A20" s="369"/>
      <c r="B20" s="62" t="s">
        <v>36</v>
      </c>
      <c r="C20" s="42"/>
      <c r="D20" s="42"/>
      <c r="E20" s="42"/>
      <c r="F20" s="42"/>
      <c r="G20" s="29"/>
      <c r="H20" s="29"/>
      <c r="I20" s="29"/>
      <c r="J20" s="88"/>
      <c r="K20" s="88"/>
      <c r="L20" s="88"/>
      <c r="M20" s="88"/>
      <c r="N20" s="88"/>
      <c r="O20" s="42"/>
      <c r="P20" s="42"/>
      <c r="Q20" s="88"/>
    </row>
    <row r="21" spans="1:17" ht="12.75" customHeight="1">
      <c r="A21" s="367">
        <f>A19+1</f>
        <v>510</v>
      </c>
      <c r="B21" s="106" t="s">
        <v>336</v>
      </c>
      <c r="C21" s="379"/>
      <c r="D21" s="379"/>
      <c r="E21" s="103">
        <f>C21-D21</f>
        <v>0</v>
      </c>
      <c r="F21" s="379"/>
      <c r="G21" s="103">
        <f>F21-C21</f>
        <v>0</v>
      </c>
      <c r="H21" s="107">
        <f>Blad14!J61</f>
        <v>0.849</v>
      </c>
      <c r="I21" s="107">
        <f>Blad14!K61</f>
        <v>0.17</v>
      </c>
      <c r="J21" s="103">
        <f>ROUND($E21*H21,0)</f>
        <v>0</v>
      </c>
      <c r="K21" s="103">
        <f>ROUND($E21*I21,0)</f>
        <v>0</v>
      </c>
      <c r="L21" s="108">
        <f>ROUND($C21*(H21+I21),0)</f>
        <v>0</v>
      </c>
      <c r="M21" s="107">
        <f>Blad14!L61</f>
        <v>0.849</v>
      </c>
      <c r="N21" s="107">
        <f>Blad14!M61</f>
        <v>0.17</v>
      </c>
      <c r="O21" s="104">
        <f>ROUND($F21*M21,0)</f>
        <v>0</v>
      </c>
      <c r="P21" s="104">
        <f>ROUND($F21*N21,0)</f>
        <v>0</v>
      </c>
      <c r="Q21" s="108">
        <f>ROUND($F21*(M21+N21),0)</f>
        <v>0</v>
      </c>
    </row>
    <row r="22" spans="1:17" s="10" customFormat="1" ht="12.75" customHeight="1">
      <c r="A22" s="369"/>
      <c r="B22" s="62" t="s">
        <v>123</v>
      </c>
      <c r="C22" s="42"/>
      <c r="D22" s="42"/>
      <c r="E22" s="42"/>
      <c r="F22" s="42"/>
      <c r="G22" s="29"/>
      <c r="H22" s="29"/>
      <c r="I22" s="29"/>
      <c r="J22" s="88"/>
      <c r="K22" s="88"/>
      <c r="L22" s="88"/>
      <c r="M22" s="88"/>
      <c r="N22" s="88"/>
      <c r="O22" s="42"/>
      <c r="P22" s="42"/>
      <c r="Q22" s="88"/>
    </row>
    <row r="23" spans="1:17" ht="12.75" customHeight="1">
      <c r="A23" s="367">
        <f>A21+1</f>
        <v>511</v>
      </c>
      <c r="B23" s="106" t="s">
        <v>301</v>
      </c>
      <c r="C23" s="379"/>
      <c r="D23" s="379"/>
      <c r="E23" s="103">
        <f>C23-D23</f>
        <v>0</v>
      </c>
      <c r="F23" s="379"/>
      <c r="G23" s="103">
        <f>F23-C23</f>
        <v>0</v>
      </c>
      <c r="H23" s="107">
        <f>Blad14!J60</f>
        <v>0.849</v>
      </c>
      <c r="I23" s="107">
        <f>Blad14!K60</f>
        <v>0.17</v>
      </c>
      <c r="J23" s="103">
        <f>ROUND($E23*H23,0)</f>
        <v>0</v>
      </c>
      <c r="K23" s="103">
        <f>ROUND($E23*I23,0)</f>
        <v>0</v>
      </c>
      <c r="L23" s="108">
        <f>ROUND($C23*(H23+I23),0)</f>
        <v>0</v>
      </c>
      <c r="M23" s="107">
        <f>Blad14!L60</f>
        <v>0.849</v>
      </c>
      <c r="N23" s="107">
        <f>Blad14!M60</f>
        <v>0.17</v>
      </c>
      <c r="O23" s="104">
        <f>ROUND($F23*M23,0)</f>
        <v>0</v>
      </c>
      <c r="P23" s="104">
        <f>ROUND($F23*N23,0)</f>
        <v>0</v>
      </c>
      <c r="Q23" s="108">
        <f>ROUND($F23*(M23+N23),0)</f>
        <v>0</v>
      </c>
    </row>
    <row r="24" spans="1:17" s="10" customFormat="1" ht="12.75" customHeight="1">
      <c r="A24" s="369"/>
      <c r="B24" s="62" t="s">
        <v>38</v>
      </c>
      <c r="C24" s="42"/>
      <c r="D24" s="42"/>
      <c r="E24" s="42"/>
      <c r="F24" s="42"/>
      <c r="G24" s="29"/>
      <c r="H24" s="29"/>
      <c r="I24" s="29"/>
      <c r="J24" s="88"/>
      <c r="K24" s="88"/>
      <c r="L24" s="88"/>
      <c r="M24" s="88"/>
      <c r="N24" s="88"/>
      <c r="O24" s="42"/>
      <c r="P24" s="42"/>
      <c r="Q24" s="88"/>
    </row>
    <row r="25" spans="1:17" ht="12.75" customHeight="1">
      <c r="A25" s="367">
        <f>A23+1</f>
        <v>512</v>
      </c>
      <c r="B25" s="106" t="s">
        <v>37</v>
      </c>
      <c r="C25" s="379"/>
      <c r="D25" s="379"/>
      <c r="E25" s="103">
        <f>C25-D25</f>
        <v>0</v>
      </c>
      <c r="F25" s="379"/>
      <c r="G25" s="103">
        <f>F25-C25</f>
        <v>0</v>
      </c>
      <c r="H25" s="109">
        <f>Blad14!J50</f>
        <v>9.71</v>
      </c>
      <c r="I25" s="109">
        <f>Blad14!K50</f>
        <v>5.31</v>
      </c>
      <c r="J25" s="103">
        <f>ROUND(E25*ROUND(H25*Blad3!$Y$4,2),0)</f>
        <v>0</v>
      </c>
      <c r="K25" s="103">
        <f>ROUND(E25*ROUND(I25*Blad3!$Z$4,2),0)</f>
        <v>0</v>
      </c>
      <c r="L25" s="103">
        <f>ROUND(C25*ROUND(H25*Blad3!Y$4,2),0)+ROUND(C25*ROUND(I25*Blad3!Z$4,2),0)</f>
        <v>0</v>
      </c>
      <c r="M25" s="109">
        <f>Blad14!L50</f>
        <v>9.8</v>
      </c>
      <c r="N25" s="109">
        <f>Blad14!M50</f>
        <v>5.39</v>
      </c>
      <c r="O25" s="104">
        <f>ROUND(($F25)*ROUND(M25*Blad3!$AA$5,2),0)</f>
        <v>0</v>
      </c>
      <c r="P25" s="104">
        <f>ROUND(($F25)*ROUND(N25*Blad3!$AB$5,2),0)</f>
        <v>0</v>
      </c>
      <c r="Q25" s="108">
        <f>ROUND(F25*ROUND(M25*Blad3!$AA$5,0),0)+ROUND(F25*ROUND(N25*Blad3!$AB$5,0),0)</f>
        <v>0</v>
      </c>
    </row>
    <row r="26" spans="1:17" s="10" customFormat="1" ht="12.75" customHeight="1">
      <c r="A26" s="369"/>
      <c r="B26" s="62" t="s">
        <v>39</v>
      </c>
      <c r="C26" s="29"/>
      <c r="D26" s="29"/>
      <c r="E26" s="29"/>
      <c r="F26" s="29"/>
      <c r="G26" s="29"/>
      <c r="H26" s="29"/>
      <c r="I26" s="29"/>
      <c r="J26" s="88"/>
      <c r="K26" s="88"/>
      <c r="L26" s="88"/>
      <c r="M26" s="88"/>
      <c r="N26" s="88"/>
      <c r="O26" s="42"/>
      <c r="P26" s="42"/>
      <c r="Q26" s="88"/>
    </row>
    <row r="27" spans="1:17" ht="12.75" customHeight="1">
      <c r="A27" s="367">
        <f>A25+1</f>
        <v>513</v>
      </c>
      <c r="B27" s="106" t="s">
        <v>127</v>
      </c>
      <c r="C27" s="379"/>
      <c r="D27" s="379"/>
      <c r="E27" s="103">
        <f>C27-D27</f>
        <v>0</v>
      </c>
      <c r="F27" s="379"/>
      <c r="G27" s="103">
        <f>F27-C27</f>
        <v>0</v>
      </c>
      <c r="H27" s="109">
        <f>Blad14!J55</f>
        <v>7.03</v>
      </c>
      <c r="I27" s="109">
        <f>Blad14!K55</f>
        <v>1.97</v>
      </c>
      <c r="J27" s="103">
        <f>ROUND(E27*ROUND(H27*Blad3!$Y$4,2),0)</f>
        <v>0</v>
      </c>
      <c r="K27" s="103">
        <f>ROUND(E27*ROUND(I27*Blad3!$Z$4,2),0)</f>
        <v>0</v>
      </c>
      <c r="L27" s="103">
        <f>ROUND(C27*ROUND(H27*Blad3!Y$4,2),0)+ROUND(C27*ROUND(I27*Blad3!Z$4,2),0)</f>
        <v>0</v>
      </c>
      <c r="M27" s="109">
        <f>Blad14!L55</f>
        <v>7.09</v>
      </c>
      <c r="N27" s="109">
        <f>Blad14!M55</f>
        <v>2</v>
      </c>
      <c r="O27" s="104">
        <f>ROUND(($F27)*ROUND(M27*Blad3!$AA$5,2),0)</f>
        <v>0</v>
      </c>
      <c r="P27" s="104">
        <f>ROUND(($F27)*ROUND(N27*Blad3!$AB$5,2),0)</f>
        <v>0</v>
      </c>
      <c r="Q27" s="108">
        <f>ROUND(F27*ROUND(M27*Blad3!$AA$5,2),0)+ROUND(F27*ROUND(N27*Blad3!$AB$5,2),0)</f>
        <v>0</v>
      </c>
    </row>
    <row r="28" spans="1:17" ht="12.75" customHeight="1">
      <c r="A28" s="367">
        <f>A27+1</f>
        <v>514</v>
      </c>
      <c r="B28" s="106" t="s">
        <v>142</v>
      </c>
      <c r="C28" s="379"/>
      <c r="D28" s="379"/>
      <c r="E28" s="103">
        <f>C28-D28</f>
        <v>0</v>
      </c>
      <c r="F28" s="379"/>
      <c r="G28" s="103">
        <f>F28-C28</f>
        <v>0</v>
      </c>
      <c r="H28" s="109">
        <f>Blad14!J56</f>
        <v>238.13</v>
      </c>
      <c r="I28" s="109">
        <f>Blad14!K56</f>
        <v>200.43</v>
      </c>
      <c r="J28" s="103">
        <f>ROUND(E28*ROUND(H28*Blad3!$Y$4,2),0)</f>
        <v>0</v>
      </c>
      <c r="K28" s="103">
        <f>ROUND(E28*ROUND(I28*Blad3!$Z$4,2),0)</f>
        <v>0</v>
      </c>
      <c r="L28" s="103">
        <f>ROUND(C28*ROUND(H28*Blad3!Y$4,2),0)+ROUND(C28*ROUND(I28*Blad3!Z$4,2),0)</f>
        <v>0</v>
      </c>
      <c r="M28" s="109">
        <f>Blad14!L56</f>
        <v>240.32</v>
      </c>
      <c r="N28" s="109">
        <f>Blad14!M56</f>
        <v>203.28</v>
      </c>
      <c r="O28" s="104">
        <f>ROUND(($F28)*ROUND(M28*Blad3!$AA$5,2),0)</f>
        <v>0</v>
      </c>
      <c r="P28" s="104">
        <f>ROUND(($F28)*ROUND(N28*Blad3!$AB$5,2),0)</f>
        <v>0</v>
      </c>
      <c r="Q28" s="108">
        <f>ROUND(F28*ROUND(M28*Blad3!$AA$5,2),0)+ROUND(F28*ROUND(N28*Blad3!$AB$5,2),0)</f>
        <v>0</v>
      </c>
    </row>
    <row r="29" spans="1:17" ht="12.75" customHeight="1">
      <c r="A29" s="367">
        <f>A28+1</f>
        <v>515</v>
      </c>
      <c r="B29" s="106" t="s">
        <v>143</v>
      </c>
      <c r="C29" s="379"/>
      <c r="D29" s="379"/>
      <c r="E29" s="103">
        <f>C29-D29</f>
        <v>0</v>
      </c>
      <c r="F29" s="379"/>
      <c r="G29" s="103">
        <f>F29-C29</f>
        <v>0</v>
      </c>
      <c r="H29" s="109">
        <f>Blad14!J57</f>
        <v>202.47</v>
      </c>
      <c r="I29" s="109">
        <f>Blad14!K57</f>
        <v>632.13</v>
      </c>
      <c r="J29" s="103">
        <f>ROUND(E29*ROUND(H29*Blad3!$Y$4,2),0)</f>
        <v>0</v>
      </c>
      <c r="K29" s="103">
        <f>ROUND(E29*ROUND(I29*Blad3!$Z$4,2),0)</f>
        <v>0</v>
      </c>
      <c r="L29" s="103">
        <f>ROUND(C29*ROUND(H29*Blad3!Y$4,2),0)+ROUND(C29*ROUND(I29*Blad3!Z$4,2),0)</f>
        <v>0</v>
      </c>
      <c r="M29" s="109">
        <f>Blad14!L57</f>
        <v>204.33</v>
      </c>
      <c r="N29" s="109">
        <f>Blad14!M57</f>
        <v>641.11</v>
      </c>
      <c r="O29" s="104">
        <f>ROUND(($F29)*ROUND(M29*Blad3!$AA$5,2),0)</f>
        <v>0</v>
      </c>
      <c r="P29" s="104">
        <f>ROUND(($F29)*ROUND(N29*Blad3!$AB$5,2),0)</f>
        <v>0</v>
      </c>
      <c r="Q29" s="108">
        <f>ROUND(F29*ROUND(M29*Blad3!$AA$5,2),0)+ROUND(F29*ROUND(N29*Blad3!$AB$5,2),0)</f>
        <v>0</v>
      </c>
    </row>
    <row r="30" spans="1:17" s="10" customFormat="1" ht="12.75" customHeight="1">
      <c r="A30" s="369"/>
      <c r="B30" s="62" t="s">
        <v>40</v>
      </c>
      <c r="C30" s="42"/>
      <c r="D30" s="42"/>
      <c r="E30" s="42"/>
      <c r="F30" s="42"/>
      <c r="G30" s="29"/>
      <c r="H30" s="29"/>
      <c r="I30" s="29"/>
      <c r="J30" s="88"/>
      <c r="K30" s="88"/>
      <c r="L30" s="88"/>
      <c r="M30" s="88"/>
      <c r="N30" s="88"/>
      <c r="O30" s="42"/>
      <c r="P30" s="42"/>
      <c r="Q30" s="88"/>
    </row>
    <row r="31" spans="1:17" ht="12.75" customHeight="1">
      <c r="A31" s="367">
        <f>A29+1</f>
        <v>516</v>
      </c>
      <c r="B31" s="110" t="s">
        <v>41</v>
      </c>
      <c r="C31" s="379"/>
      <c r="D31" s="379"/>
      <c r="E31" s="103">
        <f>C31-D31</f>
        <v>0</v>
      </c>
      <c r="F31" s="379"/>
      <c r="G31" s="103">
        <f>F31-C31</f>
        <v>0</v>
      </c>
      <c r="H31" s="109">
        <f>Blad3!H16</f>
        <v>0</v>
      </c>
      <c r="I31" s="109">
        <f>Blad3!I16</f>
        <v>0</v>
      </c>
      <c r="J31" s="103">
        <f>ROUND(E31*ROUND(H31*Blad3!$Y$4,2),0)</f>
        <v>0</v>
      </c>
      <c r="K31" s="103">
        <f>ROUND(E31*ROUND(I31*Blad3!$Z$4,2),0)</f>
        <v>0</v>
      </c>
      <c r="L31" s="103">
        <f>ROUND(C31*ROUND(H31*Blad3!Y$4,2),0)+ROUND(C31*ROUND(I31*Blad3!Z$4,2),0)</f>
        <v>0</v>
      </c>
      <c r="M31" s="109">
        <f>Blad3!M16</f>
        <v>0</v>
      </c>
      <c r="N31" s="109">
        <f>Blad3!N16</f>
        <v>0</v>
      </c>
      <c r="O31" s="104">
        <f>ROUND(($F31)*ROUND(M31*Blad3!$AA$5,2),0)</f>
        <v>0</v>
      </c>
      <c r="P31" s="104">
        <f>ROUND(($F31)*ROUND(N31*Blad3!$AB$5,2),0)</f>
        <v>0</v>
      </c>
      <c r="Q31" s="108">
        <f>ROUND(F31*ROUND(M31*Blad3!$AA$5,2),0)+ROUND(F31*ROUND(N31*Blad3!$AB$5,2),0)</f>
        <v>0</v>
      </c>
    </row>
    <row r="32" spans="1:17" ht="12.75" customHeight="1">
      <c r="A32" s="367">
        <f>A31+1</f>
        <v>517</v>
      </c>
      <c r="B32" s="110" t="s">
        <v>302</v>
      </c>
      <c r="C32" s="379"/>
      <c r="D32" s="379"/>
      <c r="E32" s="103">
        <f>C32-D32</f>
        <v>0</v>
      </c>
      <c r="F32" s="379"/>
      <c r="G32" s="103">
        <f>F32-C32</f>
        <v>0</v>
      </c>
      <c r="H32" s="111">
        <v>1</v>
      </c>
      <c r="I32" s="103"/>
      <c r="J32" s="103">
        <f>E32*$H32</f>
        <v>0</v>
      </c>
      <c r="K32" s="108"/>
      <c r="L32" s="105">
        <f>C32</f>
        <v>0</v>
      </c>
      <c r="M32" s="111">
        <v>1</v>
      </c>
      <c r="N32" s="103"/>
      <c r="O32" s="103">
        <f>($F32)*M32</f>
        <v>0</v>
      </c>
      <c r="Q32" s="108">
        <f>F32*M32</f>
        <v>0</v>
      </c>
    </row>
    <row r="33" spans="1:17" ht="12.75" customHeight="1">
      <c r="A33" s="367">
        <f>A32+1</f>
        <v>518</v>
      </c>
      <c r="B33" s="110" t="s">
        <v>303</v>
      </c>
      <c r="C33" s="379"/>
      <c r="D33" s="379"/>
      <c r="E33" s="103">
        <f>C33-D33</f>
        <v>0</v>
      </c>
      <c r="F33" s="379"/>
      <c r="G33" s="103">
        <f>F33-C33</f>
        <v>0</v>
      </c>
      <c r="H33" s="29"/>
      <c r="I33" s="111">
        <v>1</v>
      </c>
      <c r="K33" s="103">
        <f>E33*$I33</f>
        <v>0</v>
      </c>
      <c r="L33" s="105">
        <f>C33</f>
        <v>0</v>
      </c>
      <c r="M33" s="29"/>
      <c r="N33" s="111">
        <v>1</v>
      </c>
      <c r="P33" s="137">
        <f>($F33)*N33</f>
        <v>0</v>
      </c>
      <c r="Q33" s="108">
        <f>F33*N33</f>
        <v>0</v>
      </c>
    </row>
    <row r="34" spans="1:16" ht="12.75" customHeight="1">
      <c r="A34" s="368"/>
      <c r="B34" s="88"/>
      <c r="C34" s="42"/>
      <c r="D34" s="42"/>
      <c r="E34" s="42"/>
      <c r="F34" s="37"/>
      <c r="H34" s="38"/>
      <c r="O34" s="37"/>
      <c r="P34" s="37"/>
    </row>
    <row r="35" spans="1:17" ht="12.75" customHeight="1">
      <c r="A35" s="367">
        <f>A33+1</f>
        <v>519</v>
      </c>
      <c r="B35" s="61" t="s">
        <v>125</v>
      </c>
      <c r="C35" s="42"/>
      <c r="D35" s="42"/>
      <c r="E35" s="42"/>
      <c r="F35" s="37"/>
      <c r="H35" s="42"/>
      <c r="I35" s="42"/>
      <c r="J35" s="103">
        <f>SUM(J7:J33)</f>
        <v>0</v>
      </c>
      <c r="K35" s="103">
        <f>SUM(K7:K33)</f>
        <v>0</v>
      </c>
      <c r="L35" s="104">
        <f>SUM(L7:L33)</f>
        <v>0</v>
      </c>
      <c r="M35" s="42"/>
      <c r="N35" s="42"/>
      <c r="O35" s="104">
        <f>SUM(O7:O33)</f>
        <v>0</v>
      </c>
      <c r="P35" s="104">
        <f>SUM(P7:P33)</f>
        <v>0</v>
      </c>
      <c r="Q35" s="104">
        <f>SUM(Q7:Q33)</f>
        <v>0</v>
      </c>
    </row>
    <row r="36" spans="2:14" ht="12.75" customHeight="1">
      <c r="B36" s="61"/>
      <c r="C36" s="42"/>
      <c r="D36" s="42"/>
      <c r="E36" s="42"/>
      <c r="F36" s="37"/>
      <c r="H36" s="42"/>
      <c r="I36" s="42"/>
      <c r="J36" s="42" t="s">
        <v>305</v>
      </c>
      <c r="K36" s="42"/>
      <c r="L36" s="42"/>
      <c r="M36" s="42"/>
      <c r="N36" s="42"/>
    </row>
    <row r="37" spans="3:18" ht="12.75" customHeight="1">
      <c r="C37" s="135"/>
      <c r="D37" s="29"/>
      <c r="E37" s="29"/>
      <c r="F37" s="38"/>
      <c r="G37" s="38"/>
      <c r="H37" s="38"/>
      <c r="I37" s="38"/>
      <c r="J37" s="38"/>
      <c r="K37" s="38"/>
      <c r="L37" s="38"/>
      <c r="M37" s="38"/>
      <c r="N37" s="38"/>
      <c r="O37" s="37"/>
      <c r="P37" s="37"/>
      <c r="Q37" s="37"/>
      <c r="R37" s="12"/>
    </row>
    <row r="38" spans="3:14" ht="12.75" customHeight="1">
      <c r="C38" s="42"/>
      <c r="D38" s="42"/>
      <c r="E38" s="42"/>
      <c r="F38" s="37"/>
      <c r="H38" s="42"/>
      <c r="I38" s="42"/>
      <c r="J38" s="42"/>
      <c r="K38" s="42"/>
      <c r="L38" s="42"/>
      <c r="M38" s="42"/>
      <c r="N38" s="42"/>
    </row>
    <row r="39" spans="2:6" ht="12.75" customHeight="1">
      <c r="B39" s="85" t="str">
        <f>CONCATENATE("*     Voor rekenstaat ",Blad1!B3-1," zie productieafsprakenformulier ",Blad1!B3-1," eventueel aangevuld met latere afspraken. Een decentrale afname is een afname ten behoeve van de eerste lijn patiënten, ")</f>
        <v>*     Voor rekenstaat 2005 zie productieafsprakenformulier 2005 eventueel aangevuld met latere afspraken. Een decentrale afname is een afname ten behoeve van de eerste lijn patiënten, </v>
      </c>
      <c r="C39" s="42"/>
      <c r="D39" s="42"/>
      <c r="E39" s="42"/>
      <c r="F39" s="37"/>
    </row>
    <row r="40" spans="2:9" ht="12.75" customHeight="1">
      <c r="B40" s="7" t="s">
        <v>566</v>
      </c>
      <c r="C40" s="87"/>
      <c r="D40" s="87"/>
      <c r="E40" s="87"/>
      <c r="F40" s="43"/>
      <c r="G40" s="43"/>
      <c r="H40" s="43"/>
      <c r="I40" s="43"/>
    </row>
    <row r="41" spans="2:9" ht="12.75" customHeight="1">
      <c r="B41" s="7" t="s">
        <v>567</v>
      </c>
      <c r="C41" s="87"/>
      <c r="D41" s="87"/>
      <c r="E41" s="87"/>
      <c r="F41" s="43"/>
      <c r="G41" s="43"/>
      <c r="H41" s="43"/>
      <c r="I41" s="43"/>
    </row>
    <row r="42" spans="3:9" ht="12.75" customHeight="1">
      <c r="C42" s="87"/>
      <c r="D42" s="87"/>
      <c r="E42" s="87"/>
      <c r="F42" s="43"/>
      <c r="G42" s="43"/>
      <c r="H42" s="43"/>
      <c r="I42" s="43"/>
    </row>
    <row r="43" spans="2:9" ht="12.75" customHeight="1">
      <c r="B43" s="86" t="s">
        <v>304</v>
      </c>
      <c r="C43" s="87"/>
      <c r="D43" s="87"/>
      <c r="E43" s="87"/>
      <c r="F43" s="43"/>
      <c r="G43" s="43"/>
      <c r="H43" s="43"/>
      <c r="I43" s="43"/>
    </row>
    <row r="44" spans="2:9" ht="12.75" customHeight="1">
      <c r="B44" s="86" t="s">
        <v>128</v>
      </c>
      <c r="C44" s="87"/>
      <c r="D44" s="87"/>
      <c r="E44" s="87"/>
      <c r="F44" s="43"/>
      <c r="G44" s="43"/>
      <c r="H44" s="43"/>
      <c r="I44" s="43"/>
    </row>
    <row r="45" spans="2:9" ht="12.75" customHeight="1">
      <c r="B45" s="87" t="s">
        <v>187</v>
      </c>
      <c r="C45" s="87"/>
      <c r="D45" s="87"/>
      <c r="E45" s="87"/>
      <c r="F45" s="43"/>
      <c r="G45" s="43"/>
      <c r="H45" s="43"/>
      <c r="I45" s="43"/>
    </row>
    <row r="46" spans="2:9" ht="12.75" customHeight="1">
      <c r="B46" s="87" t="s">
        <v>129</v>
      </c>
      <c r="C46" s="87"/>
      <c r="D46" s="87"/>
      <c r="E46" s="87"/>
      <c r="F46" s="43"/>
      <c r="G46" s="43"/>
      <c r="H46" s="43"/>
      <c r="I46" s="43"/>
    </row>
    <row r="47" spans="2:9" ht="12.75" customHeight="1">
      <c r="B47" s="87" t="s">
        <v>188</v>
      </c>
      <c r="C47" s="29"/>
      <c r="D47" s="87"/>
      <c r="E47" s="87"/>
      <c r="F47" s="43"/>
      <c r="G47" s="43"/>
      <c r="H47" s="43"/>
      <c r="I47" s="43"/>
    </row>
    <row r="48" spans="2:9" ht="12.75" customHeight="1">
      <c r="B48" s="87" t="s">
        <v>130</v>
      </c>
      <c r="C48" s="89"/>
      <c r="D48" s="89"/>
      <c r="E48" s="89"/>
      <c r="F48" s="13"/>
      <c r="G48" s="38"/>
      <c r="H48" s="38"/>
      <c r="I48" s="38"/>
    </row>
    <row r="49" spans="2:9" ht="12.75" customHeight="1">
      <c r="B49" s="86" t="s">
        <v>131</v>
      </c>
      <c r="C49" s="89"/>
      <c r="D49" s="89"/>
      <c r="E49" s="89"/>
      <c r="F49" s="13"/>
      <c r="G49" s="38"/>
      <c r="H49" s="38"/>
      <c r="I49" s="38"/>
    </row>
    <row r="50" spans="2:9" ht="12.75" customHeight="1">
      <c r="B50" s="28"/>
      <c r="C50" s="89"/>
      <c r="D50" s="89"/>
      <c r="E50" s="89"/>
      <c r="F50" s="13"/>
      <c r="G50" s="38"/>
      <c r="H50" s="38"/>
      <c r="I50" s="38"/>
    </row>
    <row r="51" spans="2:9" ht="12.75" customHeight="1">
      <c r="B51" s="28"/>
      <c r="C51" s="89"/>
      <c r="D51" s="89"/>
      <c r="E51" s="89"/>
      <c r="F51" s="13"/>
      <c r="G51" s="38"/>
      <c r="H51" s="38"/>
      <c r="I51" s="38"/>
    </row>
    <row r="52" spans="2:9" ht="12.75" customHeight="1">
      <c r="B52" s="28"/>
      <c r="C52" s="89"/>
      <c r="D52" s="89"/>
      <c r="E52" s="89"/>
      <c r="F52" s="13"/>
      <c r="G52" s="38"/>
      <c r="H52" s="38"/>
      <c r="I52" s="38"/>
    </row>
    <row r="53" spans="2:9" ht="12.75" customHeight="1">
      <c r="B53" s="10"/>
      <c r="C53" s="90"/>
      <c r="D53" s="89"/>
      <c r="E53" s="89"/>
      <c r="F53" s="13"/>
      <c r="G53" s="38"/>
      <c r="H53" s="38"/>
      <c r="I53" s="38"/>
    </row>
    <row r="54" spans="2:5" ht="12.75" customHeight="1">
      <c r="B54" s="10"/>
      <c r="C54" s="90"/>
      <c r="D54" s="90"/>
      <c r="E54" s="90"/>
    </row>
    <row r="55" spans="2:5" ht="12.75" customHeight="1">
      <c r="B55" s="10"/>
      <c r="C55" s="90"/>
      <c r="D55" s="90"/>
      <c r="E55" s="90"/>
    </row>
    <row r="56" spans="2:5" ht="12.75" customHeight="1">
      <c r="B56" s="10"/>
      <c r="C56" s="90"/>
      <c r="D56" s="90"/>
      <c r="E56" s="90"/>
    </row>
    <row r="57" spans="2:5" ht="12.75" customHeight="1">
      <c r="B57" s="10"/>
      <c r="C57" s="90"/>
      <c r="D57" s="90"/>
      <c r="E57" s="90"/>
    </row>
    <row r="58" spans="2:5" ht="12.75" customHeight="1">
      <c r="B58" s="10"/>
      <c r="C58" s="90"/>
      <c r="D58" s="90"/>
      <c r="E58" s="90"/>
    </row>
    <row r="59" spans="2:5" ht="12.75" customHeight="1">
      <c r="B59" s="10"/>
      <c r="C59" s="90"/>
      <c r="D59" s="90"/>
      <c r="E59" s="90"/>
    </row>
    <row r="60" spans="2:5" ht="12.75" customHeight="1">
      <c r="B60" s="10"/>
      <c r="C60" s="90"/>
      <c r="D60" s="90"/>
      <c r="E60" s="90"/>
    </row>
    <row r="61" spans="2:5" ht="12.75" customHeight="1">
      <c r="B61" s="10"/>
      <c r="C61" s="90"/>
      <c r="D61" s="90"/>
      <c r="E61" s="90"/>
    </row>
    <row r="62" spans="2:5" ht="12.75" customHeight="1">
      <c r="B62" s="10"/>
      <c r="C62" s="90"/>
      <c r="D62" s="90"/>
      <c r="E62" s="90"/>
    </row>
    <row r="63" spans="2:5" ht="12.75" customHeight="1">
      <c r="B63" s="10"/>
      <c r="C63" s="90"/>
      <c r="D63" s="90"/>
      <c r="E63" s="90"/>
    </row>
    <row r="64" spans="2:5" ht="12.75" customHeight="1">
      <c r="B64" s="10"/>
      <c r="C64" s="90"/>
      <c r="D64" s="90"/>
      <c r="E64" s="90"/>
    </row>
    <row r="65" spans="2:17" ht="12.75" customHeight="1">
      <c r="B65" s="10"/>
      <c r="C65" s="90"/>
      <c r="D65" s="90"/>
      <c r="E65" s="90"/>
      <c r="Q65" s="39">
        <f>Blad4!R65+1</f>
        <v>5</v>
      </c>
    </row>
    <row r="66" spans="2:5" ht="12.75" customHeight="1">
      <c r="B66" s="10"/>
      <c r="C66" s="90"/>
      <c r="D66" s="90"/>
      <c r="E66" s="90"/>
    </row>
    <row r="67" spans="2:5" ht="12.75" customHeight="1">
      <c r="B67" s="10"/>
      <c r="C67" s="90"/>
      <c r="D67" s="90"/>
      <c r="E67" s="90"/>
    </row>
    <row r="68" spans="2:5" ht="12.75" customHeight="1">
      <c r="B68" s="10"/>
      <c r="C68" s="90"/>
      <c r="D68" s="90"/>
      <c r="E68" s="90"/>
    </row>
    <row r="69" spans="2:5" ht="12.75" customHeight="1">
      <c r="B69" s="10"/>
      <c r="C69" s="90"/>
      <c r="D69" s="90"/>
      <c r="E69" s="90"/>
    </row>
    <row r="70" spans="2:5" ht="12.75" customHeight="1">
      <c r="B70" s="10"/>
      <c r="C70" s="90"/>
      <c r="D70" s="90"/>
      <c r="E70" s="90"/>
    </row>
    <row r="71" spans="2:5" ht="12.75" customHeight="1">
      <c r="B71" s="10"/>
      <c r="C71" s="90"/>
      <c r="D71" s="90"/>
      <c r="E71" s="90"/>
    </row>
    <row r="72" spans="2:5" ht="12.75" customHeight="1">
      <c r="B72" s="10"/>
      <c r="C72" s="90"/>
      <c r="D72" s="90"/>
      <c r="E72" s="90"/>
    </row>
    <row r="73" spans="2:5" ht="12.75" customHeight="1">
      <c r="B73" s="10"/>
      <c r="C73" s="90"/>
      <c r="D73" s="90"/>
      <c r="E73" s="90"/>
    </row>
    <row r="74" spans="2:5" ht="12.75" customHeight="1">
      <c r="B74" s="10"/>
      <c r="C74" s="90"/>
      <c r="D74" s="90"/>
      <c r="E74" s="90"/>
    </row>
    <row r="75" spans="2:5" ht="12.75" customHeight="1">
      <c r="B75" s="10"/>
      <c r="C75" s="90"/>
      <c r="D75" s="90"/>
      <c r="E75" s="90"/>
    </row>
    <row r="76" spans="2:5" ht="12.75" customHeight="1">
      <c r="B76" s="10"/>
      <c r="C76" s="90"/>
      <c r="D76" s="90"/>
      <c r="E76" s="90"/>
    </row>
    <row r="77" spans="2:5" ht="12.75" customHeight="1">
      <c r="B77" s="10"/>
      <c r="C77" s="90"/>
      <c r="D77" s="90"/>
      <c r="E77" s="90"/>
    </row>
    <row r="78" spans="2:5" ht="12.75" customHeight="1">
      <c r="B78" s="10"/>
      <c r="C78" s="90"/>
      <c r="D78" s="90"/>
      <c r="E78" s="90"/>
    </row>
  </sheetData>
  <sheetProtection password="CCBC" sheet="1" objects="1" scenarios="1"/>
  <mergeCells count="2">
    <mergeCell ref="M3:P3"/>
    <mergeCell ref="H3:K3"/>
  </mergeCells>
  <conditionalFormatting sqref="F10:F12 F14 C31:D33 F31:F33 C27:D29 F27:F29 C25:D25 F25 C23:D23 F23 C21:D21 F21 C19:D19 F19 C17:D17 F17 C10:D12 C14:D14">
    <cfRule type="expression" priority="1" dxfId="0" stopIfTrue="1">
      <formula>$B$2=TRUE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4" r:id="rId1"/>
  <headerFooter alignWithMargins="0">
    <oddHeader>&amp;L&amp;"Arial,Vet"Bijlage 1 bij circulaire JHYM/xxxx/CI/06/xxc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tabColor indexed="50"/>
    <pageSetUpPr fitToPage="1"/>
  </sheetPr>
  <dimension ref="A1:S89"/>
  <sheetViews>
    <sheetView showGridLines="0" showRowColHeaders="0" showZeros="0" showOutlineSymbols="0" view="pageBreakPreview" zoomScale="75" zoomScaleSheetLayoutView="75" workbookViewId="0" topLeftCell="A1">
      <selection activeCell="F7" sqref="F7"/>
    </sheetView>
  </sheetViews>
  <sheetFormatPr defaultColWidth="9.140625" defaultRowHeight="12.75" customHeight="1"/>
  <cols>
    <col min="1" max="1" width="5.140625" style="2" bestFit="1" customWidth="1"/>
    <col min="2" max="2" width="56.57421875" style="0" customWidth="1"/>
    <col min="3" max="3" width="3.28125" style="0" customWidth="1"/>
    <col min="4" max="13" width="12.7109375" style="0" customWidth="1"/>
  </cols>
  <sheetData>
    <row r="1" spans="1:13" s="21" customFormat="1" ht="12.75" customHeight="1">
      <c r="A1" s="2"/>
      <c r="B1" s="3" t="s">
        <v>516</v>
      </c>
      <c r="C1" s="2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1" customFormat="1" ht="12.75" customHeight="1">
      <c r="A2" s="2"/>
      <c r="B2" s="179" t="b">
        <f>Blad1!A25</f>
        <v>1</v>
      </c>
      <c r="C2" s="2"/>
      <c r="D2" s="2"/>
      <c r="E2" s="7"/>
      <c r="F2" s="7"/>
      <c r="G2" s="7"/>
      <c r="H2" s="7"/>
      <c r="I2" s="7"/>
      <c r="J2" s="7"/>
      <c r="K2" s="7"/>
      <c r="L2" s="7"/>
      <c r="M2" s="7"/>
    </row>
    <row r="3" spans="1:19" s="21" customFormat="1" ht="12.75" customHeight="1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24"/>
      <c r="R3" s="25"/>
      <c r="S3" s="25"/>
    </row>
    <row r="4" spans="1:13" s="21" customFormat="1" ht="12.75" customHeight="1">
      <c r="A4" s="2"/>
      <c r="B4" s="2" t="s">
        <v>270</v>
      </c>
      <c r="C4" s="7"/>
      <c r="D4" s="7"/>
      <c r="E4" s="7"/>
      <c r="F4" s="7"/>
      <c r="G4" s="10"/>
      <c r="H4" s="7"/>
      <c r="I4" s="7"/>
      <c r="J4" s="7"/>
      <c r="K4" s="10"/>
      <c r="L4" s="7"/>
      <c r="M4" s="7"/>
    </row>
    <row r="5" spans="1:13" s="21" customFormat="1" ht="12.75" customHeight="1">
      <c r="A5" s="2"/>
      <c r="B5" s="2" t="str">
        <f>CONCATENATE("Dit blad geldt alleen voor de zgn. experiment-DBC's die zijn geopend in ",Blad1!B3-2," en die zijn afgesloten in ",Blad1!B3-1,".")</f>
        <v>Dit blad geldt alleen voor de zgn. experiment-DBC's die zijn geopend in 2004 en die zijn afgesloten in 2005.</v>
      </c>
      <c r="C5" s="7"/>
      <c r="D5" s="7"/>
      <c r="E5" s="7"/>
      <c r="F5" s="7"/>
      <c r="G5" s="10"/>
      <c r="H5" s="7"/>
      <c r="I5" s="7"/>
      <c r="J5" s="7"/>
      <c r="K5" s="10"/>
      <c r="L5" s="7"/>
      <c r="M5" s="7"/>
    </row>
    <row r="6" spans="1:13" s="21" customFormat="1" ht="12.75" customHeight="1">
      <c r="A6" s="2"/>
      <c r="B6" s="7"/>
      <c r="C6" s="10"/>
      <c r="D6" s="7"/>
      <c r="E6" s="7"/>
      <c r="F6" s="10"/>
      <c r="G6" s="7"/>
      <c r="H6" s="7"/>
      <c r="I6" s="7"/>
      <c r="J6" s="10"/>
      <c r="K6" s="7"/>
      <c r="L6" s="7"/>
      <c r="M6" s="7"/>
    </row>
    <row r="7" spans="1:13" s="21" customFormat="1" ht="12.75" customHeight="1">
      <c r="A7" s="367">
        <f>N60*100+1</f>
        <v>601</v>
      </c>
      <c r="B7" s="180" t="s">
        <v>204</v>
      </c>
      <c r="C7" s="180"/>
      <c r="D7" s="180"/>
      <c r="E7" s="180"/>
      <c r="F7" s="335"/>
      <c r="G7" s="335"/>
      <c r="H7" s="335"/>
      <c r="I7" s="335"/>
      <c r="J7" s="335"/>
      <c r="K7" s="335"/>
      <c r="L7" s="335"/>
      <c r="M7" s="335"/>
    </row>
    <row r="8" spans="1:13" s="21" customFormat="1" ht="12.75" customHeight="1">
      <c r="A8" s="367">
        <f>A7+1</f>
        <v>602</v>
      </c>
      <c r="B8" s="180" t="s">
        <v>261</v>
      </c>
      <c r="C8" s="180"/>
      <c r="D8" s="180"/>
      <c r="E8" s="180"/>
      <c r="F8" s="379"/>
      <c r="G8" s="337"/>
      <c r="H8" s="338"/>
      <c r="I8" s="338"/>
      <c r="J8" s="338"/>
      <c r="K8" s="338"/>
      <c r="L8" s="338"/>
      <c r="M8" s="338"/>
    </row>
    <row r="9" spans="1:13" s="21" customFormat="1" ht="12.75" customHeight="1">
      <c r="A9" s="367">
        <f>A8+1</f>
        <v>603</v>
      </c>
      <c r="B9" s="180" t="s">
        <v>254</v>
      </c>
      <c r="C9" s="180"/>
      <c r="D9" s="180"/>
      <c r="E9" s="180"/>
      <c r="F9" s="379"/>
      <c r="G9" s="337"/>
      <c r="H9" s="338"/>
      <c r="I9" s="338"/>
      <c r="J9" s="338"/>
      <c r="K9" s="338"/>
      <c r="L9" s="338"/>
      <c r="M9" s="338"/>
    </row>
    <row r="10" spans="1:13" s="21" customFormat="1" ht="12.75" customHeight="1">
      <c r="A10" s="367">
        <f>A9+1</f>
        <v>604</v>
      </c>
      <c r="B10" s="180" t="s">
        <v>243</v>
      </c>
      <c r="C10" s="180"/>
      <c r="D10" s="180"/>
      <c r="E10" s="180"/>
      <c r="F10" s="379">
        <f>F8-F9</f>
        <v>0</v>
      </c>
      <c r="G10" s="337"/>
      <c r="H10" s="338"/>
      <c r="I10" s="338"/>
      <c r="J10" s="338"/>
      <c r="K10" s="338"/>
      <c r="L10" s="338"/>
      <c r="M10" s="338"/>
    </row>
    <row r="11" spans="1:13" s="21" customFormat="1" ht="12.75" customHeight="1">
      <c r="A11" s="368"/>
      <c r="B11" s="180"/>
      <c r="C11" s="180"/>
      <c r="D11" s="180"/>
      <c r="E11" s="182"/>
      <c r="F11" s="412"/>
      <c r="G11" s="413"/>
      <c r="H11" s="7"/>
      <c r="I11" s="7"/>
      <c r="J11" s="10"/>
      <c r="K11" s="7"/>
      <c r="L11" s="7"/>
      <c r="M11" s="7"/>
    </row>
    <row r="12" spans="1:13" s="21" customFormat="1" ht="12.75" customHeight="1">
      <c r="A12" s="368"/>
      <c r="B12" s="10"/>
      <c r="C12" s="350"/>
      <c r="D12" s="414" t="s">
        <v>205</v>
      </c>
      <c r="E12" s="416"/>
      <c r="F12" s="415"/>
      <c r="G12" s="183"/>
      <c r="H12" s="414" t="s">
        <v>206</v>
      </c>
      <c r="I12" s="415"/>
      <c r="J12" s="184" t="s">
        <v>209</v>
      </c>
      <c r="K12" s="185"/>
      <c r="L12" s="2"/>
      <c r="M12" s="7"/>
    </row>
    <row r="13" spans="1:13" s="21" customFormat="1" ht="12.75" customHeight="1">
      <c r="A13" s="368"/>
      <c r="B13" s="10"/>
      <c r="C13" s="350"/>
      <c r="D13" s="184" t="s">
        <v>207</v>
      </c>
      <c r="E13" s="184" t="s">
        <v>70</v>
      </c>
      <c r="F13" s="184" t="s">
        <v>208</v>
      </c>
      <c r="G13" s="186" t="s">
        <v>257</v>
      </c>
      <c r="H13" s="186"/>
      <c r="I13" s="186"/>
      <c r="J13" s="187">
        <f>Blad1!$B$3-1</f>
        <v>2005</v>
      </c>
      <c r="K13" s="7"/>
      <c r="L13" s="7"/>
      <c r="M13" s="7"/>
    </row>
    <row r="14" spans="1:13" s="21" customFormat="1" ht="12.75" customHeight="1">
      <c r="A14" s="368"/>
      <c r="B14" s="10"/>
      <c r="C14" s="350"/>
      <c r="D14" s="187" t="s">
        <v>210</v>
      </c>
      <c r="E14" s="187" t="s">
        <v>211</v>
      </c>
      <c r="F14" s="187" t="s">
        <v>212</v>
      </c>
      <c r="G14" s="186" t="s">
        <v>258</v>
      </c>
      <c r="H14" s="186" t="s">
        <v>213</v>
      </c>
      <c r="I14" s="186" t="s">
        <v>214</v>
      </c>
      <c r="J14" s="187" t="s">
        <v>215</v>
      </c>
      <c r="K14" s="7"/>
      <c r="L14" s="7"/>
      <c r="M14" s="7"/>
    </row>
    <row r="15" spans="1:13" s="21" customFormat="1" ht="12.75" customHeight="1">
      <c r="A15" s="368"/>
      <c r="B15" s="10"/>
      <c r="C15" s="350"/>
      <c r="D15" s="188" t="s">
        <v>216</v>
      </c>
      <c r="E15" s="188" t="s">
        <v>207</v>
      </c>
      <c r="F15" s="188"/>
      <c r="G15" s="186" t="s">
        <v>259</v>
      </c>
      <c r="H15" s="188"/>
      <c r="I15" s="188"/>
      <c r="J15" s="188" t="s">
        <v>217</v>
      </c>
      <c r="K15" s="7"/>
      <c r="L15" s="7"/>
      <c r="M15" s="7"/>
    </row>
    <row r="16" spans="1:13" s="21" customFormat="1" ht="12.75" customHeight="1">
      <c r="A16" s="368"/>
      <c r="B16" s="10"/>
      <c r="C16" s="10"/>
      <c r="D16" s="189" t="s">
        <v>218</v>
      </c>
      <c r="E16" s="189" t="s">
        <v>219</v>
      </c>
      <c r="F16" s="189" t="s">
        <v>220</v>
      </c>
      <c r="G16" s="189" t="s">
        <v>221</v>
      </c>
      <c r="H16" s="189" t="s">
        <v>222</v>
      </c>
      <c r="I16" s="189" t="s">
        <v>222</v>
      </c>
      <c r="J16" s="189" t="s">
        <v>223</v>
      </c>
      <c r="K16" s="7"/>
      <c r="L16" s="7"/>
      <c r="M16" s="7"/>
    </row>
    <row r="17" spans="1:13" s="21" customFormat="1" ht="12.75" customHeight="1">
      <c r="A17" s="368"/>
      <c r="B17" s="3" t="s">
        <v>224</v>
      </c>
      <c r="C17" s="10"/>
      <c r="D17" s="71"/>
      <c r="E17" s="71"/>
      <c r="F17" s="71"/>
      <c r="G17" s="71"/>
      <c r="H17" s="71"/>
      <c r="I17" s="71"/>
      <c r="J17" s="10"/>
      <c r="K17" s="7"/>
      <c r="L17" s="7"/>
      <c r="M17" s="7"/>
    </row>
    <row r="18" spans="1:13" s="21" customFormat="1" ht="12.75" customHeight="1">
      <c r="A18" s="367">
        <f>A10+1</f>
        <v>605</v>
      </c>
      <c r="B18" s="399" t="s">
        <v>225</v>
      </c>
      <c r="C18" s="399"/>
      <c r="D18" s="379"/>
      <c r="E18" s="379"/>
      <c r="F18" s="382">
        <f>D18-E18</f>
        <v>0</v>
      </c>
      <c r="G18" s="379"/>
      <c r="H18" s="97"/>
      <c r="I18" s="97"/>
      <c r="J18" s="336"/>
      <c r="K18" s="7"/>
      <c r="L18" s="7"/>
      <c r="M18" s="7"/>
    </row>
    <row r="19" spans="1:13" s="21" customFormat="1" ht="12.75" customHeight="1">
      <c r="A19" s="367">
        <f>A18+1</f>
        <v>606</v>
      </c>
      <c r="B19" s="399" t="s">
        <v>226</v>
      </c>
      <c r="C19" s="399"/>
      <c r="D19" s="379"/>
      <c r="E19" s="379"/>
      <c r="F19" s="382">
        <f aca="true" t="shared" si="0" ref="F19:F36">D19-E19</f>
        <v>0</v>
      </c>
      <c r="G19" s="379"/>
      <c r="H19" s="97">
        <f>Blad3!H12</f>
        <v>0</v>
      </c>
      <c r="I19" s="97">
        <f>Blad3!I12</f>
        <v>0</v>
      </c>
      <c r="J19" s="336">
        <f>ROUND(G19*ROUND(H19*Blad3!Y$4,2),0)+ROUND(G19*ROUND(I19*Blad3!Z$4,2),0)</f>
        <v>0</v>
      </c>
      <c r="K19" s="7"/>
      <c r="L19" s="7"/>
      <c r="M19" s="7"/>
    </row>
    <row r="20" spans="1:13" s="21" customFormat="1" ht="12.75" customHeight="1">
      <c r="A20" s="367">
        <f aca="true" t="shared" si="1" ref="A20:A37">A19+1</f>
        <v>607</v>
      </c>
      <c r="B20" s="399" t="s">
        <v>227</v>
      </c>
      <c r="C20" s="399"/>
      <c r="D20" s="379"/>
      <c r="E20" s="379"/>
      <c r="F20" s="382">
        <f t="shared" si="0"/>
        <v>0</v>
      </c>
      <c r="G20" s="379"/>
      <c r="H20" s="97">
        <f>Blad3!H13</f>
        <v>0</v>
      </c>
      <c r="I20" s="97">
        <f>Blad3!I13</f>
        <v>0</v>
      </c>
      <c r="J20" s="336">
        <f>ROUND(G20*ROUND(H20*Blad3!Y$4,2),0)+ROUND(G20*ROUND(I20*Blad3!Z$4,2),0)</f>
        <v>0</v>
      </c>
      <c r="K20" s="7"/>
      <c r="L20" s="7"/>
      <c r="M20" s="7"/>
    </row>
    <row r="21" spans="1:13" s="21" customFormat="1" ht="12.75" customHeight="1">
      <c r="A21" s="367">
        <f t="shared" si="1"/>
        <v>608</v>
      </c>
      <c r="B21" s="399" t="s">
        <v>228</v>
      </c>
      <c r="C21" s="399"/>
      <c r="D21" s="379"/>
      <c r="E21" s="379"/>
      <c r="F21" s="382">
        <f t="shared" si="0"/>
        <v>0</v>
      </c>
      <c r="G21" s="379"/>
      <c r="H21" s="97"/>
      <c r="I21" s="97"/>
      <c r="J21" s="190"/>
      <c r="K21" s="7"/>
      <c r="L21" s="7"/>
      <c r="M21" s="7"/>
    </row>
    <row r="22" spans="1:13" s="21" customFormat="1" ht="12.75" customHeight="1">
      <c r="A22" s="367">
        <f t="shared" si="1"/>
        <v>609</v>
      </c>
      <c r="B22" s="399" t="s">
        <v>229</v>
      </c>
      <c r="C22" s="399"/>
      <c r="D22" s="379"/>
      <c r="E22" s="379"/>
      <c r="F22" s="382">
        <f t="shared" si="0"/>
        <v>0</v>
      </c>
      <c r="G22" s="379"/>
      <c r="H22" s="97">
        <f>Blad3!H15</f>
        <v>0</v>
      </c>
      <c r="I22" s="97">
        <f>Blad3!I15</f>
        <v>0</v>
      </c>
      <c r="J22" s="336">
        <f>ROUND(G22*ROUND(H22*Blad3!Y$4,2),0)+ROUND(G22*ROUND(I22*Blad3!Z$4,2),0)</f>
        <v>0</v>
      </c>
      <c r="K22" s="7"/>
      <c r="L22" s="7"/>
      <c r="M22" s="7"/>
    </row>
    <row r="23" spans="1:13" s="21" customFormat="1" ht="12.75" customHeight="1">
      <c r="A23" s="367">
        <f t="shared" si="1"/>
        <v>610</v>
      </c>
      <c r="B23" s="399" t="s">
        <v>255</v>
      </c>
      <c r="C23" s="399"/>
      <c r="D23" s="379"/>
      <c r="E23" s="379"/>
      <c r="F23" s="382">
        <f t="shared" si="0"/>
        <v>0</v>
      </c>
      <c r="G23" s="379"/>
      <c r="H23" s="97">
        <f>Blad3!H16</f>
        <v>0</v>
      </c>
      <c r="I23" s="97">
        <f>Blad3!I16</f>
        <v>0</v>
      </c>
      <c r="J23" s="336">
        <f>ROUND(G23*ROUND(H23*Blad3!Y$4,2),0)+ROUND(G23*ROUND(I23*Blad3!Z$4,2),0)</f>
        <v>0</v>
      </c>
      <c r="K23" s="7"/>
      <c r="L23" s="7"/>
      <c r="M23" s="7"/>
    </row>
    <row r="24" spans="1:13" s="21" customFormat="1" ht="12.75" customHeight="1">
      <c r="A24" s="367">
        <f t="shared" si="1"/>
        <v>611</v>
      </c>
      <c r="B24" s="399" t="s">
        <v>256</v>
      </c>
      <c r="C24" s="399"/>
      <c r="D24" s="379"/>
      <c r="E24" s="379"/>
      <c r="F24" s="382">
        <f t="shared" si="0"/>
        <v>0</v>
      </c>
      <c r="G24" s="379"/>
      <c r="H24" s="97">
        <f>Blad3!H17</f>
        <v>0</v>
      </c>
      <c r="I24" s="97">
        <f>Blad3!I17</f>
        <v>0</v>
      </c>
      <c r="J24" s="336">
        <f>ROUND(G24*ROUND(H24*Blad3!Y$4,2),0)+ROUND(G24*ROUND(I24*Blad3!Z$4,2),0)</f>
        <v>0</v>
      </c>
      <c r="K24" s="7"/>
      <c r="L24" s="7"/>
      <c r="M24" s="7"/>
    </row>
    <row r="25" spans="1:13" s="21" customFormat="1" ht="12.75" customHeight="1">
      <c r="A25" s="367">
        <f t="shared" si="1"/>
        <v>612</v>
      </c>
      <c r="B25" s="399" t="s">
        <v>230</v>
      </c>
      <c r="C25" s="399"/>
      <c r="D25" s="379"/>
      <c r="E25" s="379"/>
      <c r="F25" s="382">
        <f t="shared" si="0"/>
        <v>0</v>
      </c>
      <c r="G25" s="379"/>
      <c r="H25" s="97">
        <f>Blad14!C60</f>
        <v>0</v>
      </c>
      <c r="I25" s="97">
        <f>Blad14!D60</f>
        <v>4805.31</v>
      </c>
      <c r="J25" s="336">
        <f>ROUND(G25*ROUND(H25*Blad3!Y$4,2),0)+ROUND(G25*ROUND(I25*Blad3!Z$4,2),0)</f>
        <v>0</v>
      </c>
      <c r="K25" s="7"/>
      <c r="L25" s="7"/>
      <c r="M25" s="7"/>
    </row>
    <row r="26" spans="1:13" s="21" customFormat="1" ht="12.75" customHeight="1">
      <c r="A26" s="367">
        <f t="shared" si="1"/>
        <v>613</v>
      </c>
      <c r="B26" s="399" t="s">
        <v>231</v>
      </c>
      <c r="C26" s="399"/>
      <c r="D26" s="379"/>
      <c r="E26" s="379"/>
      <c r="F26" s="382">
        <f t="shared" si="0"/>
        <v>0</v>
      </c>
      <c r="G26" s="379"/>
      <c r="H26" s="97">
        <f>Blad14!C61</f>
        <v>0</v>
      </c>
      <c r="I26" s="97">
        <f>Blad14!D61</f>
        <v>2967.47</v>
      </c>
      <c r="J26" s="336">
        <f>ROUND(G26*ROUND(H26*Blad3!Y$4,2),0)+ROUND(G26*ROUND(I26*Blad3!Z$4,2),0)</f>
        <v>0</v>
      </c>
      <c r="K26" s="7"/>
      <c r="L26" s="7"/>
      <c r="M26" s="7"/>
    </row>
    <row r="27" spans="1:13" s="21" customFormat="1" ht="12.75" customHeight="1">
      <c r="A27" s="367">
        <f t="shared" si="1"/>
        <v>614</v>
      </c>
      <c r="B27" s="399" t="s">
        <v>232</v>
      </c>
      <c r="C27" s="399"/>
      <c r="D27" s="379"/>
      <c r="E27" s="379"/>
      <c r="F27" s="382">
        <f t="shared" si="0"/>
        <v>0</v>
      </c>
      <c r="G27" s="379"/>
      <c r="H27" s="97">
        <f>Blad14!J19</f>
        <v>174.32</v>
      </c>
      <c r="I27" s="97">
        <f>Blad14!K19</f>
        <v>136.55</v>
      </c>
      <c r="J27" s="336">
        <f>ROUND(G27*ROUND(H27*Blad3!Y$4,2),0)+ROUND(G27*ROUND(I27*Blad3!Z$4,2),0)</f>
        <v>0</v>
      </c>
      <c r="K27" s="7"/>
      <c r="L27" s="7"/>
      <c r="M27" s="7"/>
    </row>
    <row r="28" spans="1:13" s="21" customFormat="1" ht="12.75" customHeight="1">
      <c r="A28" s="367">
        <f t="shared" si="1"/>
        <v>615</v>
      </c>
      <c r="B28" s="399" t="s">
        <v>10</v>
      </c>
      <c r="C28" s="399"/>
      <c r="D28" s="379"/>
      <c r="E28" s="379"/>
      <c r="F28" s="382">
        <f t="shared" si="0"/>
        <v>0</v>
      </c>
      <c r="G28" s="379"/>
      <c r="H28" s="97">
        <f>Blad14!J20</f>
        <v>17.8</v>
      </c>
      <c r="I28" s="97">
        <f>Blad14!K20</f>
        <v>79.87</v>
      </c>
      <c r="J28" s="336">
        <f>ROUND(G28*ROUND(H28*Blad3!Y$4,2),0)+ROUND(G28*ROUND(I28*Blad3!Z$4,2),0)</f>
        <v>0</v>
      </c>
      <c r="K28" s="7"/>
      <c r="L28" s="7"/>
      <c r="M28" s="7"/>
    </row>
    <row r="29" spans="1:13" s="21" customFormat="1" ht="12.75" customHeight="1">
      <c r="A29" s="367">
        <f t="shared" si="1"/>
        <v>616</v>
      </c>
      <c r="B29" s="399" t="s">
        <v>233</v>
      </c>
      <c r="C29" s="399"/>
      <c r="D29" s="379"/>
      <c r="E29" s="379"/>
      <c r="F29" s="382">
        <f t="shared" si="0"/>
        <v>0</v>
      </c>
      <c r="G29" s="379"/>
      <c r="H29" s="97">
        <f>Blad14!J21</f>
        <v>174.32</v>
      </c>
      <c r="I29" s="97">
        <f>Blad14!K21</f>
        <v>196.53</v>
      </c>
      <c r="J29" s="336">
        <f>ROUND(G29*ROUND(H29*Blad3!Y$4,2),0)+ROUND(G29*ROUND(I29*Blad3!Z$4,2),0)</f>
        <v>0</v>
      </c>
      <c r="K29" s="7"/>
      <c r="L29" s="7"/>
      <c r="M29" s="7"/>
    </row>
    <row r="30" spans="1:13" s="21" customFormat="1" ht="12.75" customHeight="1">
      <c r="A30" s="367">
        <f t="shared" si="1"/>
        <v>617</v>
      </c>
      <c r="B30" s="399" t="s">
        <v>11</v>
      </c>
      <c r="C30" s="399"/>
      <c r="D30" s="379"/>
      <c r="E30" s="379"/>
      <c r="F30" s="382">
        <f t="shared" si="0"/>
        <v>0</v>
      </c>
      <c r="G30" s="379"/>
      <c r="H30" s="97">
        <f>Blad14!J22</f>
        <v>17.8</v>
      </c>
      <c r="I30" s="97">
        <f>Blad14!K22</f>
        <v>100.3</v>
      </c>
      <c r="J30" s="336">
        <f>ROUND(G30*ROUND(H30*Blad3!Y$4,2),0)+ROUND(G30*ROUND(I30*Blad3!Z$4,2),0)</f>
        <v>0</v>
      </c>
      <c r="K30" s="7"/>
      <c r="L30" s="7"/>
      <c r="M30" s="7"/>
    </row>
    <row r="31" spans="1:13" s="21" customFormat="1" ht="12.75" customHeight="1">
      <c r="A31" s="367">
        <f t="shared" si="1"/>
        <v>618</v>
      </c>
      <c r="B31" s="399" t="s">
        <v>234</v>
      </c>
      <c r="C31" s="399"/>
      <c r="D31" s="379"/>
      <c r="E31" s="379"/>
      <c r="F31" s="382">
        <f t="shared" si="0"/>
        <v>0</v>
      </c>
      <c r="G31" s="379"/>
      <c r="H31" s="97">
        <f>Blad14!J23</f>
        <v>106.07</v>
      </c>
      <c r="I31" s="97">
        <f>Blad14!K23</f>
        <v>111.02</v>
      </c>
      <c r="J31" s="336">
        <f>ROUND(G31*ROUND(H31*Blad3!Y$4,2),0)+ROUND(G31*ROUND(I31*Blad3!Z$4,2),0)</f>
        <v>0</v>
      </c>
      <c r="K31" s="7"/>
      <c r="L31" s="7"/>
      <c r="M31" s="7"/>
    </row>
    <row r="32" spans="1:13" s="21" customFormat="1" ht="12.75" customHeight="1">
      <c r="A32" s="367">
        <f t="shared" si="1"/>
        <v>619</v>
      </c>
      <c r="B32" s="399" t="s">
        <v>235</v>
      </c>
      <c r="C32" s="399"/>
      <c r="D32" s="379"/>
      <c r="E32" s="379"/>
      <c r="F32" s="382">
        <f t="shared" si="0"/>
        <v>0</v>
      </c>
      <c r="G32" s="379"/>
      <c r="H32" s="97">
        <f>Blad14!J24</f>
        <v>106.07</v>
      </c>
      <c r="I32" s="97">
        <f>Blad14!K24</f>
        <v>172.28</v>
      </c>
      <c r="J32" s="336">
        <f>ROUND(G32*ROUND(H32*Blad3!Y$4,2),0)+ROUND(G32*ROUND(I32*Blad3!Z$4,2),0)</f>
        <v>0</v>
      </c>
      <c r="K32" s="7"/>
      <c r="L32" s="7"/>
      <c r="M32" s="7"/>
    </row>
    <row r="33" spans="1:13" s="21" customFormat="1" ht="12.75" customHeight="1">
      <c r="A33" s="367">
        <f t="shared" si="1"/>
        <v>620</v>
      </c>
      <c r="B33" s="399" t="s">
        <v>236</v>
      </c>
      <c r="C33" s="399"/>
      <c r="D33" s="379"/>
      <c r="E33" s="379"/>
      <c r="F33" s="382">
        <f t="shared" si="0"/>
        <v>0</v>
      </c>
      <c r="G33" s="379"/>
      <c r="H33" s="97">
        <f>Blad14!J25</f>
        <v>248.7</v>
      </c>
      <c r="I33" s="97">
        <f>Blad14!K25</f>
        <v>111.02</v>
      </c>
      <c r="J33" s="336">
        <f>ROUND(G33*ROUND(H33*Blad3!Y$4,2),0)+ROUND(G33*ROUND(I33*Blad3!Z$4,2),0)</f>
        <v>0</v>
      </c>
      <c r="K33" s="7"/>
      <c r="L33" s="7"/>
      <c r="M33" s="7"/>
    </row>
    <row r="34" spans="1:13" s="21" customFormat="1" ht="12.75" customHeight="1">
      <c r="A34" s="367">
        <f t="shared" si="1"/>
        <v>621</v>
      </c>
      <c r="B34" s="399" t="s">
        <v>237</v>
      </c>
      <c r="C34" s="399"/>
      <c r="D34" s="379"/>
      <c r="E34" s="379"/>
      <c r="F34" s="382">
        <f t="shared" si="0"/>
        <v>0</v>
      </c>
      <c r="G34" s="379"/>
      <c r="H34" s="97">
        <f>Blad14!J26</f>
        <v>248.7</v>
      </c>
      <c r="I34" s="97">
        <f>Blad14!K26</f>
        <v>172.28</v>
      </c>
      <c r="J34" s="336">
        <f>ROUND(G34*ROUND(H34*Blad3!Y$4,2),0)+ROUND(G34*ROUND(I34*Blad3!Z$4,2),0)</f>
        <v>0</v>
      </c>
      <c r="K34" s="7"/>
      <c r="L34" s="7"/>
      <c r="M34" s="7"/>
    </row>
    <row r="35" spans="1:13" s="21" customFormat="1" ht="12.75" customHeight="1">
      <c r="A35" s="367">
        <f t="shared" si="1"/>
        <v>622</v>
      </c>
      <c r="B35" s="399" t="s">
        <v>12</v>
      </c>
      <c r="C35" s="399"/>
      <c r="D35" s="379"/>
      <c r="E35" s="379"/>
      <c r="F35" s="382">
        <f t="shared" si="0"/>
        <v>0</v>
      </c>
      <c r="G35" s="379"/>
      <c r="H35" s="97">
        <f>Blad14!J27</f>
        <v>17.8</v>
      </c>
      <c r="I35" s="97">
        <f>Blad14!K27</f>
        <v>89.63</v>
      </c>
      <c r="J35" s="336">
        <f>ROUND(G35*ROUND(H35*Blad3!Y$4,2),0)+ROUND(G35*ROUND(I35*Blad3!Z$4,2),0)</f>
        <v>0</v>
      </c>
      <c r="K35" s="7"/>
      <c r="L35" s="7"/>
      <c r="M35" s="7"/>
    </row>
    <row r="36" spans="1:13" s="21" customFormat="1" ht="12.75" customHeight="1">
      <c r="A36" s="367">
        <f t="shared" si="1"/>
        <v>623</v>
      </c>
      <c r="B36" s="399" t="s">
        <v>13</v>
      </c>
      <c r="C36" s="399"/>
      <c r="D36" s="379"/>
      <c r="E36" s="379"/>
      <c r="F36" s="382">
        <f t="shared" si="0"/>
        <v>0</v>
      </c>
      <c r="G36" s="379"/>
      <c r="H36" s="97">
        <f>Blad14!J28</f>
        <v>17.8</v>
      </c>
      <c r="I36" s="97">
        <f>Blad14!K28</f>
        <v>110.04</v>
      </c>
      <c r="J36" s="336">
        <f>ROUND(G36*ROUND(H36*Blad3!Y$4,2),0)+ROUND(G36*ROUND(I36*Blad3!Z$4,2),0)</f>
        <v>0</v>
      </c>
      <c r="K36" s="7"/>
      <c r="L36" s="7"/>
      <c r="M36" s="7"/>
    </row>
    <row r="37" spans="1:13" s="21" customFormat="1" ht="12.75" customHeight="1">
      <c r="A37" s="367">
        <f t="shared" si="1"/>
        <v>624</v>
      </c>
      <c r="B37" s="191" t="s">
        <v>125</v>
      </c>
      <c r="C37" s="180"/>
      <c r="D37" s="192"/>
      <c r="E37" s="192"/>
      <c r="F37" s="192"/>
      <c r="G37" s="192"/>
      <c r="H37" s="10"/>
      <c r="I37" s="10"/>
      <c r="J37" s="334">
        <f>SUM(J19:J36)</f>
        <v>0</v>
      </c>
      <c r="K37" s="7"/>
      <c r="L37" s="7"/>
      <c r="M37" s="7"/>
    </row>
    <row r="38" spans="1:13" s="21" customFormat="1" ht="12.75" customHeight="1">
      <c r="A38" s="2"/>
      <c r="B38" s="10"/>
      <c r="C38" s="10"/>
      <c r="D38" s="10"/>
      <c r="E38" s="10"/>
      <c r="F38" s="10"/>
      <c r="G38" s="7"/>
      <c r="H38" s="7"/>
      <c r="I38" s="7"/>
      <c r="J38" s="10"/>
      <c r="K38" s="7"/>
      <c r="L38" s="7"/>
      <c r="M38" s="7"/>
    </row>
    <row r="39" spans="1:13" s="21" customFormat="1" ht="12.75" customHeight="1">
      <c r="A39" s="2"/>
      <c r="C39" s="10"/>
      <c r="D39" s="10"/>
      <c r="E39" s="10"/>
      <c r="F39" s="10"/>
      <c r="G39" s="7"/>
      <c r="H39" s="7"/>
      <c r="I39" s="7"/>
      <c r="J39" s="10"/>
      <c r="K39" s="7"/>
      <c r="L39" s="7"/>
      <c r="M39" s="7"/>
    </row>
    <row r="40" spans="1:13" s="21" customFormat="1" ht="12.75" customHeight="1">
      <c r="A40" s="2"/>
      <c r="C40" s="10"/>
      <c r="D40" s="10"/>
      <c r="E40" s="10"/>
      <c r="F40" s="10"/>
      <c r="G40" s="7"/>
      <c r="H40" s="7"/>
      <c r="I40" s="7"/>
      <c r="J40" s="7"/>
      <c r="K40" s="7"/>
      <c r="L40" s="10"/>
      <c r="M40" s="10"/>
    </row>
    <row r="41" spans="1:12" s="21" customFormat="1" ht="12.75" customHeight="1">
      <c r="A41" s="2"/>
      <c r="B41" s="10" t="s">
        <v>238</v>
      </c>
      <c r="C41" s="194"/>
      <c r="D41" s="194"/>
      <c r="E41" s="195"/>
      <c r="F41" s="194"/>
      <c r="G41" s="196"/>
      <c r="H41" s="196"/>
      <c r="I41" s="196"/>
      <c r="J41" s="39"/>
      <c r="K41" s="88"/>
      <c r="L41" s="88"/>
    </row>
    <row r="42" spans="1:6" s="21" customFormat="1" ht="12.75" customHeight="1">
      <c r="A42" s="22"/>
      <c r="B42" s="10" t="str">
        <f>CONCATENATE("De nacalculatie op het zorgprofiel van de ultimo ",Blad1!B3-2," onderhanden DBC´s wordt bij de nacalculatie ",Blad1!B3-1," meegenomen.")</f>
        <v>De nacalculatie op het zorgprofiel van de ultimo 2004 onderhanden DBC´s wordt bij de nacalculatie 2005 meegenomen.</v>
      </c>
      <c r="C42" s="23"/>
      <c r="D42" s="23"/>
      <c r="E42" s="23"/>
      <c r="F42" s="23"/>
    </row>
    <row r="43" spans="3:6" ht="12.75" customHeight="1">
      <c r="C43" s="1"/>
      <c r="D43" s="1"/>
      <c r="E43" s="1"/>
      <c r="F43" s="1"/>
    </row>
    <row r="44" spans="2:6" ht="12.75" customHeight="1">
      <c r="B44" s="193" t="s">
        <v>260</v>
      </c>
      <c r="C44" s="1"/>
      <c r="D44" s="1"/>
      <c r="E44" s="1"/>
      <c r="F44" s="1"/>
    </row>
    <row r="45" spans="2:6" ht="12.75" customHeight="1">
      <c r="B45" s="1"/>
      <c r="C45" s="1"/>
      <c r="D45" s="1"/>
      <c r="E45" s="1"/>
      <c r="F45" s="1"/>
    </row>
    <row r="46" spans="2:6" ht="12.75" customHeight="1">
      <c r="B46" s="1"/>
      <c r="C46" s="1"/>
      <c r="D46" s="1"/>
      <c r="E46" s="1"/>
      <c r="F46" s="1"/>
    </row>
    <row r="47" spans="2:6" ht="12.75" customHeight="1">
      <c r="B47" s="1"/>
      <c r="C47" s="1"/>
      <c r="D47" s="1"/>
      <c r="E47" s="1"/>
      <c r="F47" s="1"/>
    </row>
    <row r="48" spans="2:6" ht="12.75" customHeight="1">
      <c r="B48" s="1"/>
      <c r="C48" s="1"/>
      <c r="D48" s="1"/>
      <c r="E48" s="1"/>
      <c r="F48" s="1"/>
    </row>
    <row r="49" spans="2:6" ht="12.75" customHeight="1">
      <c r="B49" s="1"/>
      <c r="C49" s="1"/>
      <c r="D49" s="1"/>
      <c r="E49" s="1"/>
      <c r="F49" s="1"/>
    </row>
    <row r="50" spans="2:6" ht="12.75" customHeight="1">
      <c r="B50" s="1"/>
      <c r="C50" s="1"/>
      <c r="D50" s="1"/>
      <c r="E50" s="1"/>
      <c r="F50" s="1"/>
    </row>
    <row r="51" spans="2:6" ht="12.75" customHeight="1">
      <c r="B51" s="1"/>
      <c r="C51" s="1"/>
      <c r="D51" s="1"/>
      <c r="E51" s="1"/>
      <c r="F51" s="1"/>
    </row>
    <row r="52" spans="2:6" ht="12.75" customHeight="1">
      <c r="B52" s="1"/>
      <c r="C52" s="1"/>
      <c r="D52" s="1"/>
      <c r="E52" s="1"/>
      <c r="F52" s="1"/>
    </row>
    <row r="53" spans="2:6" ht="12.75" customHeight="1">
      <c r="B53" s="1"/>
      <c r="C53" s="1"/>
      <c r="D53" s="1"/>
      <c r="E53" s="1"/>
      <c r="F53" s="1"/>
    </row>
    <row r="54" spans="2:6" ht="12.75" customHeight="1">
      <c r="B54" s="1"/>
      <c r="C54" s="1"/>
      <c r="D54" s="1"/>
      <c r="E54" s="1"/>
      <c r="F54" s="1"/>
    </row>
    <row r="55" spans="2:6" ht="12.75" customHeight="1">
      <c r="B55" s="1"/>
      <c r="C55" s="1"/>
      <c r="D55" s="1"/>
      <c r="E55" s="1"/>
      <c r="F55" s="1"/>
    </row>
    <row r="56" spans="2:6" ht="12.75" customHeight="1">
      <c r="B56" s="1"/>
      <c r="C56" s="1"/>
      <c r="D56" s="1"/>
      <c r="E56" s="1"/>
      <c r="F56" s="1"/>
    </row>
    <row r="57" spans="2:6" ht="12.75" customHeight="1">
      <c r="B57" s="1"/>
      <c r="C57" s="1"/>
      <c r="D57" s="1"/>
      <c r="E57" s="1"/>
      <c r="F57" s="1"/>
    </row>
    <row r="58" spans="2:6" ht="12.75" customHeight="1">
      <c r="B58" s="1"/>
      <c r="C58" s="1"/>
      <c r="D58" s="1"/>
      <c r="E58" s="1"/>
      <c r="F58" s="1"/>
    </row>
    <row r="59" spans="2:6" ht="12.75" customHeight="1">
      <c r="B59" s="1"/>
      <c r="C59" s="1"/>
      <c r="D59" s="1"/>
      <c r="E59" s="1"/>
      <c r="F59" s="1"/>
    </row>
    <row r="60" spans="2:14" ht="12.75" customHeight="1">
      <c r="B60" s="1"/>
      <c r="C60" s="1"/>
      <c r="D60" s="1"/>
      <c r="E60" s="1"/>
      <c r="F60" s="1"/>
      <c r="N60" s="7">
        <f>Blad5!Q65+1</f>
        <v>6</v>
      </c>
    </row>
    <row r="61" spans="2:6" ht="12.75" customHeight="1">
      <c r="B61" s="1"/>
      <c r="C61" s="1"/>
      <c r="D61" s="1"/>
      <c r="E61" s="1"/>
      <c r="F61" s="1"/>
    </row>
    <row r="62" spans="2:6" ht="12.75" customHeight="1">
      <c r="B62" s="1"/>
      <c r="C62" s="1"/>
      <c r="D62" s="1"/>
      <c r="E62" s="1"/>
      <c r="F62" s="1"/>
    </row>
    <row r="63" spans="2:6" ht="12.75" customHeight="1">
      <c r="B63" s="1"/>
      <c r="C63" s="1"/>
      <c r="D63" s="1"/>
      <c r="E63" s="1"/>
      <c r="F63" s="1"/>
    </row>
    <row r="64" spans="2:6" ht="12.75" customHeight="1">
      <c r="B64" s="1"/>
      <c r="C64" s="1"/>
      <c r="D64" s="1"/>
      <c r="E64" s="1"/>
      <c r="F64" s="1"/>
    </row>
    <row r="65" spans="2:6" ht="12.75" customHeight="1">
      <c r="B65" s="1"/>
      <c r="C65" s="1"/>
      <c r="D65" s="1"/>
      <c r="E65" s="1"/>
      <c r="F65" s="1"/>
    </row>
    <row r="66" spans="2:6" ht="12.75" customHeight="1">
      <c r="B66" s="1"/>
      <c r="C66" s="1"/>
      <c r="D66" s="1"/>
      <c r="E66" s="1"/>
      <c r="F66" s="1"/>
    </row>
    <row r="67" spans="2:6" ht="12.75" customHeight="1">
      <c r="B67" s="1"/>
      <c r="C67" s="1"/>
      <c r="D67" s="1"/>
      <c r="E67" s="1"/>
      <c r="F67" s="1"/>
    </row>
    <row r="68" spans="2:6" ht="12.75" customHeight="1">
      <c r="B68" s="1"/>
      <c r="C68" s="1"/>
      <c r="D68" s="1"/>
      <c r="E68" s="1"/>
      <c r="F68" s="1"/>
    </row>
    <row r="69" spans="2:6" ht="12.75" customHeight="1">
      <c r="B69" s="1"/>
      <c r="C69" s="1"/>
      <c r="D69" s="1"/>
      <c r="E69" s="1"/>
      <c r="F69" s="1"/>
    </row>
    <row r="70" spans="2:6" ht="12.75" customHeight="1">
      <c r="B70" s="1"/>
      <c r="C70" s="1"/>
      <c r="D70" s="1"/>
      <c r="E70" s="1"/>
      <c r="F70" s="1"/>
    </row>
    <row r="71" spans="2:6" ht="12.75" customHeight="1">
      <c r="B71" s="1"/>
      <c r="C71" s="1"/>
      <c r="D71" s="1"/>
      <c r="E71" s="1"/>
      <c r="F71" s="1"/>
    </row>
    <row r="72" spans="2:6" ht="12.75" customHeight="1">
      <c r="B72" s="1"/>
      <c r="C72" s="1"/>
      <c r="D72" s="1"/>
      <c r="E72" s="1"/>
      <c r="F72" s="1"/>
    </row>
    <row r="73" spans="2:6" ht="12.75" customHeight="1">
      <c r="B73" s="1"/>
      <c r="C73" s="1"/>
      <c r="D73" s="1"/>
      <c r="E73" s="1"/>
      <c r="F73" s="1"/>
    </row>
    <row r="74" spans="2:6" ht="12.75" customHeight="1">
      <c r="B74" s="1"/>
      <c r="C74" s="1"/>
      <c r="D74" s="1"/>
      <c r="E74" s="1"/>
      <c r="F74" s="1"/>
    </row>
    <row r="75" spans="2:6" ht="12.75" customHeight="1">
      <c r="B75" s="1"/>
      <c r="C75" s="1"/>
      <c r="D75" s="1"/>
      <c r="E75" s="1"/>
      <c r="F75" s="1"/>
    </row>
    <row r="76" spans="2:6" ht="12.75" customHeight="1">
      <c r="B76" s="1"/>
      <c r="C76" s="1"/>
      <c r="D76" s="1"/>
      <c r="E76" s="1"/>
      <c r="F76" s="1"/>
    </row>
    <row r="77" spans="2:6" ht="12.75" customHeight="1">
      <c r="B77" s="1"/>
      <c r="C77" s="1"/>
      <c r="D77" s="1"/>
      <c r="E77" s="1"/>
      <c r="F77" s="1"/>
    </row>
    <row r="78" spans="2:6" ht="12.75" customHeight="1">
      <c r="B78" s="1"/>
      <c r="C78" s="1"/>
      <c r="D78" s="1"/>
      <c r="E78" s="1"/>
      <c r="F78" s="1"/>
    </row>
    <row r="79" spans="2:6" ht="12.75" customHeight="1">
      <c r="B79" s="1"/>
      <c r="C79" s="1"/>
      <c r="D79" s="1"/>
      <c r="E79" s="1"/>
      <c r="F79" s="1"/>
    </row>
    <row r="80" spans="2:6" ht="12.75" customHeight="1">
      <c r="B80" s="1"/>
      <c r="C80" s="1"/>
      <c r="D80" s="1"/>
      <c r="E80" s="1"/>
      <c r="F80" s="1"/>
    </row>
    <row r="81" spans="2:6" ht="12.75" customHeight="1">
      <c r="B81" s="1"/>
      <c r="C81" s="1"/>
      <c r="D81" s="1"/>
      <c r="E81" s="1"/>
      <c r="F81" s="1"/>
    </row>
    <row r="82" spans="2:6" ht="12.75" customHeight="1">
      <c r="B82" s="1"/>
      <c r="C82" s="1"/>
      <c r="D82" s="1"/>
      <c r="E82" s="1"/>
      <c r="F82" s="1"/>
    </row>
    <row r="83" spans="2:6" ht="12.75" customHeight="1">
      <c r="B83" s="1"/>
      <c r="C83" s="1"/>
      <c r="D83" s="1"/>
      <c r="E83" s="1"/>
      <c r="F83" s="1"/>
    </row>
    <row r="84" spans="2:6" ht="12.75" customHeight="1">
      <c r="B84" s="1"/>
      <c r="C84" s="1"/>
      <c r="D84" s="1"/>
      <c r="E84" s="1"/>
      <c r="F84" s="1"/>
    </row>
    <row r="85" spans="2:6" ht="12.75" customHeight="1">
      <c r="B85" s="1"/>
      <c r="C85" s="1"/>
      <c r="D85" s="1"/>
      <c r="E85" s="1"/>
      <c r="F85" s="1"/>
    </row>
    <row r="86" spans="2:6" ht="12.75" customHeight="1">
      <c r="B86" s="1"/>
      <c r="C86" s="1"/>
      <c r="D86" s="1"/>
      <c r="E86" s="1"/>
      <c r="F86" s="1"/>
    </row>
    <row r="87" spans="2:6" ht="12.75" customHeight="1">
      <c r="B87" s="1"/>
      <c r="C87" s="1"/>
      <c r="D87" s="1"/>
      <c r="E87" s="1"/>
      <c r="F87" s="1"/>
    </row>
    <row r="88" spans="2:6" ht="12.75" customHeight="1">
      <c r="B88" s="1"/>
      <c r="C88" s="1"/>
      <c r="D88" s="1"/>
      <c r="E88" s="1"/>
      <c r="F88" s="1"/>
    </row>
    <row r="89" spans="2:6" ht="12.75" customHeight="1">
      <c r="B89" s="1"/>
      <c r="C89" s="1"/>
      <c r="D89" s="1"/>
      <c r="E89" s="1"/>
      <c r="F89" s="1"/>
    </row>
  </sheetData>
  <sheetProtection password="CCBC" sheet="1" objects="1" scenarios="1"/>
  <mergeCells count="22">
    <mergeCell ref="F11:G11"/>
    <mergeCell ref="H12:I12"/>
    <mergeCell ref="B18:C18"/>
    <mergeCell ref="D12:F12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5:C35"/>
    <mergeCell ref="B36:C36"/>
    <mergeCell ref="B31:C31"/>
    <mergeCell ref="B32:C32"/>
    <mergeCell ref="B33:C33"/>
    <mergeCell ref="B34:C34"/>
  </mergeCells>
  <conditionalFormatting sqref="F11:G11 G37 F18:F37 D37:E37">
    <cfRule type="expression" priority="1" dxfId="0" stopIfTrue="1">
      <formula>#REF!=TRUE</formula>
    </cfRule>
  </conditionalFormatting>
  <conditionalFormatting sqref="F7:M7 F8:F10 D18:E36 G18:G36">
    <cfRule type="expression" priority="2" dxfId="0" stopIfTrue="1">
      <formula>$B$2=TRUE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9" r:id="rId1"/>
  <headerFooter alignWithMargins="0">
    <oddHeader>&amp;L&amp;"Arial,Vet"Bijlage 1 bij circulaire JHYM/xxxx/CI/06/xxc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>
    <tabColor indexed="50"/>
    <pageSetUpPr fitToPage="1"/>
  </sheetPr>
  <dimension ref="A1:M97"/>
  <sheetViews>
    <sheetView showGridLines="0" showRowColHeaders="0" showZeros="0" showOutlineSymbols="0" view="pageBreakPreview" zoomScale="75" zoomScaleNormal="75" zoomScaleSheetLayoutView="75" workbookViewId="0" topLeftCell="A1">
      <selection activeCell="A1" sqref="A1"/>
    </sheetView>
  </sheetViews>
  <sheetFormatPr defaultColWidth="9.140625" defaultRowHeight="12.75" customHeight="1"/>
  <cols>
    <col min="1" max="1" width="5.140625" style="44" bestFit="1" customWidth="1"/>
    <col min="2" max="2" width="7.00390625" style="134" bestFit="1" customWidth="1"/>
    <col min="3" max="3" width="65.7109375" style="44" customWidth="1"/>
    <col min="4" max="4" width="15.00390625" style="44" customWidth="1"/>
    <col min="5" max="5" width="15.00390625" style="45" customWidth="1"/>
    <col min="6" max="6" width="15.7109375" style="44" customWidth="1"/>
    <col min="7" max="12" width="15.00390625" style="44" customWidth="1"/>
    <col min="13" max="16384" width="9.140625" style="44" customWidth="1"/>
  </cols>
  <sheetData>
    <row r="1" spans="1:12" ht="12.75" customHeight="1">
      <c r="A1" s="197"/>
      <c r="B1" s="198"/>
      <c r="C1" s="199" t="s">
        <v>522</v>
      </c>
      <c r="D1" s="200"/>
      <c r="E1" s="201"/>
      <c r="F1" s="200"/>
      <c r="G1" s="200"/>
      <c r="H1" s="200"/>
      <c r="I1" s="200"/>
      <c r="J1" s="200"/>
      <c r="K1" s="200"/>
      <c r="L1" s="200"/>
    </row>
    <row r="2" spans="1:12" ht="12.75" customHeight="1">
      <c r="A2" s="200"/>
      <c r="B2" s="202"/>
      <c r="C2" s="63" t="b">
        <f>Blad1!A25</f>
        <v>1</v>
      </c>
      <c r="D2" s="200"/>
      <c r="E2" s="201"/>
      <c r="F2" s="200"/>
      <c r="G2" s="200"/>
      <c r="H2" s="200"/>
      <c r="I2" s="200"/>
      <c r="J2" s="200"/>
      <c r="K2" s="200"/>
      <c r="L2" s="200"/>
    </row>
    <row r="3" spans="1:12" ht="12.75" customHeight="1">
      <c r="A3" s="200"/>
      <c r="B3" s="202"/>
      <c r="C3" s="200"/>
      <c r="D3" s="200"/>
      <c r="E3" s="201"/>
      <c r="F3" s="200"/>
      <c r="G3" s="200"/>
      <c r="H3" s="200"/>
      <c r="I3" s="200"/>
      <c r="J3" s="200"/>
      <c r="K3" s="200"/>
      <c r="L3" s="200"/>
    </row>
    <row r="4" spans="1:12" ht="12.75" customHeight="1">
      <c r="A4" s="200"/>
      <c r="B4" s="202"/>
      <c r="C4" s="200"/>
      <c r="D4" s="200"/>
      <c r="E4" s="201"/>
      <c r="F4" s="200"/>
      <c r="G4" s="200"/>
      <c r="H4" s="200"/>
      <c r="I4" s="200"/>
      <c r="J4" s="200"/>
      <c r="K4" s="200"/>
      <c r="L4" s="200"/>
    </row>
    <row r="5" spans="1:12" ht="12.75" customHeight="1">
      <c r="A5" s="200"/>
      <c r="B5" s="202"/>
      <c r="C5" s="200"/>
      <c r="D5" s="203" t="s">
        <v>319</v>
      </c>
      <c r="E5" s="204" t="s">
        <v>239</v>
      </c>
      <c r="F5" s="205" t="s">
        <v>162</v>
      </c>
      <c r="G5" s="205" t="s">
        <v>242</v>
      </c>
      <c r="H5" s="205" t="s">
        <v>168</v>
      </c>
      <c r="I5" s="206" t="s">
        <v>198</v>
      </c>
      <c r="J5" s="204" t="s">
        <v>241</v>
      </c>
      <c r="K5" s="205" t="s">
        <v>162</v>
      </c>
      <c r="L5" s="205" t="s">
        <v>243</v>
      </c>
    </row>
    <row r="6" spans="1:12" ht="12.75" customHeight="1">
      <c r="A6" s="200"/>
      <c r="B6" s="202"/>
      <c r="C6" s="200"/>
      <c r="D6" s="207" t="s">
        <v>320</v>
      </c>
      <c r="E6" s="208" t="s">
        <v>240</v>
      </c>
      <c r="F6" s="209"/>
      <c r="G6" s="209" t="s">
        <v>167</v>
      </c>
      <c r="H6" s="209"/>
      <c r="I6" s="210" t="s">
        <v>71</v>
      </c>
      <c r="J6" s="208"/>
      <c r="K6" s="209"/>
      <c r="L6" s="209" t="s">
        <v>244</v>
      </c>
    </row>
    <row r="7" spans="1:12" ht="12.75" customHeight="1">
      <c r="A7" s="200"/>
      <c r="B7" s="202"/>
      <c r="C7" s="211"/>
      <c r="D7" s="212">
        <f>Blad1!$B$3-1</f>
        <v>2005</v>
      </c>
      <c r="E7" s="213" t="s">
        <v>241</v>
      </c>
      <c r="F7" s="212">
        <f>Blad1!$B$3-1</f>
        <v>2005</v>
      </c>
      <c r="G7" s="212">
        <f>Blad1!$B$3-1</f>
        <v>2005</v>
      </c>
      <c r="H7" s="212">
        <f>Blad1!$B$3-1</f>
        <v>2005</v>
      </c>
      <c r="I7" s="212">
        <f>Blad1!$B$3</f>
        <v>2006</v>
      </c>
      <c r="J7" s="212">
        <f>Blad1!$B$3</f>
        <v>2006</v>
      </c>
      <c r="K7" s="212">
        <f>Blad1!$B$3</f>
        <v>2006</v>
      </c>
      <c r="L7" s="212">
        <f>Blad1!$B$3</f>
        <v>2006</v>
      </c>
    </row>
    <row r="8" spans="1:12" ht="12.75" customHeight="1">
      <c r="A8" s="200"/>
      <c r="B8" s="202"/>
      <c r="C8" s="214"/>
      <c r="D8" s="215"/>
      <c r="E8" s="216"/>
      <c r="F8" s="215"/>
      <c r="G8" s="215"/>
      <c r="H8" s="200"/>
      <c r="I8" s="200"/>
      <c r="J8" s="201"/>
      <c r="K8" s="200"/>
      <c r="L8" s="200"/>
    </row>
    <row r="9" spans="1:12" ht="12.75" customHeight="1">
      <c r="A9" s="200"/>
      <c r="B9" s="202"/>
      <c r="C9" s="214"/>
      <c r="D9" s="214"/>
      <c r="E9" s="217"/>
      <c r="F9" s="214"/>
      <c r="G9" s="214"/>
      <c r="H9" s="200"/>
      <c r="I9" s="200"/>
      <c r="J9" s="201"/>
      <c r="K9" s="200"/>
      <c r="L9" s="200"/>
    </row>
    <row r="10" spans="1:12" ht="12.75" customHeight="1">
      <c r="A10" s="370">
        <f>M60*100+1</f>
        <v>701</v>
      </c>
      <c r="B10" s="218">
        <v>192501</v>
      </c>
      <c r="C10" s="219" t="s">
        <v>392</v>
      </c>
      <c r="D10" s="379"/>
      <c r="E10" s="331">
        <v>1</v>
      </c>
      <c r="F10" s="105">
        <f>ROUND(D10*E10,0)</f>
        <v>0</v>
      </c>
      <c r="G10" s="379"/>
      <c r="H10" s="104">
        <f aca="true" t="shared" si="0" ref="H10:H33">F10-G10</f>
        <v>0</v>
      </c>
      <c r="I10" s="379"/>
      <c r="J10" s="331">
        <v>1</v>
      </c>
      <c r="K10" s="105">
        <f>ROUND(I10*J10,0)</f>
        <v>0</v>
      </c>
      <c r="L10" s="104">
        <f>K10-F10</f>
        <v>0</v>
      </c>
    </row>
    <row r="11" spans="1:12" s="48" customFormat="1" ht="12.75" customHeight="1">
      <c r="A11" s="371"/>
      <c r="B11" s="221"/>
      <c r="C11" s="214"/>
      <c r="D11" s="42"/>
      <c r="E11" s="332"/>
      <c r="F11" s="87"/>
      <c r="G11" s="42"/>
      <c r="H11" s="42"/>
      <c r="I11" s="42"/>
      <c r="J11" s="332"/>
      <c r="K11" s="87"/>
      <c r="L11" s="42"/>
    </row>
    <row r="12" spans="1:12" ht="12.75" customHeight="1">
      <c r="A12" s="370">
        <f>A10+1</f>
        <v>702</v>
      </c>
      <c r="B12" s="223">
        <v>190501</v>
      </c>
      <c r="C12" s="219" t="s">
        <v>397</v>
      </c>
      <c r="D12" s="379"/>
      <c r="E12" s="333"/>
      <c r="F12" s="105">
        <f>ROUND(D12*E12,0)</f>
        <v>0</v>
      </c>
      <c r="G12" s="379"/>
      <c r="H12" s="104">
        <f t="shared" si="0"/>
        <v>0</v>
      </c>
      <c r="I12" s="379"/>
      <c r="J12" s="331">
        <v>0.8</v>
      </c>
      <c r="K12" s="105">
        <f>ROUND(I12*J12,0)</f>
        <v>0</v>
      </c>
      <c r="L12" s="104">
        <f aca="true" t="shared" si="1" ref="L12:L23">K12-F12</f>
        <v>0</v>
      </c>
    </row>
    <row r="13" spans="1:12" ht="12.75" customHeight="1">
      <c r="A13" s="370">
        <f>A12+1</f>
        <v>703</v>
      </c>
      <c r="B13" s="223">
        <v>190502</v>
      </c>
      <c r="C13" s="219" t="s">
        <v>398</v>
      </c>
      <c r="D13" s="379"/>
      <c r="E13" s="333"/>
      <c r="F13" s="105">
        <f>ROUND(D13*E13,0)</f>
        <v>0</v>
      </c>
      <c r="G13" s="379"/>
      <c r="H13" s="104">
        <f t="shared" si="0"/>
        <v>0</v>
      </c>
      <c r="I13" s="379"/>
      <c r="J13" s="331">
        <v>0.8</v>
      </c>
      <c r="K13" s="105">
        <f>ROUND(I13*J13,0)</f>
        <v>0</v>
      </c>
      <c r="L13" s="104">
        <f t="shared" si="1"/>
        <v>0</v>
      </c>
    </row>
    <row r="14" spans="1:12" ht="12.75" customHeight="1">
      <c r="A14" s="370">
        <f aca="true" t="shared" si="2" ref="A14:A32">A13+1</f>
        <v>704</v>
      </c>
      <c r="B14" s="223">
        <v>190503</v>
      </c>
      <c r="C14" s="219" t="s">
        <v>399</v>
      </c>
      <c r="D14" s="379"/>
      <c r="E14" s="333"/>
      <c r="F14" s="105">
        <f aca="true" t="shared" si="3" ref="F14:F33">ROUND(D14*E14,0)</f>
        <v>0</v>
      </c>
      <c r="G14" s="379"/>
      <c r="H14" s="104">
        <f t="shared" si="0"/>
        <v>0</v>
      </c>
      <c r="I14" s="379"/>
      <c r="J14" s="331">
        <v>0.8</v>
      </c>
      <c r="K14" s="105">
        <f aca="true" t="shared" si="4" ref="K14:K23">ROUND(I14*J14,0)</f>
        <v>0</v>
      </c>
      <c r="L14" s="104">
        <f t="shared" si="1"/>
        <v>0</v>
      </c>
    </row>
    <row r="15" spans="1:12" ht="12.75" customHeight="1">
      <c r="A15" s="370">
        <f t="shared" si="2"/>
        <v>705</v>
      </c>
      <c r="B15" s="223">
        <v>190504</v>
      </c>
      <c r="C15" s="219" t="s">
        <v>400</v>
      </c>
      <c r="D15" s="379"/>
      <c r="E15" s="333"/>
      <c r="F15" s="105">
        <f t="shared" si="3"/>
        <v>0</v>
      </c>
      <c r="G15" s="379"/>
      <c r="H15" s="104">
        <f t="shared" si="0"/>
        <v>0</v>
      </c>
      <c r="I15" s="379"/>
      <c r="J15" s="331">
        <v>0.8</v>
      </c>
      <c r="K15" s="105">
        <f t="shared" si="4"/>
        <v>0</v>
      </c>
      <c r="L15" s="104">
        <f t="shared" si="1"/>
        <v>0</v>
      </c>
    </row>
    <row r="16" spans="1:12" ht="12.75" customHeight="1">
      <c r="A16" s="370">
        <f t="shared" si="2"/>
        <v>706</v>
      </c>
      <c r="B16" s="223">
        <v>190505</v>
      </c>
      <c r="C16" s="219" t="s">
        <v>401</v>
      </c>
      <c r="D16" s="379"/>
      <c r="E16" s="333"/>
      <c r="F16" s="105">
        <f t="shared" si="3"/>
        <v>0</v>
      </c>
      <c r="G16" s="379"/>
      <c r="H16" s="104">
        <f t="shared" si="0"/>
        <v>0</v>
      </c>
      <c r="I16" s="379"/>
      <c r="J16" s="331">
        <v>0.8</v>
      </c>
      <c r="K16" s="105">
        <f t="shared" si="4"/>
        <v>0</v>
      </c>
      <c r="L16" s="104">
        <f t="shared" si="1"/>
        <v>0</v>
      </c>
    </row>
    <row r="17" spans="1:12" ht="12.75" customHeight="1">
      <c r="A17" s="370">
        <f t="shared" si="2"/>
        <v>707</v>
      </c>
      <c r="B17" s="223">
        <v>190506</v>
      </c>
      <c r="C17" s="219" t="s">
        <v>402</v>
      </c>
      <c r="D17" s="379"/>
      <c r="E17" s="333"/>
      <c r="F17" s="105">
        <f t="shared" si="3"/>
        <v>0</v>
      </c>
      <c r="G17" s="379"/>
      <c r="H17" s="104">
        <f t="shared" si="0"/>
        <v>0</v>
      </c>
      <c r="I17" s="379"/>
      <c r="J17" s="331">
        <v>0.8</v>
      </c>
      <c r="K17" s="105">
        <f t="shared" si="4"/>
        <v>0</v>
      </c>
      <c r="L17" s="104">
        <f t="shared" si="1"/>
        <v>0</v>
      </c>
    </row>
    <row r="18" spans="1:12" ht="12.75" customHeight="1">
      <c r="A18" s="370">
        <f t="shared" si="2"/>
        <v>708</v>
      </c>
      <c r="B18" s="223">
        <v>190507</v>
      </c>
      <c r="C18" s="219" t="s">
        <v>403</v>
      </c>
      <c r="D18" s="379"/>
      <c r="E18" s="333"/>
      <c r="F18" s="105">
        <f t="shared" si="3"/>
        <v>0</v>
      </c>
      <c r="G18" s="379"/>
      <c r="H18" s="104">
        <f t="shared" si="0"/>
        <v>0</v>
      </c>
      <c r="I18" s="379"/>
      <c r="J18" s="331">
        <v>0.8</v>
      </c>
      <c r="K18" s="105">
        <f t="shared" si="4"/>
        <v>0</v>
      </c>
      <c r="L18" s="104">
        <f t="shared" si="1"/>
        <v>0</v>
      </c>
    </row>
    <row r="19" spans="1:12" ht="12.75" customHeight="1">
      <c r="A19" s="370">
        <f t="shared" si="2"/>
        <v>709</v>
      </c>
      <c r="B19" s="223">
        <v>190508</v>
      </c>
      <c r="C19" s="219" t="s">
        <v>404</v>
      </c>
      <c r="D19" s="379"/>
      <c r="E19" s="333"/>
      <c r="F19" s="105">
        <f t="shared" si="3"/>
        <v>0</v>
      </c>
      <c r="G19" s="379"/>
      <c r="H19" s="104">
        <f t="shared" si="0"/>
        <v>0</v>
      </c>
      <c r="I19" s="379"/>
      <c r="J19" s="331">
        <v>0.8</v>
      </c>
      <c r="K19" s="105">
        <f t="shared" si="4"/>
        <v>0</v>
      </c>
      <c r="L19" s="104">
        <f t="shared" si="1"/>
        <v>0</v>
      </c>
    </row>
    <row r="20" spans="1:12" ht="12.75" customHeight="1">
      <c r="A20" s="370">
        <f t="shared" si="2"/>
        <v>710</v>
      </c>
      <c r="B20" s="223">
        <v>190509</v>
      </c>
      <c r="C20" s="219" t="s">
        <v>405</v>
      </c>
      <c r="D20" s="379"/>
      <c r="E20" s="333"/>
      <c r="F20" s="105">
        <f t="shared" si="3"/>
        <v>0</v>
      </c>
      <c r="G20" s="379"/>
      <c r="H20" s="104">
        <f t="shared" si="0"/>
        <v>0</v>
      </c>
      <c r="I20" s="379"/>
      <c r="J20" s="331">
        <v>0.8</v>
      </c>
      <c r="K20" s="105">
        <f t="shared" si="4"/>
        <v>0</v>
      </c>
      <c r="L20" s="104">
        <f t="shared" si="1"/>
        <v>0</v>
      </c>
    </row>
    <row r="21" spans="1:12" ht="12.75" customHeight="1">
      <c r="A21" s="370">
        <f t="shared" si="2"/>
        <v>711</v>
      </c>
      <c r="B21" s="223">
        <v>190510</v>
      </c>
      <c r="C21" s="219" t="s">
        <v>406</v>
      </c>
      <c r="D21" s="379"/>
      <c r="E21" s="333"/>
      <c r="F21" s="105">
        <f t="shared" si="3"/>
        <v>0</v>
      </c>
      <c r="G21" s="379"/>
      <c r="H21" s="104">
        <f t="shared" si="0"/>
        <v>0</v>
      </c>
      <c r="I21" s="379"/>
      <c r="J21" s="331">
        <v>0.8</v>
      </c>
      <c r="K21" s="105">
        <f t="shared" si="4"/>
        <v>0</v>
      </c>
      <c r="L21" s="104">
        <f t="shared" si="1"/>
        <v>0</v>
      </c>
    </row>
    <row r="22" spans="1:12" ht="12.75" customHeight="1">
      <c r="A22" s="370">
        <f t="shared" si="2"/>
        <v>712</v>
      </c>
      <c r="B22" s="223">
        <v>190511</v>
      </c>
      <c r="C22" s="219" t="s">
        <v>407</v>
      </c>
      <c r="D22" s="379"/>
      <c r="E22" s="333"/>
      <c r="F22" s="105">
        <f t="shared" si="3"/>
        <v>0</v>
      </c>
      <c r="G22" s="379"/>
      <c r="H22" s="104">
        <f t="shared" si="0"/>
        <v>0</v>
      </c>
      <c r="I22" s="379"/>
      <c r="J22" s="331">
        <v>0.8</v>
      </c>
      <c r="K22" s="105">
        <f t="shared" si="4"/>
        <v>0</v>
      </c>
      <c r="L22" s="104">
        <f t="shared" si="1"/>
        <v>0</v>
      </c>
    </row>
    <row r="23" spans="1:12" ht="12.75" customHeight="1">
      <c r="A23" s="370">
        <f t="shared" si="2"/>
        <v>713</v>
      </c>
      <c r="B23" s="223">
        <v>190512</v>
      </c>
      <c r="C23" s="219" t="s">
        <v>408</v>
      </c>
      <c r="D23" s="379"/>
      <c r="E23" s="333"/>
      <c r="F23" s="105">
        <f t="shared" si="3"/>
        <v>0</v>
      </c>
      <c r="G23" s="379"/>
      <c r="H23" s="104">
        <f t="shared" si="0"/>
        <v>0</v>
      </c>
      <c r="I23" s="379"/>
      <c r="J23" s="331">
        <v>0.8</v>
      </c>
      <c r="K23" s="105">
        <f t="shared" si="4"/>
        <v>0</v>
      </c>
      <c r="L23" s="104">
        <f t="shared" si="1"/>
        <v>0</v>
      </c>
    </row>
    <row r="24" spans="1:12" ht="12.75" customHeight="1">
      <c r="A24" s="370">
        <f t="shared" si="2"/>
        <v>714</v>
      </c>
      <c r="B24" s="223">
        <v>190513</v>
      </c>
      <c r="C24" s="219" t="s">
        <v>393</v>
      </c>
      <c r="D24" s="379"/>
      <c r="E24" s="333"/>
      <c r="F24" s="105">
        <f t="shared" si="3"/>
        <v>0</v>
      </c>
      <c r="G24" s="379"/>
      <c r="H24" s="104">
        <f t="shared" si="0"/>
        <v>0</v>
      </c>
      <c r="I24" s="379"/>
      <c r="J24" s="331">
        <v>1</v>
      </c>
      <c r="K24" s="105">
        <f aca="true" t="shared" si="5" ref="K24:K33">ROUND(I24*J24,0)</f>
        <v>0</v>
      </c>
      <c r="L24" s="104">
        <f aca="true" t="shared" si="6" ref="L24:L33">K24-F24</f>
        <v>0</v>
      </c>
    </row>
    <row r="25" spans="1:12" ht="12.75" customHeight="1">
      <c r="A25" s="370">
        <f t="shared" si="2"/>
        <v>715</v>
      </c>
      <c r="B25" s="223">
        <v>190514</v>
      </c>
      <c r="C25" s="219" t="s">
        <v>394</v>
      </c>
      <c r="D25" s="379"/>
      <c r="E25" s="333"/>
      <c r="F25" s="105">
        <f t="shared" si="3"/>
        <v>0</v>
      </c>
      <c r="G25" s="379"/>
      <c r="H25" s="104">
        <f t="shared" si="0"/>
        <v>0</v>
      </c>
      <c r="I25" s="379"/>
      <c r="J25" s="331">
        <v>1</v>
      </c>
      <c r="K25" s="105">
        <f t="shared" si="5"/>
        <v>0</v>
      </c>
      <c r="L25" s="104">
        <f t="shared" si="6"/>
        <v>0</v>
      </c>
    </row>
    <row r="26" spans="1:12" ht="12.75" customHeight="1">
      <c r="A26" s="370">
        <f t="shared" si="2"/>
        <v>716</v>
      </c>
      <c r="B26" s="223">
        <v>190513</v>
      </c>
      <c r="C26" s="219" t="s">
        <v>395</v>
      </c>
      <c r="D26" s="379"/>
      <c r="E26" s="333"/>
      <c r="F26" s="105">
        <f t="shared" si="3"/>
        <v>0</v>
      </c>
      <c r="G26" s="379"/>
      <c r="H26" s="104">
        <f t="shared" si="0"/>
        <v>0</v>
      </c>
      <c r="I26" s="379"/>
      <c r="J26" s="331">
        <v>0.8</v>
      </c>
      <c r="K26" s="105">
        <f t="shared" si="5"/>
        <v>0</v>
      </c>
      <c r="L26" s="104">
        <f t="shared" si="6"/>
        <v>0</v>
      </c>
    </row>
    <row r="27" spans="1:12" ht="12.75" customHeight="1">
      <c r="A27" s="370">
        <f t="shared" si="2"/>
        <v>717</v>
      </c>
      <c r="B27" s="223">
        <v>190514</v>
      </c>
      <c r="C27" s="219" t="s">
        <v>396</v>
      </c>
      <c r="D27" s="379"/>
      <c r="E27" s="333"/>
      <c r="F27" s="105">
        <f t="shared" si="3"/>
        <v>0</v>
      </c>
      <c r="G27" s="379"/>
      <c r="H27" s="104">
        <f t="shared" si="0"/>
        <v>0</v>
      </c>
      <c r="I27" s="379"/>
      <c r="J27" s="331">
        <v>0.8</v>
      </c>
      <c r="K27" s="105">
        <f t="shared" si="5"/>
        <v>0</v>
      </c>
      <c r="L27" s="104">
        <f t="shared" si="6"/>
        <v>0</v>
      </c>
    </row>
    <row r="28" spans="1:12" ht="12.75" customHeight="1">
      <c r="A28" s="370">
        <f t="shared" si="2"/>
        <v>718</v>
      </c>
      <c r="B28" s="223">
        <v>190515</v>
      </c>
      <c r="C28" s="224" t="s">
        <v>587</v>
      </c>
      <c r="D28" s="379"/>
      <c r="E28" s="333"/>
      <c r="F28" s="105">
        <f>ROUND(D28*E28,0)</f>
        <v>0</v>
      </c>
      <c r="G28" s="379"/>
      <c r="H28" s="104">
        <f>F28-G28</f>
        <v>0</v>
      </c>
      <c r="I28" s="379"/>
      <c r="J28" s="331">
        <v>0.8</v>
      </c>
      <c r="K28" s="105">
        <f>ROUND(I28*J28,0)</f>
        <v>0</v>
      </c>
      <c r="L28" s="104">
        <f>K28-F28</f>
        <v>0</v>
      </c>
    </row>
    <row r="29" spans="1:12" ht="12.75" customHeight="1">
      <c r="A29" s="370">
        <f t="shared" si="2"/>
        <v>719</v>
      </c>
      <c r="B29" s="223">
        <v>190516</v>
      </c>
      <c r="C29" s="224" t="s">
        <v>409</v>
      </c>
      <c r="D29" s="379"/>
      <c r="E29" s="333"/>
      <c r="F29" s="105">
        <f t="shared" si="3"/>
        <v>0</v>
      </c>
      <c r="G29" s="379"/>
      <c r="H29" s="104">
        <f t="shared" si="0"/>
        <v>0</v>
      </c>
      <c r="I29" s="379"/>
      <c r="J29" s="331">
        <v>0.8</v>
      </c>
      <c r="K29" s="105">
        <f t="shared" si="5"/>
        <v>0</v>
      </c>
      <c r="L29" s="104">
        <f t="shared" si="6"/>
        <v>0</v>
      </c>
    </row>
    <row r="30" spans="1:12" ht="12.75" customHeight="1">
      <c r="A30" s="370">
        <f t="shared" si="2"/>
        <v>720</v>
      </c>
      <c r="B30" s="223">
        <v>190517</v>
      </c>
      <c r="C30" s="224" t="s">
        <v>413</v>
      </c>
      <c r="D30" s="379"/>
      <c r="E30" s="333"/>
      <c r="F30" s="105">
        <f t="shared" si="3"/>
        <v>0</v>
      </c>
      <c r="G30" s="379"/>
      <c r="H30" s="104">
        <f t="shared" si="0"/>
        <v>0</v>
      </c>
      <c r="I30" s="379"/>
      <c r="J30" s="331">
        <v>0.8</v>
      </c>
      <c r="K30" s="105">
        <f t="shared" si="5"/>
        <v>0</v>
      </c>
      <c r="L30" s="104">
        <f t="shared" si="6"/>
        <v>0</v>
      </c>
    </row>
    <row r="31" spans="1:12" ht="12.75" customHeight="1">
      <c r="A31" s="370">
        <f t="shared" si="2"/>
        <v>721</v>
      </c>
      <c r="B31" s="223">
        <v>190518</v>
      </c>
      <c r="C31" s="219" t="s">
        <v>410</v>
      </c>
      <c r="D31" s="379"/>
      <c r="E31" s="333"/>
      <c r="F31" s="105">
        <f t="shared" si="3"/>
        <v>0</v>
      </c>
      <c r="G31" s="379"/>
      <c r="H31" s="104">
        <f t="shared" si="0"/>
        <v>0</v>
      </c>
      <c r="I31" s="379"/>
      <c r="J31" s="331">
        <v>0.8</v>
      </c>
      <c r="K31" s="105">
        <f t="shared" si="5"/>
        <v>0</v>
      </c>
      <c r="L31" s="104">
        <f t="shared" si="6"/>
        <v>0</v>
      </c>
    </row>
    <row r="32" spans="1:12" ht="12.75" customHeight="1">
      <c r="A32" s="370">
        <f t="shared" si="2"/>
        <v>722</v>
      </c>
      <c r="B32" s="223">
        <v>190519</v>
      </c>
      <c r="C32" s="219" t="s">
        <v>411</v>
      </c>
      <c r="D32" s="379"/>
      <c r="E32" s="333"/>
      <c r="F32" s="105">
        <f t="shared" si="3"/>
        <v>0</v>
      </c>
      <c r="G32" s="379"/>
      <c r="H32" s="104">
        <f t="shared" si="0"/>
        <v>0</v>
      </c>
      <c r="I32" s="379"/>
      <c r="J32" s="331">
        <v>0.8</v>
      </c>
      <c r="K32" s="105">
        <f t="shared" si="5"/>
        <v>0</v>
      </c>
      <c r="L32" s="104">
        <f t="shared" si="6"/>
        <v>0</v>
      </c>
    </row>
    <row r="33" spans="1:12" ht="12.75" customHeight="1">
      <c r="A33" s="370">
        <f>A32+1</f>
        <v>723</v>
      </c>
      <c r="B33" s="218"/>
      <c r="C33" s="225"/>
      <c r="D33" s="379"/>
      <c r="E33" s="333"/>
      <c r="F33" s="105">
        <f t="shared" si="3"/>
        <v>0</v>
      </c>
      <c r="G33" s="379"/>
      <c r="H33" s="104">
        <f t="shared" si="0"/>
        <v>0</v>
      </c>
      <c r="I33" s="379"/>
      <c r="J33" s="331">
        <v>0.8</v>
      </c>
      <c r="K33" s="105">
        <f t="shared" si="5"/>
        <v>0</v>
      </c>
      <c r="L33" s="104">
        <f t="shared" si="6"/>
        <v>0</v>
      </c>
    </row>
    <row r="34" spans="1:12" s="48" customFormat="1" ht="12.75" customHeight="1">
      <c r="A34" s="214"/>
      <c r="B34" s="221"/>
      <c r="C34" s="214"/>
      <c r="D34" s="383"/>
      <c r="E34" s="226"/>
      <c r="F34" s="383"/>
      <c r="G34" s="383"/>
      <c r="H34" s="222"/>
      <c r="I34" s="222"/>
      <c r="J34" s="217"/>
      <c r="K34" s="222"/>
      <c r="L34" s="222"/>
    </row>
    <row r="35" spans="1:12" ht="12.75" customHeight="1">
      <c r="A35" s="200"/>
      <c r="B35" s="202"/>
      <c r="C35" s="211"/>
      <c r="D35" s="227">
        <f>SUM(D10:D33)</f>
        <v>0</v>
      </c>
      <c r="E35" s="228"/>
      <c r="F35" s="227">
        <f>SUM(F10:F33)</f>
        <v>0</v>
      </c>
      <c r="G35" s="227">
        <f>SUM(G10:G33)</f>
        <v>0</v>
      </c>
      <c r="H35" s="229">
        <f>SUM(H10:H33)</f>
        <v>0</v>
      </c>
      <c r="I35" s="227">
        <f>SUM(I10:I33)</f>
        <v>0</v>
      </c>
      <c r="J35" s="201"/>
      <c r="K35" s="227">
        <f>SUM(K10:K33)</f>
        <v>0</v>
      </c>
      <c r="L35" s="230">
        <f>SUM(L10:L33)</f>
        <v>0</v>
      </c>
    </row>
    <row r="36" spans="1:12" ht="12.75" customHeight="1">
      <c r="A36" s="200"/>
      <c r="B36" s="202"/>
      <c r="C36" s="214"/>
      <c r="D36" s="231"/>
      <c r="E36" s="216"/>
      <c r="F36" s="231"/>
      <c r="G36" s="231"/>
      <c r="H36" s="222" t="s">
        <v>305</v>
      </c>
      <c r="I36" s="222"/>
      <c r="J36" s="200"/>
      <c r="K36" s="200"/>
      <c r="L36" s="200"/>
    </row>
    <row r="37" spans="1:12" ht="12.75" customHeight="1">
      <c r="A37" s="200"/>
      <c r="B37" s="202"/>
      <c r="D37" s="232"/>
      <c r="E37" s="217"/>
      <c r="F37" s="214"/>
      <c r="G37" s="214"/>
      <c r="H37" s="200"/>
      <c r="I37" s="200"/>
      <c r="J37" s="200"/>
      <c r="K37" s="200"/>
      <c r="L37" s="200"/>
    </row>
    <row r="38" spans="1:12" ht="12.75" customHeight="1">
      <c r="A38" s="200"/>
      <c r="B38" s="202"/>
      <c r="D38" s="232"/>
      <c r="E38" s="217"/>
      <c r="F38" s="214"/>
      <c r="G38" s="214"/>
      <c r="H38" s="200"/>
      <c r="I38" s="200"/>
      <c r="J38" s="200"/>
      <c r="K38" s="200"/>
      <c r="L38" s="200"/>
    </row>
    <row r="39" spans="1:12" ht="12.75" customHeight="1">
      <c r="A39" s="200"/>
      <c r="B39" s="232" t="s">
        <v>391</v>
      </c>
      <c r="D39" s="232"/>
      <c r="E39" s="217"/>
      <c r="F39" s="214"/>
      <c r="G39" s="214"/>
      <c r="H39" s="200"/>
      <c r="I39" s="200"/>
      <c r="J39" s="200"/>
      <c r="K39" s="200"/>
      <c r="L39" s="200"/>
    </row>
    <row r="40" spans="1:11" ht="12.75" customHeight="1">
      <c r="A40" s="200"/>
      <c r="B40" s="44"/>
      <c r="D40" s="232"/>
      <c r="E40" s="217"/>
      <c r="F40" s="214"/>
      <c r="G40" s="214"/>
      <c r="H40" s="200"/>
      <c r="I40" s="200"/>
      <c r="J40" s="200"/>
      <c r="K40" s="200"/>
    </row>
    <row r="41" spans="2:7" ht="12.75" customHeight="1">
      <c r="B41" s="232" t="s">
        <v>337</v>
      </c>
      <c r="D41" s="52"/>
      <c r="E41" s="46"/>
      <c r="F41" s="48"/>
      <c r="G41" s="48"/>
    </row>
    <row r="42" spans="2:7" ht="12.75" customHeight="1">
      <c r="B42" s="232" t="s">
        <v>338</v>
      </c>
      <c r="D42" s="52"/>
      <c r="E42" s="51"/>
      <c r="F42" s="48"/>
      <c r="G42" s="48"/>
    </row>
    <row r="43" spans="2:7" ht="12.75" customHeight="1">
      <c r="B43" s="44"/>
      <c r="D43" s="48"/>
      <c r="E43" s="46"/>
      <c r="F43" s="48"/>
      <c r="G43" s="48"/>
    </row>
    <row r="44" spans="2:7" ht="12.75" customHeight="1">
      <c r="B44" s="232" t="s">
        <v>412</v>
      </c>
      <c r="D44" s="48"/>
      <c r="E44" s="46"/>
      <c r="F44" s="48"/>
      <c r="G44" s="48"/>
    </row>
    <row r="45" spans="3:7" ht="12.75" customHeight="1">
      <c r="C45" s="27"/>
      <c r="D45" s="48"/>
      <c r="E45" s="46"/>
      <c r="F45" s="48"/>
      <c r="G45" s="48"/>
    </row>
    <row r="46" spans="3:7" ht="12.75" customHeight="1">
      <c r="C46" s="27"/>
      <c r="D46" s="48"/>
      <c r="E46" s="46"/>
      <c r="F46" s="48"/>
      <c r="G46" s="48"/>
    </row>
    <row r="47" spans="3:7" ht="12.75" customHeight="1">
      <c r="C47" s="27"/>
      <c r="D47" s="48"/>
      <c r="E47" s="46"/>
      <c r="F47" s="48"/>
      <c r="G47" s="48"/>
    </row>
    <row r="48" spans="3:7" ht="12.75" customHeight="1">
      <c r="C48" s="48"/>
      <c r="D48" s="48"/>
      <c r="E48" s="46"/>
      <c r="F48" s="48"/>
      <c r="G48" s="48"/>
    </row>
    <row r="49" spans="3:7" ht="12.75" customHeight="1">
      <c r="C49" s="48"/>
      <c r="D49" s="48"/>
      <c r="E49" s="46"/>
      <c r="F49" s="48"/>
      <c r="G49" s="48"/>
    </row>
    <row r="50" spans="3:7" ht="12.75" customHeight="1">
      <c r="C50" s="48"/>
      <c r="D50" s="48"/>
      <c r="E50" s="46"/>
      <c r="F50" s="48"/>
      <c r="G50" s="48"/>
    </row>
    <row r="51" spans="3:7" ht="12.75" customHeight="1">
      <c r="C51" s="48"/>
      <c r="D51" s="48"/>
      <c r="E51" s="46"/>
      <c r="F51" s="48"/>
      <c r="G51" s="48"/>
    </row>
    <row r="52" spans="3:7" ht="12.75" customHeight="1">
      <c r="C52" s="48"/>
      <c r="D52" s="48"/>
      <c r="E52" s="46"/>
      <c r="F52" s="48"/>
      <c r="G52" s="48"/>
    </row>
    <row r="53" spans="3:7" ht="12.75" customHeight="1">
      <c r="C53" s="48"/>
      <c r="D53" s="48"/>
      <c r="E53" s="46"/>
      <c r="F53" s="48"/>
      <c r="G53" s="48"/>
    </row>
    <row r="54" spans="3:7" ht="12.75" customHeight="1">
      <c r="C54" s="48"/>
      <c r="D54" s="48"/>
      <c r="E54" s="46"/>
      <c r="F54" s="48"/>
      <c r="G54" s="48"/>
    </row>
    <row r="55" spans="3:7" ht="12.75" customHeight="1">
      <c r="C55" s="48"/>
      <c r="D55" s="48"/>
      <c r="E55" s="46"/>
      <c r="F55" s="48"/>
      <c r="G55" s="48"/>
    </row>
    <row r="56" spans="3:7" ht="12.75" customHeight="1">
      <c r="C56" s="48"/>
      <c r="D56" s="48"/>
      <c r="E56" s="46"/>
      <c r="F56" s="48"/>
      <c r="G56" s="48"/>
    </row>
    <row r="57" spans="3:7" ht="12.75" customHeight="1">
      <c r="C57" s="48"/>
      <c r="D57" s="48"/>
      <c r="E57" s="46"/>
      <c r="F57" s="48"/>
      <c r="G57" s="48"/>
    </row>
    <row r="58" spans="3:7" ht="12.75" customHeight="1">
      <c r="C58" s="48"/>
      <c r="D58" s="48"/>
      <c r="E58" s="46"/>
      <c r="F58" s="48"/>
      <c r="G58" s="48"/>
    </row>
    <row r="59" spans="3:7" ht="12.75" customHeight="1">
      <c r="C59" s="48"/>
      <c r="D59" s="48"/>
      <c r="E59" s="46"/>
      <c r="F59" s="48"/>
      <c r="G59" s="48"/>
    </row>
    <row r="60" spans="3:13" ht="12.75" customHeight="1">
      <c r="C60" s="48"/>
      <c r="D60" s="48"/>
      <c r="E60" s="46"/>
      <c r="F60" s="48"/>
      <c r="G60" s="48"/>
      <c r="M60" s="200">
        <f>Blad6!N60+1</f>
        <v>7</v>
      </c>
    </row>
    <row r="61" spans="3:7" ht="12.75" customHeight="1">
      <c r="C61" s="48"/>
      <c r="D61" s="48"/>
      <c r="E61" s="46"/>
      <c r="F61" s="48"/>
      <c r="G61" s="48"/>
    </row>
    <row r="62" spans="3:7" ht="12.75" customHeight="1">
      <c r="C62" s="48"/>
      <c r="D62" s="48"/>
      <c r="E62" s="46"/>
      <c r="F62" s="48"/>
      <c r="G62" s="48"/>
    </row>
    <row r="63" spans="3:7" ht="12.75" customHeight="1">
      <c r="C63" s="48"/>
      <c r="D63" s="48"/>
      <c r="E63" s="46"/>
      <c r="F63" s="48"/>
      <c r="G63" s="48"/>
    </row>
    <row r="64" spans="3:7" ht="12.75" customHeight="1">
      <c r="C64" s="48"/>
      <c r="D64" s="48"/>
      <c r="E64" s="46"/>
      <c r="F64" s="48"/>
      <c r="G64" s="48"/>
    </row>
    <row r="65" spans="3:7" ht="12.75" customHeight="1">
      <c r="C65" s="48"/>
      <c r="D65" s="48"/>
      <c r="E65" s="46"/>
      <c r="F65" s="48"/>
      <c r="G65" s="48"/>
    </row>
    <row r="66" spans="3:7" ht="12.75" customHeight="1">
      <c r="C66" s="48"/>
      <c r="D66" s="48"/>
      <c r="E66" s="46"/>
      <c r="F66" s="48"/>
      <c r="G66" s="48"/>
    </row>
    <row r="67" spans="3:7" ht="12.75" customHeight="1">
      <c r="C67" s="48"/>
      <c r="D67" s="48"/>
      <c r="E67" s="46"/>
      <c r="F67" s="48"/>
      <c r="G67" s="48"/>
    </row>
    <row r="68" spans="3:7" ht="12.75" customHeight="1">
      <c r="C68" s="48"/>
      <c r="D68" s="48"/>
      <c r="E68" s="46"/>
      <c r="F68" s="48"/>
      <c r="G68" s="48"/>
    </row>
    <row r="69" spans="3:7" ht="12.75" customHeight="1">
      <c r="C69" s="48"/>
      <c r="D69" s="48"/>
      <c r="E69" s="46"/>
      <c r="F69" s="48"/>
      <c r="G69" s="48"/>
    </row>
    <row r="70" spans="3:7" ht="12.75" customHeight="1">
      <c r="C70" s="48"/>
      <c r="D70" s="48"/>
      <c r="E70" s="46"/>
      <c r="F70" s="48"/>
      <c r="G70" s="48"/>
    </row>
    <row r="71" spans="3:7" ht="12.75" customHeight="1">
      <c r="C71" s="48"/>
      <c r="D71" s="48"/>
      <c r="E71" s="46"/>
      <c r="F71" s="48"/>
      <c r="G71" s="48"/>
    </row>
    <row r="72" spans="3:7" ht="12.75" customHeight="1">
      <c r="C72" s="48"/>
      <c r="D72" s="48"/>
      <c r="E72" s="46"/>
      <c r="F72" s="48"/>
      <c r="G72" s="48"/>
    </row>
    <row r="73" spans="3:7" ht="12.75" customHeight="1">
      <c r="C73" s="48"/>
      <c r="D73" s="48"/>
      <c r="E73" s="46"/>
      <c r="F73" s="48"/>
      <c r="G73" s="48"/>
    </row>
    <row r="74" spans="3:7" ht="12.75" customHeight="1">
      <c r="C74" s="48"/>
      <c r="D74" s="48"/>
      <c r="E74" s="46"/>
      <c r="F74" s="48"/>
      <c r="G74" s="48"/>
    </row>
    <row r="75" spans="3:7" ht="12.75" customHeight="1">
      <c r="C75" s="48"/>
      <c r="D75" s="48"/>
      <c r="E75" s="46"/>
      <c r="F75" s="48"/>
      <c r="G75" s="48"/>
    </row>
    <row r="76" spans="3:7" ht="12.75" customHeight="1">
      <c r="C76" s="48"/>
      <c r="D76" s="48"/>
      <c r="E76" s="46"/>
      <c r="F76" s="48"/>
      <c r="G76" s="48"/>
    </row>
    <row r="77" spans="3:7" ht="12.75" customHeight="1">
      <c r="C77" s="48"/>
      <c r="D77" s="48"/>
      <c r="E77" s="46"/>
      <c r="F77" s="48"/>
      <c r="G77" s="48"/>
    </row>
    <row r="78" spans="3:7" ht="12.75" customHeight="1">
      <c r="C78" s="48"/>
      <c r="D78" s="48"/>
      <c r="E78" s="46"/>
      <c r="F78" s="48"/>
      <c r="G78" s="48"/>
    </row>
    <row r="79" spans="3:7" ht="12.75" customHeight="1">
      <c r="C79" s="48"/>
      <c r="D79" s="48"/>
      <c r="E79" s="46"/>
      <c r="F79" s="48"/>
      <c r="G79" s="48"/>
    </row>
    <row r="80" spans="3:7" ht="12.75" customHeight="1">
      <c r="C80" s="48"/>
      <c r="D80" s="48"/>
      <c r="E80" s="46"/>
      <c r="F80" s="48"/>
      <c r="G80" s="48"/>
    </row>
    <row r="81" spans="3:7" ht="12.75" customHeight="1">
      <c r="C81" s="48"/>
      <c r="D81" s="48"/>
      <c r="E81" s="46"/>
      <c r="F81" s="48"/>
      <c r="G81" s="48"/>
    </row>
    <row r="82" spans="3:7" ht="12.75" customHeight="1">
      <c r="C82" s="48"/>
      <c r="D82" s="48"/>
      <c r="E82" s="46"/>
      <c r="F82" s="48"/>
      <c r="G82" s="48"/>
    </row>
    <row r="83" spans="3:7" ht="12.75" customHeight="1">
      <c r="C83" s="48"/>
      <c r="D83" s="48"/>
      <c r="E83" s="46"/>
      <c r="F83" s="48"/>
      <c r="G83" s="48"/>
    </row>
    <row r="84" spans="3:7" ht="12.75" customHeight="1">
      <c r="C84" s="48"/>
      <c r="D84" s="48"/>
      <c r="E84" s="46"/>
      <c r="F84" s="48"/>
      <c r="G84" s="48"/>
    </row>
    <row r="85" spans="3:7" ht="12.75" customHeight="1">
      <c r="C85" s="48"/>
      <c r="D85" s="48"/>
      <c r="E85" s="46"/>
      <c r="F85" s="48"/>
      <c r="G85" s="48"/>
    </row>
    <row r="86" spans="3:7" ht="12.75" customHeight="1">
      <c r="C86" s="48"/>
      <c r="D86" s="48"/>
      <c r="E86" s="46"/>
      <c r="F86" s="48"/>
      <c r="G86" s="48"/>
    </row>
    <row r="87" spans="3:7" ht="12.75" customHeight="1">
      <c r="C87" s="48"/>
      <c r="D87" s="48"/>
      <c r="E87" s="46"/>
      <c r="F87" s="48"/>
      <c r="G87" s="48"/>
    </row>
    <row r="88" spans="3:7" ht="12.75" customHeight="1">
      <c r="C88" s="48"/>
      <c r="D88" s="48"/>
      <c r="E88" s="46"/>
      <c r="F88" s="48"/>
      <c r="G88" s="48"/>
    </row>
    <row r="89" spans="3:7" ht="12.75" customHeight="1">
      <c r="C89" s="48"/>
      <c r="D89" s="48"/>
      <c r="E89" s="46"/>
      <c r="F89" s="48"/>
      <c r="G89" s="48"/>
    </row>
    <row r="90" spans="3:7" ht="12.75" customHeight="1">
      <c r="C90" s="48"/>
      <c r="D90" s="48"/>
      <c r="E90" s="46"/>
      <c r="F90" s="48"/>
      <c r="G90" s="48"/>
    </row>
    <row r="91" spans="3:7" ht="12.75" customHeight="1">
      <c r="C91" s="48"/>
      <c r="D91" s="48"/>
      <c r="E91" s="46"/>
      <c r="F91" s="48"/>
      <c r="G91" s="48"/>
    </row>
    <row r="92" spans="3:7" ht="12.75" customHeight="1">
      <c r="C92" s="48"/>
      <c r="D92" s="48"/>
      <c r="E92" s="46"/>
      <c r="F92" s="48"/>
      <c r="G92" s="48"/>
    </row>
    <row r="93" spans="3:7" ht="12.75" customHeight="1">
      <c r="C93" s="48"/>
      <c r="D93" s="48"/>
      <c r="E93" s="46"/>
      <c r="F93" s="48"/>
      <c r="G93" s="48"/>
    </row>
    <row r="94" spans="3:7" ht="12.75" customHeight="1">
      <c r="C94" s="48"/>
      <c r="D94" s="48"/>
      <c r="E94" s="46"/>
      <c r="F94" s="48"/>
      <c r="G94" s="48"/>
    </row>
    <row r="95" spans="3:7" ht="12.75" customHeight="1">
      <c r="C95" s="48"/>
      <c r="D95" s="48"/>
      <c r="E95" s="46"/>
      <c r="F95" s="48"/>
      <c r="G95" s="48"/>
    </row>
    <row r="96" spans="3:7" ht="12.75" customHeight="1">
      <c r="C96" s="48"/>
      <c r="D96" s="48"/>
      <c r="E96" s="46"/>
      <c r="F96" s="48"/>
      <c r="G96" s="48"/>
    </row>
    <row r="97" spans="3:7" ht="12.75" customHeight="1">
      <c r="C97" s="48"/>
      <c r="D97" s="48"/>
      <c r="E97" s="46"/>
      <c r="F97" s="48"/>
      <c r="G97" s="48"/>
    </row>
  </sheetData>
  <sheetProtection password="CCBC" sheet="1" objects="1" scenarios="1"/>
  <conditionalFormatting sqref="I10 D10 G10 G12:G33 D12:E33 I12:I33">
    <cfRule type="expression" priority="1" dxfId="0" stopIfTrue="1">
      <formula>$C$2=TRUE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9" r:id="rId1"/>
  <headerFooter alignWithMargins="0">
    <oddHeader>&amp;L&amp;"Arial,Vet"Bijlage 1 bij circulaire JHYM/xxxx/CI/06/xxc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V91"/>
  <sheetViews>
    <sheetView showGridLines="0" showRowColHeaders="0" showZeros="0" showOutlineSymbols="0" view="pageBreakPreview" zoomScale="75" zoomScaleSheetLayoutView="75" workbookViewId="0" topLeftCell="A4">
      <selection activeCell="D12" sqref="D12"/>
    </sheetView>
  </sheetViews>
  <sheetFormatPr defaultColWidth="9.140625" defaultRowHeight="12.75"/>
  <cols>
    <col min="1" max="1" width="8.28125" style="0" bestFit="1" customWidth="1"/>
    <col min="2" max="2" width="53.140625" style="0" customWidth="1"/>
    <col min="3" max="8" width="14.7109375" style="0" customWidth="1"/>
    <col min="18" max="18" width="24.00390625" style="0" bestFit="1" customWidth="1"/>
    <col min="19" max="19" width="13.7109375" style="0" customWidth="1"/>
    <col min="20" max="20" width="9.7109375" style="0" bestFit="1" customWidth="1"/>
  </cols>
  <sheetData>
    <row r="1" spans="1:22" ht="12.75">
      <c r="A1" s="154"/>
      <c r="B1" s="233" t="s">
        <v>572</v>
      </c>
      <c r="C1" s="233"/>
      <c r="D1" s="232"/>
      <c r="E1" s="232"/>
      <c r="F1" s="232"/>
      <c r="G1" s="232"/>
      <c r="H1" s="232"/>
      <c r="R1" s="145"/>
      <c r="S1" s="146" t="s">
        <v>157</v>
      </c>
      <c r="T1" s="147"/>
      <c r="U1" s="155"/>
      <c r="V1" s="156"/>
    </row>
    <row r="2" spans="1:22" ht="12.75">
      <c r="A2" s="232"/>
      <c r="B2" s="26" t="b">
        <f>Blad1!$A$25</f>
        <v>1</v>
      </c>
      <c r="C2" s="26"/>
      <c r="D2" s="232"/>
      <c r="E2" s="232"/>
      <c r="F2" s="232"/>
      <c r="G2" s="232"/>
      <c r="H2" s="232"/>
      <c r="R2" s="145"/>
      <c r="S2" s="440" t="str">
        <f>CONCATENATE("jaar ",Blad1!B3-1)</f>
        <v>jaar 2005</v>
      </c>
      <c r="T2" s="441"/>
      <c r="U2" s="442"/>
      <c r="V2" s="443"/>
    </row>
    <row r="3" spans="1:22" s="154" customFormat="1" ht="12.75">
      <c r="A3" s="232"/>
      <c r="B3" s="232" t="s">
        <v>543</v>
      </c>
      <c r="C3" s="232"/>
      <c r="D3" s="232"/>
      <c r="E3" s="232"/>
      <c r="F3" s="232"/>
      <c r="G3" s="232"/>
      <c r="H3" s="232"/>
      <c r="R3" s="145" t="s">
        <v>156</v>
      </c>
      <c r="S3" s="148" t="s">
        <v>158</v>
      </c>
      <c r="T3" s="148" t="s">
        <v>159</v>
      </c>
      <c r="U3" s="157"/>
      <c r="V3" s="157"/>
    </row>
    <row r="4" spans="1:22" s="154" customFormat="1" ht="12.75">
      <c r="A4" s="232"/>
      <c r="B4" s="232" t="s">
        <v>544</v>
      </c>
      <c r="C4" s="232"/>
      <c r="D4" s="232"/>
      <c r="E4" s="232"/>
      <c r="F4" s="232"/>
      <c r="G4" s="232"/>
      <c r="H4" s="232"/>
      <c r="R4" s="145" t="s">
        <v>98</v>
      </c>
      <c r="S4" s="149">
        <f>Blad3!V4</f>
        <v>415.74</v>
      </c>
      <c r="T4" s="149">
        <f>Blad3!W4</f>
        <v>490.22</v>
      </c>
      <c r="U4" s="158"/>
      <c r="V4" s="159"/>
    </row>
    <row r="5" spans="1:22" s="154" customFormat="1" ht="12.75">
      <c r="A5" s="232"/>
      <c r="B5" s="232" t="s">
        <v>574</v>
      </c>
      <c r="C5" s="232"/>
      <c r="D5" s="232"/>
      <c r="E5" s="232"/>
      <c r="F5" s="232"/>
      <c r="G5" s="232"/>
      <c r="H5" s="232"/>
      <c r="R5" s="145" t="s">
        <v>99</v>
      </c>
      <c r="S5" s="149">
        <f>Blad3!V5</f>
        <v>431.77</v>
      </c>
      <c r="T5" s="149">
        <f>Blad3!W5</f>
        <v>539.44</v>
      </c>
      <c r="U5" s="158"/>
      <c r="V5" s="159"/>
    </row>
    <row r="6" spans="1:22" ht="12.75">
      <c r="A6" s="232"/>
      <c r="B6" s="232" t="s">
        <v>575</v>
      </c>
      <c r="C6" s="232"/>
      <c r="D6" s="232"/>
      <c r="E6" s="232"/>
      <c r="F6" s="232"/>
      <c r="G6" s="232"/>
      <c r="H6" s="232"/>
      <c r="R6" s="145" t="s">
        <v>100</v>
      </c>
      <c r="S6" s="149">
        <f>Blad3!V6</f>
        <v>38.91</v>
      </c>
      <c r="T6" s="149">
        <f>Blad3!W6</f>
        <v>8.94</v>
      </c>
      <c r="U6" s="158"/>
      <c r="V6" s="159"/>
    </row>
    <row r="7" spans="1:22" ht="12.75">
      <c r="A7" s="232"/>
      <c r="B7" s="232"/>
      <c r="C7" s="232"/>
      <c r="D7" s="232"/>
      <c r="E7" s="232"/>
      <c r="F7" s="232"/>
      <c r="G7" s="232"/>
      <c r="H7" s="232"/>
      <c r="R7" s="145" t="s">
        <v>101</v>
      </c>
      <c r="S7" s="149">
        <f>Blad3!V7</f>
        <v>40.19</v>
      </c>
      <c r="T7" s="149">
        <f>Blad3!W7</f>
        <v>9.15</v>
      </c>
      <c r="U7" s="158"/>
      <c r="V7" s="159"/>
    </row>
    <row r="8" spans="1:22" ht="12.75">
      <c r="A8" s="232"/>
      <c r="B8" s="232"/>
      <c r="C8" s="447" t="s">
        <v>438</v>
      </c>
      <c r="D8" s="448"/>
      <c r="E8" s="447" t="s">
        <v>437</v>
      </c>
      <c r="F8" s="448"/>
      <c r="G8" s="444" t="s">
        <v>533</v>
      </c>
      <c r="H8" s="444" t="s">
        <v>506</v>
      </c>
      <c r="R8" s="145"/>
      <c r="S8" s="149">
        <f>Blad3!V8</f>
        <v>0</v>
      </c>
      <c r="T8" s="149">
        <f>Blad3!W8</f>
        <v>0</v>
      </c>
      <c r="U8" s="158"/>
      <c r="V8" s="159"/>
    </row>
    <row r="9" spans="1:22" ht="12.75" customHeight="1">
      <c r="A9" s="232"/>
      <c r="B9" s="232"/>
      <c r="C9" s="444" t="s">
        <v>434</v>
      </c>
      <c r="D9" s="444" t="s">
        <v>452</v>
      </c>
      <c r="E9" s="444" t="s">
        <v>435</v>
      </c>
      <c r="F9" s="444" t="s">
        <v>436</v>
      </c>
      <c r="G9" s="446"/>
      <c r="H9" s="446"/>
      <c r="R9" s="145" t="s">
        <v>117</v>
      </c>
      <c r="S9" s="149">
        <f>Blad3!V9</f>
        <v>77.08</v>
      </c>
      <c r="T9" s="149">
        <f>Blad3!W9</f>
        <v>38.41</v>
      </c>
      <c r="U9" s="158"/>
      <c r="V9" s="159"/>
    </row>
    <row r="10" spans="1:22" ht="12.75">
      <c r="A10" s="232"/>
      <c r="B10" s="232"/>
      <c r="C10" s="445"/>
      <c r="D10" s="445"/>
      <c r="E10" s="445"/>
      <c r="F10" s="445"/>
      <c r="G10" s="445"/>
      <c r="H10" s="445"/>
      <c r="R10" s="145" t="s">
        <v>118</v>
      </c>
      <c r="S10" s="149">
        <f>Blad3!V10</f>
        <v>80.25</v>
      </c>
      <c r="T10" s="149">
        <f>Blad3!W10</f>
        <v>42.12</v>
      </c>
      <c r="U10" s="158"/>
      <c r="V10" s="159"/>
    </row>
    <row r="11" spans="1:22" ht="12.75">
      <c r="A11" s="232"/>
      <c r="B11" s="232"/>
      <c r="C11" s="232"/>
      <c r="D11" s="232"/>
      <c r="E11" s="232"/>
      <c r="F11" s="232"/>
      <c r="H11" s="232"/>
      <c r="R11" s="145" t="s">
        <v>102</v>
      </c>
      <c r="S11" s="149">
        <f>Blad3!V11</f>
        <v>216.94</v>
      </c>
      <c r="T11" s="149">
        <f>Blad3!W11</f>
        <v>105.54</v>
      </c>
      <c r="U11" s="158"/>
      <c r="V11" s="159"/>
    </row>
    <row r="12" spans="1:22" ht="12.75">
      <c r="A12" s="364">
        <f>I50*100+1</f>
        <v>801</v>
      </c>
      <c r="B12" s="234" t="s">
        <v>453</v>
      </c>
      <c r="C12" s="235">
        <v>1.26</v>
      </c>
      <c r="D12" s="384"/>
      <c r="E12" s="384"/>
      <c r="F12" s="384"/>
      <c r="G12" s="384"/>
      <c r="H12" s="384"/>
      <c r="R12" s="145" t="s">
        <v>103</v>
      </c>
      <c r="S12" s="149">
        <f>Blad3!V12</f>
        <v>221.13</v>
      </c>
      <c r="T12" s="149">
        <f>Blad3!W12</f>
        <v>111.58</v>
      </c>
      <c r="U12" s="158"/>
      <c r="V12" s="159"/>
    </row>
    <row r="13" spans="1:22" ht="12.75">
      <c r="A13" s="364">
        <f>A12+1</f>
        <v>802</v>
      </c>
      <c r="B13" s="234" t="s">
        <v>454</v>
      </c>
      <c r="C13" s="235">
        <v>1.75</v>
      </c>
      <c r="D13" s="384"/>
      <c r="E13" s="384"/>
      <c r="F13" s="384"/>
      <c r="G13" s="384"/>
      <c r="H13" s="384"/>
      <c r="R13" s="145" t="s">
        <v>144</v>
      </c>
      <c r="S13" s="149">
        <f>Blad3!V13</f>
        <v>493.55</v>
      </c>
      <c r="T13" s="149">
        <f>Blad3!W13</f>
        <v>508.09</v>
      </c>
      <c r="U13" s="158"/>
      <c r="V13" s="159"/>
    </row>
    <row r="14" spans="1:22" ht="12.75">
      <c r="A14" s="364">
        <f aca="true" t="shared" si="0" ref="A14:A31">A13+1</f>
        <v>803</v>
      </c>
      <c r="B14" s="234" t="s">
        <v>455</v>
      </c>
      <c r="C14" s="235">
        <v>1.52</v>
      </c>
      <c r="D14" s="384"/>
      <c r="E14" s="384"/>
      <c r="F14" s="384"/>
      <c r="G14" s="384"/>
      <c r="H14" s="384"/>
      <c r="R14" s="150" t="s">
        <v>145</v>
      </c>
      <c r="S14" s="149">
        <f>Blad3!V14</f>
        <v>512.15</v>
      </c>
      <c r="T14" s="149">
        <f>Blad3!W14</f>
        <v>557.75</v>
      </c>
      <c r="U14" s="158"/>
      <c r="V14" s="159"/>
    </row>
    <row r="15" spans="1:22" ht="12.75">
      <c r="A15" s="364">
        <f t="shared" si="0"/>
        <v>804</v>
      </c>
      <c r="B15" s="234" t="s">
        <v>457</v>
      </c>
      <c r="C15" s="235">
        <v>1.23</v>
      </c>
      <c r="D15" s="384"/>
      <c r="E15" s="384"/>
      <c r="F15" s="384"/>
      <c r="G15" s="384"/>
      <c r="H15" s="384"/>
      <c r="R15" s="145" t="s">
        <v>431</v>
      </c>
      <c r="S15" s="149">
        <f>Blad3!V15</f>
        <v>216.94</v>
      </c>
      <c r="T15" s="149">
        <f>Blad3!W15</f>
        <v>105.54</v>
      </c>
      <c r="U15" s="158"/>
      <c r="V15" s="159"/>
    </row>
    <row r="16" spans="1:22" ht="12.75">
      <c r="A16" s="364">
        <f t="shared" si="0"/>
        <v>805</v>
      </c>
      <c r="B16" s="234" t="s">
        <v>456</v>
      </c>
      <c r="C16" s="235">
        <v>0.88</v>
      </c>
      <c r="D16" s="384"/>
      <c r="E16" s="384"/>
      <c r="F16" s="384"/>
      <c r="G16" s="384"/>
      <c r="H16" s="384"/>
      <c r="R16" s="145" t="s">
        <v>432</v>
      </c>
      <c r="S16" s="149">
        <f>Blad3!V16</f>
        <v>221.13</v>
      </c>
      <c r="T16" s="149">
        <f>Blad3!W16</f>
        <v>111.58</v>
      </c>
      <c r="U16" s="158"/>
      <c r="V16" s="159"/>
    </row>
    <row r="17" spans="1:22" ht="12.75">
      <c r="A17" s="364">
        <f t="shared" si="0"/>
        <v>806</v>
      </c>
      <c r="B17" s="234" t="s">
        <v>458</v>
      </c>
      <c r="C17" s="235">
        <v>1.26</v>
      </c>
      <c r="D17" s="384"/>
      <c r="E17" s="384"/>
      <c r="F17" s="384"/>
      <c r="G17" s="384"/>
      <c r="H17" s="384"/>
      <c r="R17" s="145" t="s">
        <v>119</v>
      </c>
      <c r="S17" s="149">
        <f>Blad3!V17</f>
        <v>216.94</v>
      </c>
      <c r="T17" s="149">
        <f>Blad3!W17</f>
        <v>105.54</v>
      </c>
      <c r="U17" s="158"/>
      <c r="V17" s="159"/>
    </row>
    <row r="18" spans="1:22" ht="12.75">
      <c r="A18" s="364">
        <f t="shared" si="0"/>
        <v>807</v>
      </c>
      <c r="B18" s="234" t="s">
        <v>459</v>
      </c>
      <c r="C18" s="235">
        <v>0.2</v>
      </c>
      <c r="D18" s="384"/>
      <c r="E18" s="384"/>
      <c r="F18" s="384"/>
      <c r="G18" s="384"/>
      <c r="H18" s="384"/>
      <c r="R18" s="145" t="s">
        <v>120</v>
      </c>
      <c r="S18" s="149">
        <f>Blad3!V18</f>
        <v>221.13</v>
      </c>
      <c r="T18" s="149">
        <f>Blad3!W18</f>
        <v>111.58</v>
      </c>
      <c r="U18" s="158"/>
      <c r="V18" s="159"/>
    </row>
    <row r="19" spans="1:22" ht="12.75">
      <c r="A19" s="364">
        <f t="shared" si="0"/>
        <v>808</v>
      </c>
      <c r="B19" s="234" t="s">
        <v>460</v>
      </c>
      <c r="C19" s="235">
        <v>0.73</v>
      </c>
      <c r="D19" s="384"/>
      <c r="E19" s="384"/>
      <c r="F19" s="384"/>
      <c r="G19" s="384"/>
      <c r="H19" s="384"/>
      <c r="R19" s="145" t="s">
        <v>450</v>
      </c>
      <c r="T19" s="149">
        <f>Blad14!M62</f>
        <v>38477</v>
      </c>
      <c r="U19" s="159"/>
      <c r="V19" s="159"/>
    </row>
    <row r="20" spans="1:22" ht="12.75">
      <c r="A20" s="364">
        <f t="shared" si="0"/>
        <v>809</v>
      </c>
      <c r="B20" s="234" t="s">
        <v>461</v>
      </c>
      <c r="C20" s="235">
        <v>1.47</v>
      </c>
      <c r="D20" s="384"/>
      <c r="E20" s="384"/>
      <c r="F20" s="384"/>
      <c r="G20" s="384"/>
      <c r="H20" s="384"/>
      <c r="R20" s="145" t="s">
        <v>451</v>
      </c>
      <c r="T20" s="162">
        <f>Blad14!M63</f>
        <v>33442</v>
      </c>
      <c r="U20" s="159"/>
      <c r="V20" s="159"/>
    </row>
    <row r="21" spans="1:20" ht="12.75">
      <c r="A21" s="364">
        <f t="shared" si="0"/>
        <v>810</v>
      </c>
      <c r="B21" s="234" t="s">
        <v>462</v>
      </c>
      <c r="C21" s="235">
        <v>1.45</v>
      </c>
      <c r="D21" s="384"/>
      <c r="E21" s="384"/>
      <c r="F21" s="384"/>
      <c r="G21" s="384"/>
      <c r="H21" s="384"/>
      <c r="R21" s="164" t="s">
        <v>491</v>
      </c>
      <c r="S21" s="160"/>
      <c r="T21" s="160"/>
    </row>
    <row r="22" spans="1:20" ht="12.75">
      <c r="A22" s="364">
        <f t="shared" si="0"/>
        <v>811</v>
      </c>
      <c r="B22" s="234" t="s">
        <v>463</v>
      </c>
      <c r="C22" s="235">
        <v>0.93</v>
      </c>
      <c r="D22" s="384"/>
      <c r="E22" s="384"/>
      <c r="F22" s="384"/>
      <c r="G22" s="384"/>
      <c r="H22" s="384"/>
      <c r="R22" s="164" t="s">
        <v>492</v>
      </c>
      <c r="S22" s="160"/>
      <c r="T22" s="160"/>
    </row>
    <row r="23" spans="1:20" ht="12.75">
      <c r="A23" s="364">
        <f t="shared" si="0"/>
        <v>812</v>
      </c>
      <c r="B23" s="234" t="s">
        <v>464</v>
      </c>
      <c r="C23" s="235">
        <v>0.66</v>
      </c>
      <c r="D23" s="384"/>
      <c r="E23" s="384"/>
      <c r="F23" s="384"/>
      <c r="G23" s="384"/>
      <c r="H23" s="384"/>
      <c r="R23" s="164" t="s">
        <v>490</v>
      </c>
      <c r="S23" s="160"/>
      <c r="T23" s="160"/>
    </row>
    <row r="24" spans="1:20" ht="12.75">
      <c r="A24" s="364">
        <f t="shared" si="0"/>
        <v>813</v>
      </c>
      <c r="B24" s="234" t="s">
        <v>465</v>
      </c>
      <c r="C24" s="235">
        <v>1.09</v>
      </c>
      <c r="D24" s="384"/>
      <c r="E24" s="384"/>
      <c r="F24" s="384"/>
      <c r="G24" s="384"/>
      <c r="H24" s="384"/>
      <c r="R24" s="163" t="s">
        <v>485</v>
      </c>
      <c r="S24" s="162">
        <f>Blad14!L67</f>
        <v>145000</v>
      </c>
      <c r="T24" s="162">
        <f>Blad14!M67</f>
        <v>0</v>
      </c>
    </row>
    <row r="25" spans="1:20" ht="12.75">
      <c r="A25" s="364">
        <f t="shared" si="0"/>
        <v>814</v>
      </c>
      <c r="B25" s="234" t="s">
        <v>466</v>
      </c>
      <c r="C25" s="235">
        <v>2.14</v>
      </c>
      <c r="D25" s="384"/>
      <c r="E25" s="384"/>
      <c r="F25" s="384"/>
      <c r="G25" s="384"/>
      <c r="H25" s="384"/>
      <c r="R25" s="163" t="s">
        <v>486</v>
      </c>
      <c r="S25" s="162">
        <f>Blad14!L68</f>
        <v>135000</v>
      </c>
      <c r="T25" s="162">
        <f>Blad14!M68</f>
        <v>0</v>
      </c>
    </row>
    <row r="26" spans="1:20" ht="12.75">
      <c r="A26" s="364">
        <f t="shared" si="0"/>
        <v>815</v>
      </c>
      <c r="B26" s="234" t="s">
        <v>467</v>
      </c>
      <c r="C26" s="235">
        <v>0.73</v>
      </c>
      <c r="D26" s="384"/>
      <c r="E26" s="384"/>
      <c r="F26" s="384"/>
      <c r="G26" s="384"/>
      <c r="H26" s="384"/>
      <c r="R26" s="163" t="s">
        <v>487</v>
      </c>
      <c r="S26" s="149">
        <f>Blad14!L69</f>
        <v>108000</v>
      </c>
      <c r="T26" s="149">
        <f>Blad14!M69</f>
        <v>0</v>
      </c>
    </row>
    <row r="27" spans="1:8" ht="12.75">
      <c r="A27" s="364">
        <f t="shared" si="0"/>
        <v>816</v>
      </c>
      <c r="B27" s="234" t="s">
        <v>468</v>
      </c>
      <c r="C27" s="235">
        <v>0.18</v>
      </c>
      <c r="D27" s="384"/>
      <c r="E27" s="384"/>
      <c r="F27" s="384"/>
      <c r="G27" s="384"/>
      <c r="H27" s="384"/>
    </row>
    <row r="28" spans="1:8" ht="12.75">
      <c r="A28" s="364">
        <f t="shared" si="0"/>
        <v>817</v>
      </c>
      <c r="B28" s="234" t="s">
        <v>469</v>
      </c>
      <c r="C28" s="235">
        <v>0.25</v>
      </c>
      <c r="D28" s="384"/>
      <c r="E28" s="384"/>
      <c r="F28" s="384"/>
      <c r="G28" s="384"/>
      <c r="H28" s="384"/>
    </row>
    <row r="29" spans="1:8" ht="12.75">
      <c r="A29" s="364">
        <f t="shared" si="0"/>
        <v>818</v>
      </c>
      <c r="B29" s="234" t="s">
        <v>470</v>
      </c>
      <c r="C29" s="235">
        <v>0.37</v>
      </c>
      <c r="D29" s="384"/>
      <c r="E29" s="384"/>
      <c r="F29" s="384"/>
      <c r="G29" s="384"/>
      <c r="H29" s="384"/>
    </row>
    <row r="30" spans="1:8" ht="12.75">
      <c r="A30" s="364">
        <f t="shared" si="0"/>
        <v>819</v>
      </c>
      <c r="B30" s="234" t="s">
        <v>471</v>
      </c>
      <c r="C30" s="235">
        <v>1.24</v>
      </c>
      <c r="D30" s="384"/>
      <c r="E30" s="384"/>
      <c r="F30" s="384"/>
      <c r="G30" s="384"/>
      <c r="H30" s="384"/>
    </row>
    <row r="31" spans="1:8" ht="12.75">
      <c r="A31" s="364">
        <f t="shared" si="0"/>
        <v>820</v>
      </c>
      <c r="B31" s="219" t="s">
        <v>63</v>
      </c>
      <c r="C31" s="235">
        <v>0.9</v>
      </c>
      <c r="D31" s="384"/>
      <c r="E31" s="384"/>
      <c r="F31" s="384"/>
      <c r="G31" s="384"/>
      <c r="H31" s="385"/>
    </row>
    <row r="32" spans="1:8" ht="12.75">
      <c r="A32" s="364">
        <f aca="true" t="shared" si="1" ref="A32:A37">A31+1</f>
        <v>821</v>
      </c>
      <c r="B32" s="219" t="s">
        <v>472</v>
      </c>
      <c r="C32" s="235">
        <v>0.66</v>
      </c>
      <c r="D32" s="384"/>
      <c r="E32" s="384"/>
      <c r="F32" s="384"/>
      <c r="G32" s="384"/>
      <c r="H32" s="384"/>
    </row>
    <row r="33" spans="1:8" ht="12.75">
      <c r="A33" s="364">
        <f t="shared" si="1"/>
        <v>822</v>
      </c>
      <c r="B33" s="234" t="s">
        <v>473</v>
      </c>
      <c r="C33" s="235">
        <v>0.93</v>
      </c>
      <c r="D33" s="384"/>
      <c r="E33" s="384"/>
      <c r="F33" s="384"/>
      <c r="G33" s="384"/>
      <c r="H33" s="384"/>
    </row>
    <row r="34" spans="1:8" ht="12.75">
      <c r="A34" s="364">
        <f t="shared" si="1"/>
        <v>823</v>
      </c>
      <c r="B34" s="219" t="s">
        <v>66</v>
      </c>
      <c r="C34" s="232"/>
      <c r="D34" s="349"/>
      <c r="E34" s="349"/>
      <c r="F34" s="349"/>
      <c r="G34" s="349"/>
      <c r="H34" s="349"/>
    </row>
    <row r="35" spans="1:8" ht="12.75">
      <c r="A35" s="364">
        <f t="shared" si="1"/>
        <v>824</v>
      </c>
      <c r="B35" s="219" t="s">
        <v>475</v>
      </c>
      <c r="C35" s="235">
        <v>0.53</v>
      </c>
      <c r="D35" s="384"/>
      <c r="E35" s="384"/>
      <c r="F35" s="384"/>
      <c r="G35" s="384"/>
      <c r="H35" s="384"/>
    </row>
    <row r="36" spans="1:8" ht="12.75">
      <c r="A36" s="364">
        <f t="shared" si="1"/>
        <v>825</v>
      </c>
      <c r="B36" s="237" t="s">
        <v>476</v>
      </c>
      <c r="C36" s="235">
        <v>0.37</v>
      </c>
      <c r="D36" s="384"/>
      <c r="E36" s="384"/>
      <c r="F36" s="384"/>
      <c r="G36" s="384"/>
      <c r="H36" s="384"/>
    </row>
    <row r="37" spans="1:8" ht="12.75">
      <c r="A37" s="364">
        <f t="shared" si="1"/>
        <v>826</v>
      </c>
      <c r="B37" s="234" t="s">
        <v>474</v>
      </c>
      <c r="C37" s="235">
        <v>1.64</v>
      </c>
      <c r="D37" s="384"/>
      <c r="E37" s="384"/>
      <c r="F37" s="384"/>
      <c r="G37" s="384"/>
      <c r="H37" s="384"/>
    </row>
    <row r="38" spans="1:8" ht="12.75">
      <c r="A38" s="364">
        <f aca="true" t="shared" si="2" ref="A38:A45">A37+1</f>
        <v>827</v>
      </c>
      <c r="B38" s="449" t="s">
        <v>477</v>
      </c>
      <c r="C38" s="450"/>
      <c r="D38" s="451"/>
      <c r="E38" s="384"/>
      <c r="F38" s="384"/>
      <c r="G38" s="384"/>
      <c r="H38" s="384"/>
    </row>
    <row r="39" spans="1:8" ht="12.75">
      <c r="A39" s="364">
        <f t="shared" si="2"/>
        <v>828</v>
      </c>
      <c r="B39" s="449" t="s">
        <v>478</v>
      </c>
      <c r="C39" s="450"/>
      <c r="D39" s="451"/>
      <c r="E39" s="384"/>
      <c r="F39" s="384"/>
      <c r="G39" s="384"/>
      <c r="H39" s="384"/>
    </row>
    <row r="40" spans="1:8" ht="12.75">
      <c r="A40" s="364">
        <f t="shared" si="2"/>
        <v>829</v>
      </c>
      <c r="B40" s="449" t="s">
        <v>479</v>
      </c>
      <c r="C40" s="450"/>
      <c r="D40" s="451"/>
      <c r="E40" s="384"/>
      <c r="F40" s="384"/>
      <c r="G40" s="384"/>
      <c r="H40" s="384"/>
    </row>
    <row r="41" spans="1:8" ht="12.75">
      <c r="A41" s="364">
        <f t="shared" si="2"/>
        <v>830</v>
      </c>
      <c r="B41" s="449" t="s">
        <v>480</v>
      </c>
      <c r="C41" s="450"/>
      <c r="D41" s="451"/>
      <c r="E41" s="384"/>
      <c r="F41" s="384"/>
      <c r="G41" s="384"/>
      <c r="H41" s="384"/>
    </row>
    <row r="42" spans="1:8" ht="12.75">
      <c r="A42" s="364">
        <f t="shared" si="2"/>
        <v>831</v>
      </c>
      <c r="B42" s="449" t="s">
        <v>481</v>
      </c>
      <c r="C42" s="450"/>
      <c r="D42" s="451"/>
      <c r="E42" s="384"/>
      <c r="F42" s="384"/>
      <c r="G42" s="384"/>
      <c r="H42" s="384"/>
    </row>
    <row r="43" spans="1:8" ht="12.75">
      <c r="A43" s="364">
        <f t="shared" si="2"/>
        <v>832</v>
      </c>
      <c r="B43" s="452" t="s">
        <v>482</v>
      </c>
      <c r="C43" s="453"/>
      <c r="D43" s="454"/>
      <c r="E43" s="384"/>
      <c r="F43" s="384"/>
      <c r="G43" s="384"/>
      <c r="H43" s="384"/>
    </row>
    <row r="44" spans="1:8" ht="12.75">
      <c r="A44" s="364">
        <f t="shared" si="2"/>
        <v>833</v>
      </c>
      <c r="B44" s="452" t="s">
        <v>483</v>
      </c>
      <c r="C44" s="453"/>
      <c r="D44" s="454"/>
      <c r="E44" s="384"/>
      <c r="F44" s="384"/>
      <c r="G44" s="384"/>
      <c r="H44" s="384"/>
    </row>
    <row r="45" spans="1:8" ht="12.75">
      <c r="A45" s="364">
        <f t="shared" si="2"/>
        <v>834</v>
      </c>
      <c r="B45" s="452" t="s">
        <v>484</v>
      </c>
      <c r="C45" s="453"/>
      <c r="D45" s="454"/>
      <c r="E45" s="384"/>
      <c r="F45" s="384"/>
      <c r="G45" s="384"/>
      <c r="H45" s="384"/>
    </row>
    <row r="46" spans="1:8" ht="12.75">
      <c r="A46" s="365"/>
      <c r="B46" s="232"/>
      <c r="C46" s="232"/>
      <c r="D46" s="232"/>
      <c r="E46" s="349"/>
      <c r="F46" s="349"/>
      <c r="G46" s="349"/>
      <c r="H46" s="349"/>
    </row>
    <row r="47" spans="1:8" ht="12.75">
      <c r="A47" s="364">
        <f>A45+1</f>
        <v>835</v>
      </c>
      <c r="B47" s="449" t="s">
        <v>439</v>
      </c>
      <c r="C47" s="451"/>
      <c r="D47" s="389">
        <f>SUM(D12:D46)</f>
        <v>0</v>
      </c>
      <c r="E47" s="389">
        <f>SUM(E12:E46)</f>
        <v>0</v>
      </c>
      <c r="F47" s="389">
        <f>SUM(F12:F45)</f>
        <v>0</v>
      </c>
      <c r="G47" s="389">
        <f>SUM(G12:G45)</f>
        <v>0</v>
      </c>
      <c r="H47" s="389">
        <f>SUM(H12:H45)</f>
        <v>0</v>
      </c>
    </row>
    <row r="48" spans="1:8" ht="12.75">
      <c r="A48" s="364">
        <f>A47+1</f>
        <v>836</v>
      </c>
      <c r="B48" s="449" t="s">
        <v>540</v>
      </c>
      <c r="C48" s="451"/>
      <c r="D48" s="389">
        <f>SUM(D12:D46)</f>
        <v>0</v>
      </c>
      <c r="E48" s="323"/>
      <c r="F48" s="323"/>
      <c r="G48" s="323"/>
      <c r="H48" s="389">
        <f>SUM(H12:H31)+SUM(H33:H42)</f>
        <v>0</v>
      </c>
    </row>
    <row r="49" spans="1:8" ht="12.75">
      <c r="A49" s="364">
        <f>A48+1</f>
        <v>837</v>
      </c>
      <c r="B49" s="449" t="s">
        <v>440</v>
      </c>
      <c r="C49" s="451"/>
      <c r="D49" s="389">
        <f>ROUND(SUMPRODUCT(C12:C46,D12:D46)*0.44,2)</f>
        <v>0</v>
      </c>
      <c r="E49" s="390"/>
      <c r="F49" s="390"/>
      <c r="G49" s="390"/>
      <c r="H49" s="390"/>
    </row>
    <row r="50" spans="1:9" ht="12.75">
      <c r="A50" s="365"/>
      <c r="B50" s="232"/>
      <c r="C50" s="232"/>
      <c r="D50" s="238" t="str">
        <f>IF(D49=Blad3!D8,"akkoord",IF(D49+0.01=Blad3!D8,"akkoord",IF(D49-0.01=Blad3!D8,"akkoord","Gewogen aantal agio's sluit niet aan op pagina 3 !")))</f>
        <v>akkoord</v>
      </c>
      <c r="E50" s="232"/>
      <c r="F50" s="232"/>
      <c r="G50" s="232"/>
      <c r="H50" s="232"/>
      <c r="I50" s="232">
        <f>Blad7!M60+1</f>
        <v>8</v>
      </c>
    </row>
    <row r="51" spans="1:8" ht="12.75">
      <c r="A51" s="364">
        <f>I91*100+1</f>
        <v>901</v>
      </c>
      <c r="B51" s="462" t="s">
        <v>557</v>
      </c>
      <c r="C51" s="463"/>
      <c r="D51" s="463"/>
      <c r="E51" s="463"/>
      <c r="F51" s="464"/>
      <c r="G51" s="374"/>
      <c r="H51" s="240"/>
    </row>
    <row r="52" spans="1:8" ht="12.75">
      <c r="A52" s="366"/>
      <c r="B52" s="241"/>
      <c r="C52" s="232"/>
      <c r="D52" s="232"/>
      <c r="E52" s="232"/>
      <c r="F52" s="232"/>
      <c r="G52" s="298"/>
      <c r="H52" s="232"/>
    </row>
    <row r="53" spans="1:8" ht="12.75">
      <c r="A53" s="364">
        <f>A51+1</f>
        <v>902</v>
      </c>
      <c r="B53" s="455" t="s">
        <v>512</v>
      </c>
      <c r="C53" s="456"/>
      <c r="D53" s="242" t="s">
        <v>77</v>
      </c>
      <c r="E53" s="242" t="s">
        <v>447</v>
      </c>
      <c r="F53" s="242" t="s">
        <v>439</v>
      </c>
      <c r="G53" s="374"/>
      <c r="H53" s="232"/>
    </row>
    <row r="54" spans="1:8" ht="12.75">
      <c r="A54" s="364">
        <f>A53+1</f>
        <v>903</v>
      </c>
      <c r="B54" s="465" t="s">
        <v>513</v>
      </c>
      <c r="C54" s="466"/>
      <c r="D54" s="386">
        <f>ROUND(D49*Blad14!E9,0)</f>
        <v>0</v>
      </c>
      <c r="E54" s="386">
        <f>ROUND(D49*Blad14!F9,0)</f>
        <v>0</v>
      </c>
      <c r="F54" s="387">
        <f>D54+E54</f>
        <v>0</v>
      </c>
      <c r="G54" s="375"/>
      <c r="H54" s="232"/>
    </row>
    <row r="55" spans="1:8" ht="12.75">
      <c r="A55" s="366"/>
      <c r="B55" s="241"/>
      <c r="C55" s="232"/>
      <c r="D55" s="232"/>
      <c r="E55" s="232"/>
      <c r="F55" s="232"/>
      <c r="G55" s="298"/>
      <c r="H55" s="232"/>
    </row>
    <row r="56" spans="1:8" ht="12.75">
      <c r="A56" s="364">
        <f>A54+1</f>
        <v>904</v>
      </c>
      <c r="B56" s="455" t="s">
        <v>511</v>
      </c>
      <c r="C56" s="456"/>
      <c r="D56" s="242" t="s">
        <v>77</v>
      </c>
      <c r="E56" s="242" t="s">
        <v>447</v>
      </c>
      <c r="F56" s="242" t="s">
        <v>439</v>
      </c>
      <c r="G56" s="374"/>
      <c r="H56" s="232"/>
    </row>
    <row r="57" spans="1:8" ht="12.75">
      <c r="A57" s="364">
        <f aca="true" t="shared" si="3" ref="A57:A69">A56+1</f>
        <v>905</v>
      </c>
      <c r="B57" s="426" t="s">
        <v>441</v>
      </c>
      <c r="C57" s="427"/>
      <c r="D57" s="292">
        <f>ROUND(ROUND((IF($D$49=0,0,ROUND(IF(($D$49+Blad3!$D$7)&lt;62.5,S4,IF(($D$49+Blad3!$D$7)&gt;=88,S5,S4+(($D$49+Blad3!$D$7)-62.5)/25.5*(S5-S4))),2))-IF($D$49=0,0,ROUND(IF((Blad3!$D$7)&lt;62.5,S4,IF((Blad3!$D$7)&gt;=88,S5,S4+((Blad3!$D$7)-62.5)/25.5*(S5-S4))),2))),2)*Blad3!$C$12,0)</f>
        <v>0</v>
      </c>
      <c r="E57" s="292">
        <f>ROUND(ROUND((IF($D$49=0,0,ROUND(IF(($D$49+Blad3!$D$7)&lt;62.5,T4,IF(($D$49+Blad3!$D$7)&gt;=88,T5,T4+(($D$49+Blad3!$D$7)-62.5)/25.5*(T5-T4))),2))-IF($D$49=0,0,ROUND(IF((Blad3!$D$7)&lt;62.5,T4,IF((Blad3!$D$7)&gt;=88,T5,T4+((Blad3!$D$7)-62.5)/25.5*(T5-T4))),2))),2)*Blad3!$C$12,0)</f>
        <v>0</v>
      </c>
      <c r="F57" s="292">
        <f>D57+E57</f>
        <v>0</v>
      </c>
      <c r="G57" s="376"/>
      <c r="H57" s="232"/>
    </row>
    <row r="58" spans="1:8" ht="12.75">
      <c r="A58" s="364">
        <f t="shared" si="3"/>
        <v>906</v>
      </c>
      <c r="B58" s="426" t="s">
        <v>442</v>
      </c>
      <c r="C58" s="427"/>
      <c r="D58" s="292">
        <f>ROUND(ROUND((IF($D$49=0,0,ROUND(IF(($D$49+Blad3!$D$7)&lt;62.5,S6,IF(($D$49+Blad3!$D$7)&gt;=88,S7,S6+(($D$49+Blad3!$D$7)-62.5)/25.5*(S7-S6))),2))-IF($D$49=0,0,ROUND(IF((Blad3!$D$7)&lt;62.5,S6,IF((Blad3!$D$7)&gt;=88,S7,S6+((Blad3!$D$7)-62.5)/25.5*(S7-S6))),2))),2)*Blad3!$C$13,0)</f>
        <v>0</v>
      </c>
      <c r="E58" s="292">
        <f>ROUND(ROUND((IF($D$49=0,0,ROUND(IF(($D$49+Blad3!$D$7)&lt;62.5,T6,IF(($D$49+Blad3!$D$7)&gt;=88,T7,T6+(($D$49+Blad3!$D$7)-62.5)/25.5*(T7-T6))),2))-IF($D$49=0,0,ROUND(IF((Blad3!$D$7)&lt;62.5,T6,IF((Blad3!$D$7)&gt;=88,T7,T6+((Blad3!$D$7)-62.5)/25.5*(T7-T6))),2))),2)*Blad3!$C$13,0)</f>
        <v>0</v>
      </c>
      <c r="F58" s="292">
        <f aca="true" t="shared" si="4" ref="F58:F63">D58+E58</f>
        <v>0</v>
      </c>
      <c r="G58" s="376"/>
      <c r="H58" s="232"/>
    </row>
    <row r="59" spans="1:8" ht="12.75">
      <c r="A59" s="364">
        <f t="shared" si="3"/>
        <v>907</v>
      </c>
      <c r="B59" s="426" t="s">
        <v>508</v>
      </c>
      <c r="C59" s="427"/>
      <c r="D59" s="292">
        <f>ROUND(ROUND((IF($D$49=0,0,ROUND(IF(($D$49+Blad3!$D$7)&lt;62.5,S9,IF(($D$49+Blad3!$D$7)&gt;=88,S10,S9+(($D$49+Blad3!$D$7)-62.5)/25.5*(S10-S9))),2))-IF($D$49=0,0,ROUND(IF((Blad3!$D$7)&lt;62.5,S9,IF((Blad3!$D$7)&gt;=88,S10,S9+((Blad3!$D$7)-62.5)/25.5*(S10-S9))),2))),2)*Blad3!$C$15,0)</f>
        <v>0</v>
      </c>
      <c r="E59" s="292">
        <f>ROUND(ROUND((IF($D$49=0,0,ROUND(IF(($D$49+Blad3!$D$7)&lt;62.5,T9,IF(($D$49+Blad3!$D$7)&gt;=88,T10,T9+(($D$49+Blad3!$D$7)-62.5)/25.5*(T10-T9))),2))-IF($D$49=0,0,ROUND(IF((Blad3!$D$7)&lt;62.5,T9,IF((Blad3!$D$7)&gt;=88,T10,T9+((Blad3!$D$7)-62.5)/25.5*(T10-T9))),2))),2)*Blad3!$C$15,0)</f>
        <v>0</v>
      </c>
      <c r="F59" s="292">
        <f t="shared" si="4"/>
        <v>0</v>
      </c>
      <c r="G59" s="376"/>
      <c r="H59" s="232"/>
    </row>
    <row r="60" spans="1:8" ht="12.75">
      <c r="A60" s="364">
        <f t="shared" si="3"/>
        <v>908</v>
      </c>
      <c r="B60" s="426" t="s">
        <v>443</v>
      </c>
      <c r="C60" s="427"/>
      <c r="D60" s="292">
        <f>ROUND(ROUND((IF($D$49=0,0,ROUND(IF(($D$49+Blad3!$D$7)&lt;62.5,S11,IF(($D$49+Blad3!$D$7)&gt;=88,S12,S11+(($D$49+Blad3!$D$7)-62.5)/25.5*(S12-S11))),2))-IF($D$49=0,0,ROUND(IF((Blad3!$D$7)&lt;62.5,S11,IF((Blad3!$D$7)&gt;=88,S12,S11+((Blad3!$D$7)-62.5)/25.5*(S12-S11))),2))),2)*Blad3!$C$16,0)</f>
        <v>0</v>
      </c>
      <c r="E60" s="292">
        <f>ROUND(ROUND((IF($D$49=0,0,ROUND(IF(($D$49+Blad3!$D$7)&lt;62.5,T11,IF(($D$49+Blad3!$D$7)&gt;=88,T12,T11+(($D$49+Blad3!$D$7)-62.5)/25.5*(T12-T11))),2))-IF($D$49=0,0,ROUND(IF((Blad3!$D$7)&lt;62.5,T11,IF((Blad3!$D$7)&gt;=88,T12,T11+((Blad3!$D$7)-62.5)/25.5*(T12-T11))),2))),2)*Blad3!$C$16,0)</f>
        <v>0</v>
      </c>
      <c r="F60" s="292">
        <f t="shared" si="4"/>
        <v>0</v>
      </c>
      <c r="G60" s="376"/>
      <c r="H60" s="232"/>
    </row>
    <row r="61" spans="1:8" ht="12.75">
      <c r="A61" s="364">
        <f t="shared" si="3"/>
        <v>909</v>
      </c>
      <c r="B61" s="426" t="s">
        <v>444</v>
      </c>
      <c r="C61" s="427"/>
      <c r="D61" s="292">
        <f>ROUND(ROUND((IF($D$49=0,0,ROUND(IF(($D$49+Blad3!$D$7)&lt;62.5,S13,IF(($D$49+Blad3!$D$7)&gt;=88,S14,S13+(($D$49+Blad3!$D$7)-62.5)/25.5*(S14-S13))),2))-IF($D$49=0,0,ROUND(IF((Blad3!$D$7)&lt;62.5,S13,IF((Blad3!$D$7)&gt;=88,S14,S13+((Blad3!$D$7)-62.5)/25.5*(S14-S13))),2))),2)*Blad3!$C$17,0)</f>
        <v>0</v>
      </c>
      <c r="E61" s="292">
        <f>ROUND(ROUND((IF($D$49=0,0,ROUND(IF(($D$49+Blad3!$D$7)&lt;62.5,T13,IF(($D$49+Blad3!$D$7)&gt;=88,T14,T13+(($D$49+Blad3!$D$7)-62.5)/25.5*(T14-T13))),2))-IF($D$49=0,0,ROUND(IF((Blad3!$D$7)&lt;62.5,T13,IF((Blad3!$D$7)&gt;=88,T14,T13+((Blad3!$D$7)-62.5)/25.5*(T14-T13))),2))),2)*Blad3!$C$17,0)</f>
        <v>0</v>
      </c>
      <c r="F61" s="292">
        <f t="shared" si="4"/>
        <v>0</v>
      </c>
      <c r="G61" s="376"/>
      <c r="H61" s="232"/>
    </row>
    <row r="62" spans="1:8" ht="12.75">
      <c r="A62" s="364">
        <f t="shared" si="3"/>
        <v>910</v>
      </c>
      <c r="B62" s="426" t="s">
        <v>445</v>
      </c>
      <c r="C62" s="427"/>
      <c r="D62" s="292">
        <f>ROUND(ROUND((IF($D$49=0,0,ROUND(IF(($D$49+Blad3!$D$7)&lt;62.5,S15,IF(($D$49+Blad3!$D$7)&gt;=88,S16,S15+(($D$49+Blad3!$D$7)-62.5)/25.5*(S16-S15))),2))-IF($D$49=0,0,ROUND(IF((Blad3!$D$7)&lt;62.5,S15,IF((Blad3!$D$7)&gt;=88,S16,S15+((Blad3!$D$7)-62.5)/25.5*(S16-S15))),2))),2)*Blad4!$C$54,0)</f>
        <v>0</v>
      </c>
      <c r="E62" s="292">
        <f>ROUND(ROUND((IF($D$49=0,0,ROUND(IF(($D$49+Blad3!$D$7)&lt;62.5,T15,IF(($D$49+Blad3!$D$7)&gt;=88,T16,T15+(($D$49+Blad3!$D$7)-62.5)/25.5*(T16-T15))),2))-IF($D$49=0,0,ROUND(IF((Blad3!$D$7)&lt;62.5,T15,IF((Blad3!$D$7)&gt;=88,T16,T15+((Blad3!$D$7)-62.5)/25.5*(T16-T15))),2))),2)*Blad4!$C$54,0)</f>
        <v>0</v>
      </c>
      <c r="F62" s="292">
        <f t="shared" si="4"/>
        <v>0</v>
      </c>
      <c r="G62" s="376"/>
      <c r="H62" s="232"/>
    </row>
    <row r="63" spans="1:8" ht="12.75">
      <c r="A63" s="364">
        <f t="shared" si="3"/>
        <v>911</v>
      </c>
      <c r="B63" s="426" t="s">
        <v>446</v>
      </c>
      <c r="C63" s="427"/>
      <c r="D63" s="292">
        <f>ROUND(ROUND((IF($D$49=0,0,ROUND(IF(($D$49+Blad3!$D$7)&lt;62.5,S17,IF(($D$49+Blad3!$D$7)&gt;=88,S18,S17+(($D$49+Blad3!$D$7)-62.5)/25.5*(S18-S17))),2))-IF($D$49=0,0,ROUND(IF((Blad3!$D$7)&lt;62.5,S17,IF((Blad3!$D$7)&gt;=88,S18,S17+((Blad3!$D$7)-62.5)/25.5*(S18-S17))),2))),2)*Blad5!$C$31,0)</f>
        <v>0</v>
      </c>
      <c r="E63" s="292">
        <f>ROUND(ROUND((IF($D$49=0,0,ROUND(IF(($D$49+Blad3!$D$7)&lt;62.5,T17,IF(($D$49+Blad3!$D$7)&gt;=88,T18,T17+(($D$49+Blad3!$D$7)-62.5)/25.5*(T18-T17))),2))-IF($D$49=0,0,ROUND(IF((Blad3!$D$7)&lt;62.5,T17,IF((Blad3!$D$7)&gt;=88,T18,T17+((Blad3!$D$7)-62.5)/25.5*(T18-T17))),2))),2)*Blad5!$C$31,0)</f>
        <v>0</v>
      </c>
      <c r="F63" s="292">
        <f t="shared" si="4"/>
        <v>0</v>
      </c>
      <c r="G63" s="376"/>
      <c r="H63" s="232"/>
    </row>
    <row r="64" spans="1:8" ht="12.75">
      <c r="A64" s="364">
        <f t="shared" si="3"/>
        <v>912</v>
      </c>
      <c r="B64" s="428" t="s">
        <v>448</v>
      </c>
      <c r="C64" s="429"/>
      <c r="D64" s="429"/>
      <c r="E64" s="430"/>
      <c r="F64" s="388">
        <f>SUM(F57:F63)</f>
        <v>0</v>
      </c>
      <c r="G64" s="377"/>
      <c r="H64" s="232"/>
    </row>
    <row r="65" spans="1:8" ht="12.75">
      <c r="A65" s="365"/>
      <c r="B65" s="245"/>
      <c r="C65" s="232"/>
      <c r="D65" s="232"/>
      <c r="E65" s="232"/>
      <c r="F65" s="232"/>
      <c r="G65" s="298"/>
      <c r="H65" s="232"/>
    </row>
    <row r="66" spans="1:8" ht="12.75">
      <c r="A66" s="364">
        <f>A64+1</f>
        <v>913</v>
      </c>
      <c r="B66" s="417" t="s">
        <v>449</v>
      </c>
      <c r="C66" s="418"/>
      <c r="D66" s="418"/>
      <c r="E66" s="419"/>
      <c r="F66" s="242">
        <f>Blad1!B3-1</f>
        <v>2005</v>
      </c>
      <c r="G66" s="374"/>
      <c r="H66" s="232"/>
    </row>
    <row r="67" spans="1:8" ht="12.75">
      <c r="A67" s="364">
        <f t="shared" si="3"/>
        <v>914</v>
      </c>
      <c r="B67" s="428" t="s">
        <v>531</v>
      </c>
      <c r="C67" s="429"/>
      <c r="D67" s="429"/>
      <c r="E67" s="430"/>
      <c r="F67" s="236"/>
      <c r="G67" s="232"/>
      <c r="H67" s="232"/>
    </row>
    <row r="68" spans="1:8" ht="12.75">
      <c r="A68" s="364">
        <f t="shared" si="3"/>
        <v>915</v>
      </c>
      <c r="B68" s="428" t="s">
        <v>507</v>
      </c>
      <c r="C68" s="429"/>
      <c r="D68" s="429"/>
      <c r="E68" s="430"/>
      <c r="F68" s="246">
        <f>ROUND(D47*0.25,2)</f>
        <v>0</v>
      </c>
      <c r="G68" s="378"/>
      <c r="H68" s="232"/>
    </row>
    <row r="69" spans="1:8" ht="12.75">
      <c r="A69" s="364">
        <f t="shared" si="3"/>
        <v>916</v>
      </c>
      <c r="B69" s="428" t="s">
        <v>496</v>
      </c>
      <c r="C69" s="429"/>
      <c r="D69" s="429"/>
      <c r="E69" s="430"/>
      <c r="F69" s="244">
        <f>ROUND((ROUND(IF(F67&lt;=450,T19,IF(F67&gt;=600,T20,(F67-450)/150*(T20-T19)+T19)),0)/10)*F68,0)</f>
        <v>0</v>
      </c>
      <c r="G69" s="377"/>
      <c r="H69" s="232"/>
    </row>
    <row r="70" spans="1:8" ht="12.75">
      <c r="A70" s="365"/>
      <c r="B70" s="245"/>
      <c r="C70" s="232"/>
      <c r="D70" s="232"/>
      <c r="E70" s="232"/>
      <c r="F70" s="232"/>
      <c r="G70" s="298"/>
      <c r="H70" s="232"/>
    </row>
    <row r="71" spans="1:8" ht="12.75">
      <c r="A71" s="364">
        <f>A69+1</f>
        <v>917</v>
      </c>
      <c r="B71" s="417" t="s">
        <v>498</v>
      </c>
      <c r="C71" s="419"/>
      <c r="D71" s="242" t="s">
        <v>501</v>
      </c>
      <c r="E71" s="239" t="s">
        <v>502</v>
      </c>
      <c r="F71" s="239">
        <f>Blad1!B3-1</f>
        <v>2005</v>
      </c>
      <c r="G71" s="374"/>
      <c r="H71" s="232"/>
    </row>
    <row r="72" spans="1:8" ht="12.75">
      <c r="A72" s="364">
        <f>A71+1</f>
        <v>918</v>
      </c>
      <c r="B72" s="420" t="s">
        <v>499</v>
      </c>
      <c r="C72" s="425"/>
      <c r="D72" s="291">
        <f>E47</f>
        <v>0</v>
      </c>
      <c r="E72" s="292">
        <f>Blad14!$L64</f>
        <v>60834</v>
      </c>
      <c r="F72" s="292">
        <f>ROUND(D72*E72,0)</f>
        <v>0</v>
      </c>
      <c r="G72" s="376"/>
      <c r="H72" s="232"/>
    </row>
    <row r="73" spans="1:8" ht="12.75">
      <c r="A73" s="364">
        <f>A72+1</f>
        <v>919</v>
      </c>
      <c r="B73" s="420" t="s">
        <v>500</v>
      </c>
      <c r="C73" s="425"/>
      <c r="D73" s="291">
        <f>F47</f>
        <v>0</v>
      </c>
      <c r="E73" s="292">
        <f>Blad14!$L65</f>
        <v>42584</v>
      </c>
      <c r="F73" s="292">
        <f>ROUND(D73*E73,0)</f>
        <v>0</v>
      </c>
      <c r="G73" s="376"/>
      <c r="H73" s="232"/>
    </row>
    <row r="74" spans="1:8" ht="12.75">
      <c r="A74" s="364">
        <f>A73+1</f>
        <v>920</v>
      </c>
      <c r="B74" s="420" t="s">
        <v>497</v>
      </c>
      <c r="C74" s="425"/>
      <c r="D74" s="384"/>
      <c r="E74" s="292">
        <f>Blad14!$L66</f>
        <v>18250</v>
      </c>
      <c r="F74" s="292">
        <f>ROUND(D74*E74,0)</f>
        <v>0</v>
      </c>
      <c r="G74" s="376"/>
      <c r="H74" s="232"/>
    </row>
    <row r="75" spans="1:8" ht="12.75">
      <c r="A75" s="364">
        <f>A74+1</f>
        <v>921</v>
      </c>
      <c r="B75" s="354" t="s">
        <v>573</v>
      </c>
      <c r="C75" s="355"/>
      <c r="D75" s="291">
        <f>G47</f>
        <v>0</v>
      </c>
      <c r="E75" s="292">
        <v>15700</v>
      </c>
      <c r="F75" s="292">
        <f>ROUND(D75*E75,0)</f>
        <v>0</v>
      </c>
      <c r="G75" s="376"/>
      <c r="H75" s="232"/>
    </row>
    <row r="76" spans="1:8" ht="12.75">
      <c r="A76" s="364">
        <f>A75+1</f>
        <v>922</v>
      </c>
      <c r="B76" s="420" t="s">
        <v>125</v>
      </c>
      <c r="C76" s="425"/>
      <c r="D76" s="291"/>
      <c r="E76" s="292"/>
      <c r="F76" s="388">
        <f>SUM(F72:F75)</f>
        <v>0</v>
      </c>
      <c r="G76" s="377"/>
      <c r="H76" s="232"/>
    </row>
    <row r="77" spans="1:8" ht="12.75">
      <c r="A77" s="366"/>
      <c r="B77" s="247"/>
      <c r="C77" s="232"/>
      <c r="D77" s="241"/>
      <c r="E77" s="248"/>
      <c r="F77" s="249"/>
      <c r="G77" s="377"/>
      <c r="H77" s="298"/>
    </row>
    <row r="78" spans="1:8" ht="12.75">
      <c r="A78" s="364">
        <f>A76+1</f>
        <v>923</v>
      </c>
      <c r="B78" s="250" t="s">
        <v>505</v>
      </c>
      <c r="C78" s="251"/>
      <c r="D78" s="251"/>
      <c r="E78" s="252"/>
      <c r="F78" s="253"/>
      <c r="G78" s="232"/>
      <c r="H78" s="232"/>
    </row>
    <row r="79" spans="1:9" s="352" customFormat="1" ht="12.75">
      <c r="A79" s="366"/>
      <c r="B79" s="353"/>
      <c r="C79" s="353"/>
      <c r="D79" s="353"/>
      <c r="E79" s="353"/>
      <c r="F79" s="353"/>
      <c r="G79" s="353"/>
      <c r="H79" s="353"/>
      <c r="I79" s="353"/>
    </row>
    <row r="80" spans="1:9" s="352" customFormat="1" ht="12.75">
      <c r="A80" s="364">
        <f>A78+1</f>
        <v>924</v>
      </c>
      <c r="B80" s="417" t="s">
        <v>541</v>
      </c>
      <c r="C80" s="460"/>
      <c r="D80" s="460"/>
      <c r="E80" s="460"/>
      <c r="F80" s="461"/>
      <c r="G80" s="243">
        <f>IF(F78&gt;0,F54+F69+F76+F78,F54+F64+F69+F76)</f>
        <v>0</v>
      </c>
      <c r="H80" s="353"/>
      <c r="I80" s="353"/>
    </row>
    <row r="81" spans="1:9" ht="12.75">
      <c r="A81" s="365"/>
      <c r="B81" s="232"/>
      <c r="C81" s="232"/>
      <c r="D81" s="232"/>
      <c r="E81" s="232"/>
      <c r="F81" s="232"/>
      <c r="G81" s="232"/>
      <c r="I81" s="19"/>
    </row>
    <row r="82" spans="1:7" ht="12.75" customHeight="1">
      <c r="A82" s="457">
        <f>A80+1</f>
        <v>925</v>
      </c>
      <c r="B82" s="431" t="s">
        <v>503</v>
      </c>
      <c r="C82" s="432"/>
      <c r="D82" s="433"/>
      <c r="E82" s="422" t="str">
        <f>CONCATENATE("bezette plaatsen ult. ",Blad1!B3-1)</f>
        <v>bezette plaatsen ult. 2005</v>
      </c>
      <c r="F82" s="422" t="s">
        <v>504</v>
      </c>
      <c r="G82" s="422" t="s">
        <v>125</v>
      </c>
    </row>
    <row r="83" spans="1:7" ht="12.75">
      <c r="A83" s="458"/>
      <c r="B83" s="434"/>
      <c r="C83" s="435"/>
      <c r="D83" s="436"/>
      <c r="E83" s="423"/>
      <c r="F83" s="423"/>
      <c r="G83" s="423"/>
    </row>
    <row r="84" spans="1:7" ht="12.75">
      <c r="A84" s="459"/>
      <c r="B84" s="437"/>
      <c r="C84" s="438"/>
      <c r="D84" s="439"/>
      <c r="E84" s="424"/>
      <c r="F84" s="424"/>
      <c r="G84" s="424"/>
    </row>
    <row r="85" spans="1:7" ht="12.75">
      <c r="A85" s="364">
        <f>A82+1</f>
        <v>926</v>
      </c>
      <c r="B85" s="420" t="s">
        <v>509</v>
      </c>
      <c r="C85" s="421"/>
      <c r="D85" s="254">
        <f>D48</f>
        <v>0</v>
      </c>
      <c r="E85" s="291">
        <f>H48</f>
        <v>0</v>
      </c>
      <c r="F85" s="292">
        <f>IF(E85&lt;50,Blad14!L67,IF('Blad8-9'!E85&gt;=150,Blad14!L69,Blad14!L68))</f>
        <v>145000</v>
      </c>
      <c r="G85" s="292">
        <f>ROUND(F85*E85,0)</f>
        <v>0</v>
      </c>
    </row>
    <row r="86" spans="1:7" ht="12.75">
      <c r="A86" s="364">
        <f>A85+1</f>
        <v>927</v>
      </c>
      <c r="B86" s="420" t="s">
        <v>510</v>
      </c>
      <c r="C86" s="421"/>
      <c r="D86" s="351"/>
      <c r="E86" s="291">
        <f>H47-H48</f>
        <v>0</v>
      </c>
      <c r="F86" s="292">
        <f>Blad14!L69</f>
        <v>108000</v>
      </c>
      <c r="G86" s="292">
        <f>ROUND(E86*F86,0)</f>
        <v>0</v>
      </c>
    </row>
    <row r="87" spans="1:7" ht="12.75">
      <c r="A87" s="364">
        <f>A86+1</f>
        <v>928</v>
      </c>
      <c r="B87" s="420" t="s">
        <v>125</v>
      </c>
      <c r="C87" s="421"/>
      <c r="D87" s="254">
        <f>SUM(D85:D86)</f>
        <v>0</v>
      </c>
      <c r="E87" s="291">
        <f>SUM(E85:E86)</f>
        <v>0</v>
      </c>
      <c r="F87" s="267"/>
      <c r="G87" s="388">
        <f>SUM(G85:G86)</f>
        <v>0</v>
      </c>
    </row>
    <row r="88" spans="1:8" ht="12.75">
      <c r="A88" s="365"/>
      <c r="B88" s="232"/>
      <c r="C88" s="232"/>
      <c r="D88" s="232"/>
      <c r="E88" s="232"/>
      <c r="F88" s="232"/>
      <c r="G88" s="232"/>
      <c r="H88" s="232"/>
    </row>
    <row r="89" spans="1:8" ht="12.75">
      <c r="A89" s="364">
        <f>A87+1</f>
        <v>929</v>
      </c>
      <c r="B89" s="417" t="s">
        <v>542</v>
      </c>
      <c r="C89" s="418"/>
      <c r="D89" s="418"/>
      <c r="E89" s="418"/>
      <c r="F89" s="418"/>
      <c r="G89" s="419"/>
      <c r="H89" s="388">
        <f>G80-G87</f>
        <v>0</v>
      </c>
    </row>
    <row r="90" spans="1:7" ht="12.75">
      <c r="A90" s="232"/>
      <c r="B90" t="s">
        <v>534</v>
      </c>
      <c r="C90" s="232"/>
      <c r="D90" s="232"/>
      <c r="E90" s="232"/>
      <c r="F90" s="232"/>
      <c r="G90" s="232"/>
    </row>
    <row r="91" spans="2:9" ht="12.75">
      <c r="B91" s="232" t="s">
        <v>532</v>
      </c>
      <c r="I91">
        <f>I50+1</f>
        <v>9</v>
      </c>
    </row>
  </sheetData>
  <sheetProtection password="CCBC" sheet="1" objects="1" scenarios="1"/>
  <mergeCells count="52">
    <mergeCell ref="B48:C48"/>
    <mergeCell ref="B49:C49"/>
    <mergeCell ref="B53:C53"/>
    <mergeCell ref="A82:A84"/>
    <mergeCell ref="B80:F80"/>
    <mergeCell ref="B56:C56"/>
    <mergeCell ref="B57:C57"/>
    <mergeCell ref="B51:F51"/>
    <mergeCell ref="B54:C54"/>
    <mergeCell ref="B69:E69"/>
    <mergeCell ref="B38:D38"/>
    <mergeCell ref="B39:D39"/>
    <mergeCell ref="B40:D40"/>
    <mergeCell ref="B41:D41"/>
    <mergeCell ref="B42:D42"/>
    <mergeCell ref="B43:D43"/>
    <mergeCell ref="B44:D44"/>
    <mergeCell ref="B47:C47"/>
    <mergeCell ref="B45:D45"/>
    <mergeCell ref="S2:T2"/>
    <mergeCell ref="U2:V2"/>
    <mergeCell ref="C9:C10"/>
    <mergeCell ref="D9:D10"/>
    <mergeCell ref="E9:E10"/>
    <mergeCell ref="F9:F10"/>
    <mergeCell ref="G8:G10"/>
    <mergeCell ref="H8:H10"/>
    <mergeCell ref="E8:F8"/>
    <mergeCell ref="C8:D8"/>
    <mergeCell ref="B62:C62"/>
    <mergeCell ref="B63:C63"/>
    <mergeCell ref="B85:C85"/>
    <mergeCell ref="B64:E64"/>
    <mergeCell ref="B67:E67"/>
    <mergeCell ref="B68:E68"/>
    <mergeCell ref="B82:D84"/>
    <mergeCell ref="B66:E66"/>
    <mergeCell ref="B72:C72"/>
    <mergeCell ref="B73:C73"/>
    <mergeCell ref="B58:C58"/>
    <mergeCell ref="B59:C59"/>
    <mergeCell ref="B60:C60"/>
    <mergeCell ref="B61:C61"/>
    <mergeCell ref="B89:G89"/>
    <mergeCell ref="B71:C71"/>
    <mergeCell ref="B86:C86"/>
    <mergeCell ref="B87:C87"/>
    <mergeCell ref="G82:G84"/>
    <mergeCell ref="B76:C76"/>
    <mergeCell ref="B74:C74"/>
    <mergeCell ref="E82:E84"/>
    <mergeCell ref="F82:F84"/>
  </mergeCells>
  <conditionalFormatting sqref="H32:H33 F67 D35:D37 D74 E35:H45 F78 H12:H30 D12:G33">
    <cfRule type="expression" priority="1" dxfId="0" stopIfTrue="1">
      <formula>$B$2=TRUE</formula>
    </cfRule>
  </conditionalFormatting>
  <conditionalFormatting sqref="D50">
    <cfRule type="cellIs" priority="2" dxfId="1" operator="equal" stopIfTrue="1">
      <formula>"akkoord"</formula>
    </cfRule>
    <cfRule type="cellIs" priority="3" dxfId="2" operator="equal" stopIfTrue="1">
      <formula>"Gewogen aantal agio's sluit niet aan op pagina 3 !"</formula>
    </cfRule>
  </conditionalFormatting>
  <printOptions/>
  <pageMargins left="0.75" right="0.75" top="1" bottom="1" header="0.5" footer="0.5"/>
  <pageSetup fitToHeight="2" horizontalDpi="600" verticalDpi="600" orientation="landscape" paperSize="9" scale="72" r:id="rId1"/>
  <headerFooter alignWithMargins="0">
    <oddHeader>&amp;L&amp;"Arial,Vet"Bijlage 1 bij circulaire JHYM/xxxx/CI/06/xxc</oddHeader>
  </headerFooter>
  <rowBreaks count="1" manualBreakCount="1">
    <brk id="5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6">
    <tabColor indexed="50"/>
    <pageSetUpPr fitToPage="1"/>
  </sheetPr>
  <dimension ref="A1:E742"/>
  <sheetViews>
    <sheetView showGridLines="0" showRowColHeaders="0" showZeros="0" showOutlineSymbols="0" view="pageBreakPreview" zoomScale="75" zoomScaleNormal="75" zoomScaleSheetLayoutView="75" workbookViewId="0" topLeftCell="A1">
      <selection activeCell="C4" sqref="C4"/>
    </sheetView>
  </sheetViews>
  <sheetFormatPr defaultColWidth="9.140625" defaultRowHeight="12.75"/>
  <cols>
    <col min="1" max="1" width="6.28125" style="2" bestFit="1" customWidth="1"/>
    <col min="2" max="2" width="68.8515625" style="0" customWidth="1"/>
    <col min="3" max="3" width="25.7109375" style="5" customWidth="1"/>
  </cols>
  <sheetData>
    <row r="1" spans="2:3" ht="12.75">
      <c r="B1" s="2" t="s">
        <v>23</v>
      </c>
      <c r="C1" s="12"/>
    </row>
    <row r="2" spans="2:3" ht="12.75">
      <c r="B2" s="91" t="b">
        <f>Blad1!A25</f>
        <v>1</v>
      </c>
      <c r="C2" s="12"/>
    </row>
    <row r="3" spans="2:3" ht="12.75">
      <c r="B3" s="7"/>
      <c r="C3" s="12"/>
    </row>
    <row r="4" spans="1:3" ht="12.75">
      <c r="A4" s="100">
        <f>D60*100+1</f>
        <v>1001</v>
      </c>
      <c r="B4" s="97" t="str">
        <f>CONCATENATE("afschrijvingskosten dub.debiteuren ",Blad1!$B$3)</f>
        <v>afschrijvingskosten dub.debiteuren 2006</v>
      </c>
      <c r="C4" s="255"/>
    </row>
    <row r="5" spans="1:3" ht="12.75">
      <c r="A5" s="100">
        <f>A4+1</f>
        <v>1002</v>
      </c>
      <c r="B5" s="97" t="str">
        <f>CONCATENATE("in budget ",Blad1!$B$3-1)</f>
        <v>in budget 2005</v>
      </c>
      <c r="C5" s="255"/>
    </row>
    <row r="6" spans="1:3" ht="12.75">
      <c r="A6" s="100">
        <f>A5+1</f>
        <v>1003</v>
      </c>
      <c r="B6" s="97" t="str">
        <f>CONCATENATE("werkelijk ",Blad1!$B$3-1)</f>
        <v>werkelijk 2005</v>
      </c>
      <c r="C6" s="255"/>
    </row>
    <row r="7" spans="2:3" ht="12.75">
      <c r="B7" s="10"/>
      <c r="C7" s="90"/>
    </row>
    <row r="8" spans="2:3" ht="12.75">
      <c r="B8" s="3" t="str">
        <f>CONCATENATE("Adherentie ",Blad1!B3-2," (volgens opgave Prismant)")</f>
        <v>Adherentie 2004 (volgens opgave Prismant)</v>
      </c>
      <c r="C8" s="90"/>
    </row>
    <row r="9" spans="2:3" ht="12.75">
      <c r="B9" s="10"/>
      <c r="C9" s="90"/>
    </row>
    <row r="10" spans="1:3" ht="12.75">
      <c r="A10" s="100">
        <f>A6+1</f>
        <v>1004</v>
      </c>
      <c r="B10" s="97" t="str">
        <f>CONCATENATE("klinische adherentie ",Blad1!$B$3-2)</f>
        <v>klinische adherentie 2004</v>
      </c>
      <c r="C10" s="255"/>
    </row>
    <row r="11" spans="1:3" ht="12.75">
      <c r="A11" s="100">
        <f>A10+1</f>
        <v>1005</v>
      </c>
      <c r="B11" s="97" t="str">
        <f>CONCATENATE("poliklinische adherentie ",Blad1!$B$3-2)</f>
        <v>poliklinische adherentie 2004</v>
      </c>
      <c r="C11" s="255"/>
    </row>
    <row r="12" spans="2:3" ht="12.75">
      <c r="B12" s="10"/>
      <c r="C12" s="90"/>
    </row>
    <row r="13" spans="2:3" ht="12.75">
      <c r="B13" s="10" t="s">
        <v>24</v>
      </c>
      <c r="C13" s="90"/>
    </row>
    <row r="14" spans="2:3" ht="12.75">
      <c r="B14" s="10" t="s">
        <v>25</v>
      </c>
      <c r="C14" s="90"/>
    </row>
    <row r="15" spans="2:3" ht="12.75">
      <c r="B15" s="10"/>
      <c r="C15" s="90"/>
    </row>
    <row r="16" spans="1:5" ht="12.75">
      <c r="A16" s="100">
        <f>A11+1</f>
        <v>1006</v>
      </c>
      <c r="B16" s="98" t="s">
        <v>22</v>
      </c>
      <c r="C16" s="255"/>
      <c r="D16" s="19"/>
      <c r="E16" s="19"/>
    </row>
    <row r="17" spans="2:3" ht="12.75">
      <c r="B17" s="10"/>
      <c r="C17" s="90"/>
    </row>
    <row r="18" spans="2:3" ht="12.75">
      <c r="B18" s="10" t="str">
        <f>CONCATENATE("U wordt verzocht een opgave te doen van het aantal leerlingen dat op 1 oktober ",Blad1!$B$3-1," aan uw")</f>
        <v>U wordt verzocht een opgave te doen van het aantal leerlingen dat op 1 oktober 2005 aan uw</v>
      </c>
      <c r="C18" s="90"/>
    </row>
    <row r="19" spans="2:3" ht="12.75">
      <c r="B19" s="10" t="s">
        <v>26</v>
      </c>
      <c r="C19" s="90"/>
    </row>
    <row r="20" spans="2:3" ht="12.75">
      <c r="B20" s="10" t="s">
        <v>27</v>
      </c>
      <c r="C20" s="90"/>
    </row>
    <row r="21" spans="2:3" ht="12.75">
      <c r="B21" s="10" t="s">
        <v>28</v>
      </c>
      <c r="C21" s="90"/>
    </row>
    <row r="22" spans="2:3" ht="12.75">
      <c r="B22" s="10"/>
      <c r="C22" s="90"/>
    </row>
    <row r="23" spans="2:3" ht="12.75">
      <c r="B23" s="10" t="s">
        <v>29</v>
      </c>
      <c r="C23" s="90"/>
    </row>
    <row r="24" spans="2:3" ht="12.75">
      <c r="B24" s="10" t="s">
        <v>30</v>
      </c>
      <c r="C24" s="90"/>
    </row>
    <row r="25" spans="2:3" ht="12.75">
      <c r="B25" s="10"/>
      <c r="C25" s="90"/>
    </row>
    <row r="26" spans="2:3" ht="12.75">
      <c r="B26" s="3" t="s">
        <v>163</v>
      </c>
      <c r="C26" s="90"/>
    </row>
    <row r="27" spans="2:3" ht="12.75">
      <c r="B27" s="10"/>
      <c r="C27" s="90"/>
    </row>
    <row r="28" spans="2:3" ht="12.75">
      <c r="B28" s="10" t="str">
        <f>CONCATENATE("Hiervoor kan in ",Blad1!$B$3-1," maximaal 5% van het variabele deel van het FB-budget voor ",Blad1!$B$3-1," (incl. 1e lijn)")</f>
        <v>Hiervoor kan in 2005 maximaal 5% van het variabele deel van het FB-budget voor 2005 (incl. 1e lijn)</v>
      </c>
      <c r="C28" s="90"/>
    </row>
    <row r="29" spans="2:3" ht="12.75">
      <c r="B29" s="10" t="s">
        <v>193</v>
      </c>
      <c r="C29" s="90"/>
    </row>
    <row r="30" spans="2:3" ht="12.75">
      <c r="B30" s="10" t="str">
        <f>CONCATENATE("verantwoording kunt u hieronder het definitief overeengekomen bedrag ",Blad1!$B$3-1," opgeven.")</f>
        <v>verantwoording kunt u hieronder het definitief overeengekomen bedrag 2005 opgeven.</v>
      </c>
      <c r="C30" s="90"/>
    </row>
    <row r="31" spans="2:3" ht="12.75">
      <c r="B31" s="10"/>
      <c r="C31" s="90"/>
    </row>
    <row r="32" spans="1:3" ht="12.75">
      <c r="A32" s="100">
        <f>A16+1</f>
        <v>1007</v>
      </c>
      <c r="B32" s="97" t="str">
        <f>CONCATENATE("definitief overeengekomen bedrag voor ",Blad1!$B$3-1," :")</f>
        <v>definitief overeengekomen bedrag voor 2005 :</v>
      </c>
      <c r="C32" s="255"/>
    </row>
    <row r="33" spans="1:3" ht="12.75">
      <c r="A33" s="100">
        <f>A32+1</f>
        <v>1008</v>
      </c>
      <c r="B33" s="97" t="str">
        <f>CONCATENATE("in rekenstaat ",Blad1!$B$3-1," opgenomen:")</f>
        <v>in rekenstaat 2005 opgenomen:</v>
      </c>
      <c r="C33" s="255"/>
    </row>
    <row r="34" spans="1:3" ht="12.75">
      <c r="A34" s="100">
        <f>A33+1</f>
        <v>1009</v>
      </c>
      <c r="B34" s="97" t="s">
        <v>124</v>
      </c>
      <c r="C34" s="142">
        <f>C32-C33</f>
        <v>0</v>
      </c>
    </row>
    <row r="35" spans="2:3" ht="12.75">
      <c r="B35" s="10"/>
      <c r="C35" s="90"/>
    </row>
    <row r="36" spans="2:3" ht="12.75">
      <c r="B36" s="10" t="str">
        <f>CONCATENATE("In ",Blad1!$B$3," kan maximaal 5% van het variabele deel van het FB-budget voor ",Blad1!$B$3," (incl. 1e lijn)")</f>
        <v>In 2006 kan maximaal 5% van het variabele deel van het FB-budget voor 2006 (incl. 1e lijn)</v>
      </c>
      <c r="C36" s="90"/>
    </row>
    <row r="37" spans="2:3" ht="12.75">
      <c r="B37" s="28" t="s">
        <v>558</v>
      </c>
      <c r="C37" s="89"/>
    </row>
    <row r="38" spans="2:3" ht="12.75">
      <c r="B38" s="28" t="s">
        <v>315</v>
      </c>
      <c r="C38" s="89"/>
    </row>
    <row r="39" spans="2:3" ht="12.75">
      <c r="B39" s="256"/>
      <c r="C39" s="90"/>
    </row>
    <row r="40" spans="1:3" ht="12.75">
      <c r="A40" s="100">
        <f>A34+1</f>
        <v>1010</v>
      </c>
      <c r="B40" s="97" t="str">
        <f>CONCATENATE("Voorlopig overeengekomen bedrag voor ",Blad1!$B$3," :")</f>
        <v>Voorlopig overeengekomen bedrag voor 2006 :</v>
      </c>
      <c r="C40" s="255"/>
    </row>
    <row r="41" spans="2:3" ht="12.75">
      <c r="B41" s="10"/>
      <c r="C41" s="90"/>
    </row>
    <row r="42" spans="2:3" ht="12.75">
      <c r="B42" s="20" t="s">
        <v>306</v>
      </c>
      <c r="C42" s="90"/>
    </row>
    <row r="43" spans="2:3" ht="12.75">
      <c r="B43" s="10"/>
      <c r="C43" s="90"/>
    </row>
    <row r="44" spans="2:3" ht="12.75">
      <c r="B44" s="10" t="s">
        <v>428</v>
      </c>
      <c r="C44" s="90"/>
    </row>
    <row r="45" spans="2:3" ht="12.75">
      <c r="B45" s="15" t="s">
        <v>429</v>
      </c>
      <c r="C45" s="90"/>
    </row>
    <row r="46" spans="2:3" ht="12.75">
      <c r="B46" s="28" t="s">
        <v>430</v>
      </c>
      <c r="C46" s="90"/>
    </row>
    <row r="47" spans="1:3" s="19" customFormat="1" ht="12.75">
      <c r="A47" s="35"/>
      <c r="B47" s="15"/>
      <c r="C47" s="89"/>
    </row>
    <row r="48" spans="1:3" s="19" customFormat="1" ht="12.75">
      <c r="A48" s="100">
        <f>A40+1</f>
        <v>1011</v>
      </c>
      <c r="B48" s="99" t="s">
        <v>426</v>
      </c>
      <c r="C48" s="255"/>
    </row>
    <row r="49" spans="1:3" s="19" customFormat="1" ht="12.75">
      <c r="A49" s="100">
        <f>A48+1</f>
        <v>1012</v>
      </c>
      <c r="B49" s="97" t="s">
        <v>427</v>
      </c>
      <c r="C49" s="255"/>
    </row>
    <row r="50" spans="2:3" ht="12.75">
      <c r="B50" s="7"/>
      <c r="C50" s="89"/>
    </row>
    <row r="51" ht="12.75">
      <c r="B51" s="28"/>
    </row>
    <row r="52" spans="2:3" ht="12.75">
      <c r="B52" s="1"/>
      <c r="C52" s="6"/>
    </row>
    <row r="53" spans="2:3" ht="12.75">
      <c r="B53" s="1"/>
      <c r="C53" s="6"/>
    </row>
    <row r="54" spans="2:3" ht="12.75">
      <c r="B54" s="1"/>
      <c r="C54" s="6"/>
    </row>
    <row r="55" spans="2:3" ht="12.75">
      <c r="B55" s="1"/>
      <c r="C55" s="6"/>
    </row>
    <row r="56" spans="2:3" ht="12.75">
      <c r="B56" s="1"/>
      <c r="C56" s="6"/>
    </row>
    <row r="57" spans="2:3" ht="12.75">
      <c r="B57" s="1"/>
      <c r="C57" s="6"/>
    </row>
    <row r="58" spans="2:3" ht="12.75">
      <c r="B58" s="1"/>
      <c r="C58" s="6"/>
    </row>
    <row r="59" spans="2:3" ht="12.75">
      <c r="B59" s="1"/>
      <c r="C59" s="6"/>
    </row>
    <row r="60" spans="2:4" ht="12.75">
      <c r="B60" s="1"/>
      <c r="D60" s="10">
        <f>'Blad8-9'!I91+1</f>
        <v>10</v>
      </c>
    </row>
    <row r="61" spans="2:3" ht="12.75">
      <c r="B61" s="1"/>
      <c r="C61" s="6"/>
    </row>
    <row r="62" spans="2:3" ht="12.75">
      <c r="B62" s="1"/>
      <c r="C62" s="6"/>
    </row>
    <row r="63" spans="2:3" ht="12.75">
      <c r="B63" s="1"/>
      <c r="C63" s="6"/>
    </row>
    <row r="64" spans="2:3" ht="12.75">
      <c r="B64" s="1"/>
      <c r="C64" s="6"/>
    </row>
    <row r="65" spans="2:3" ht="12.75">
      <c r="B65" s="1"/>
      <c r="C65" s="6"/>
    </row>
    <row r="66" spans="2:3" ht="12.75">
      <c r="B66" s="1"/>
      <c r="C66" s="6"/>
    </row>
    <row r="67" spans="2:3" ht="12.75">
      <c r="B67" s="1"/>
      <c r="C67" s="6"/>
    </row>
    <row r="68" spans="2:3" ht="12.75">
      <c r="B68" s="1"/>
      <c r="C68" s="6"/>
    </row>
    <row r="69" spans="2:3" ht="12.75">
      <c r="B69" s="1"/>
      <c r="C69" s="6"/>
    </row>
    <row r="70" spans="2:3" ht="12.75">
      <c r="B70" s="1"/>
      <c r="C70" s="6"/>
    </row>
    <row r="71" spans="2:3" ht="12.75">
      <c r="B71" s="1"/>
      <c r="C71" s="6"/>
    </row>
    <row r="72" spans="2:3" ht="12.75">
      <c r="B72" s="1"/>
      <c r="C72" s="6"/>
    </row>
    <row r="73" spans="2:3" ht="12.75">
      <c r="B73" s="1"/>
      <c r="C73" s="6"/>
    </row>
    <row r="74" spans="2:3" ht="12.75">
      <c r="B74" s="1"/>
      <c r="C74" s="6"/>
    </row>
    <row r="75" spans="2:3" ht="12.75">
      <c r="B75" s="1"/>
      <c r="C75" s="6"/>
    </row>
    <row r="76" spans="2:3" ht="12.75">
      <c r="B76" s="1"/>
      <c r="C76" s="6"/>
    </row>
    <row r="77" spans="2:3" ht="12.75">
      <c r="B77" s="1"/>
      <c r="C77" s="6"/>
    </row>
    <row r="78" spans="2:3" ht="12.75">
      <c r="B78" s="1"/>
      <c r="C78" s="6"/>
    </row>
    <row r="79" spans="2:3" ht="12.75">
      <c r="B79" s="1"/>
      <c r="C79" s="6"/>
    </row>
    <row r="80" spans="2:3" ht="12.75">
      <c r="B80" s="1"/>
      <c r="C80" s="6"/>
    </row>
    <row r="81" spans="2:3" ht="12.75">
      <c r="B81" s="1"/>
      <c r="C81" s="6"/>
    </row>
    <row r="82" spans="2:3" ht="12.75">
      <c r="B82" s="1"/>
      <c r="C82" s="6"/>
    </row>
    <row r="83" spans="2:3" ht="12.75">
      <c r="B83" s="1"/>
      <c r="C83" s="6"/>
    </row>
    <row r="84" spans="2:3" ht="12.75">
      <c r="B84" s="1"/>
      <c r="C84" s="6"/>
    </row>
    <row r="85" spans="2:3" ht="12.75">
      <c r="B85" s="1"/>
      <c r="C85" s="6"/>
    </row>
    <row r="86" spans="2:3" ht="12.75">
      <c r="B86" s="1"/>
      <c r="C86" s="6"/>
    </row>
    <row r="87" spans="2:3" ht="12.75">
      <c r="B87" s="1"/>
      <c r="C87" s="6"/>
    </row>
    <row r="88" spans="2:3" ht="12.75">
      <c r="B88" s="1"/>
      <c r="C88" s="6"/>
    </row>
    <row r="89" spans="2:3" ht="12.75">
      <c r="B89" s="1"/>
      <c r="C89" s="6"/>
    </row>
    <row r="90" spans="2:3" ht="12.75">
      <c r="B90" s="1"/>
      <c r="C90" s="6"/>
    </row>
    <row r="91" spans="2:3" ht="12.75">
      <c r="B91" s="1"/>
      <c r="C91" s="6"/>
    </row>
    <row r="92" spans="2:3" ht="12.75">
      <c r="B92" s="1"/>
      <c r="C92" s="6"/>
    </row>
    <row r="93" spans="2:3" ht="12.75">
      <c r="B93" s="1"/>
      <c r="C93" s="6"/>
    </row>
    <row r="94" spans="2:3" ht="12.75">
      <c r="B94" s="1"/>
      <c r="C94" s="6"/>
    </row>
    <row r="95" spans="2:3" ht="12.75">
      <c r="B95" s="1"/>
      <c r="C95" s="6"/>
    </row>
    <row r="96" spans="2:3" ht="12.75">
      <c r="B96" s="1"/>
      <c r="C96" s="6"/>
    </row>
    <row r="97" spans="2:3" ht="12.75">
      <c r="B97" s="1"/>
      <c r="C97" s="6"/>
    </row>
    <row r="98" spans="2:3" ht="12.75">
      <c r="B98" s="1"/>
      <c r="C98" s="6"/>
    </row>
    <row r="99" spans="2:3" ht="12.75">
      <c r="B99" s="1"/>
      <c r="C99" s="6"/>
    </row>
    <row r="100" spans="2:3" ht="12.75">
      <c r="B100" s="1"/>
      <c r="C100" s="6"/>
    </row>
    <row r="101" spans="2:3" ht="12.75">
      <c r="B101" s="1"/>
      <c r="C101" s="6"/>
    </row>
    <row r="102" spans="2:3" ht="12.75">
      <c r="B102" s="1"/>
      <c r="C102" s="6"/>
    </row>
    <row r="103" spans="2:3" ht="12.75">
      <c r="B103" s="1"/>
      <c r="C103" s="6"/>
    </row>
    <row r="104" spans="2:3" ht="12.75">
      <c r="B104" s="1"/>
      <c r="C104" s="6"/>
    </row>
    <row r="105" spans="2:3" ht="12.75">
      <c r="B105" s="1"/>
      <c r="C105" s="6"/>
    </row>
    <row r="106" spans="2:3" ht="12.75">
      <c r="B106" s="1"/>
      <c r="C106" s="6"/>
    </row>
    <row r="107" spans="2:3" ht="12.75">
      <c r="B107" s="1"/>
      <c r="C107" s="6"/>
    </row>
    <row r="108" spans="2:3" ht="12.75">
      <c r="B108" s="1"/>
      <c r="C108" s="6"/>
    </row>
    <row r="109" spans="2:3" ht="12.75">
      <c r="B109" s="1"/>
      <c r="C109" s="6"/>
    </row>
    <row r="110" spans="2:3" ht="12.75">
      <c r="B110" s="1"/>
      <c r="C110" s="6"/>
    </row>
    <row r="111" spans="2:3" ht="12.75">
      <c r="B111" s="1"/>
      <c r="C111" s="6"/>
    </row>
    <row r="112" spans="2:3" ht="12.75">
      <c r="B112" s="1"/>
      <c r="C112" s="6"/>
    </row>
    <row r="113" spans="2:3" ht="12.75">
      <c r="B113" s="1"/>
      <c r="C113" s="6"/>
    </row>
    <row r="114" spans="2:3" ht="12.75">
      <c r="B114" s="1"/>
      <c r="C114" s="6"/>
    </row>
    <row r="115" spans="2:3" ht="12.75">
      <c r="B115" s="1"/>
      <c r="C115" s="6"/>
    </row>
    <row r="116" spans="2:3" ht="12.75">
      <c r="B116" s="1"/>
      <c r="C116" s="6"/>
    </row>
    <row r="117" spans="2:3" ht="12.75">
      <c r="B117" s="1"/>
      <c r="C117" s="6"/>
    </row>
    <row r="118" spans="2:3" ht="12.75">
      <c r="B118" s="1"/>
      <c r="C118" s="6"/>
    </row>
    <row r="119" spans="2:3" ht="12.75">
      <c r="B119" s="1"/>
      <c r="C119" s="6"/>
    </row>
    <row r="120" spans="2:3" ht="12.75">
      <c r="B120" s="1"/>
      <c r="C120" s="6"/>
    </row>
    <row r="121" spans="2:3" ht="12.75">
      <c r="B121" s="1"/>
      <c r="C121" s="6"/>
    </row>
    <row r="122" spans="2:3" ht="12.75">
      <c r="B122" s="1"/>
      <c r="C122" s="6"/>
    </row>
    <row r="123" spans="2:3" ht="12.75">
      <c r="B123" s="1"/>
      <c r="C123" s="6"/>
    </row>
    <row r="124" spans="2:3" ht="12.75">
      <c r="B124" s="1"/>
      <c r="C124" s="6"/>
    </row>
    <row r="125" spans="2:3" ht="12.75">
      <c r="B125" s="1"/>
      <c r="C125" s="6"/>
    </row>
    <row r="126" spans="2:3" ht="12.75">
      <c r="B126" s="1"/>
      <c r="C126" s="6"/>
    </row>
    <row r="127" spans="2:3" ht="12.75">
      <c r="B127" s="1"/>
      <c r="C127" s="6"/>
    </row>
    <row r="128" spans="2:3" ht="12.75">
      <c r="B128" s="1"/>
      <c r="C128" s="6"/>
    </row>
    <row r="129" spans="2:3" ht="12.75">
      <c r="B129" s="1"/>
      <c r="C129" s="6"/>
    </row>
    <row r="130" spans="2:3" ht="12.75">
      <c r="B130" s="1"/>
      <c r="C130" s="6"/>
    </row>
    <row r="131" spans="2:3" ht="12.75">
      <c r="B131" s="1"/>
      <c r="C131" s="6"/>
    </row>
    <row r="132" spans="2:3" ht="12.75">
      <c r="B132" s="1"/>
      <c r="C132" s="6"/>
    </row>
    <row r="133" spans="2:3" ht="12.75">
      <c r="B133" s="1"/>
      <c r="C133" s="6"/>
    </row>
    <row r="134" spans="2:3" ht="12.75">
      <c r="B134" s="1"/>
      <c r="C134" s="6"/>
    </row>
    <row r="135" spans="2:3" ht="12.75">
      <c r="B135" s="1"/>
      <c r="C135" s="6"/>
    </row>
    <row r="136" spans="2:3" ht="12.75">
      <c r="B136" s="1"/>
      <c r="C136" s="6"/>
    </row>
    <row r="137" spans="2:3" ht="12.75">
      <c r="B137" s="1"/>
      <c r="C137" s="6"/>
    </row>
    <row r="138" spans="2:3" ht="12.75">
      <c r="B138" s="1"/>
      <c r="C138" s="6"/>
    </row>
    <row r="139" spans="2:3" ht="12.75">
      <c r="B139" s="1"/>
      <c r="C139" s="6"/>
    </row>
    <row r="140" spans="2:3" ht="12.75">
      <c r="B140" s="1"/>
      <c r="C140" s="6"/>
    </row>
    <row r="141" spans="2:3" ht="12.75">
      <c r="B141" s="1"/>
      <c r="C141" s="6"/>
    </row>
    <row r="142" spans="2:3" ht="12.75">
      <c r="B142" s="1"/>
      <c r="C142" s="6"/>
    </row>
    <row r="143" spans="2:3" ht="12.75">
      <c r="B143" s="1"/>
      <c r="C143" s="6"/>
    </row>
    <row r="144" spans="2:3" ht="12.75">
      <c r="B144" s="1"/>
      <c r="C144" s="6"/>
    </row>
    <row r="145" spans="2:3" ht="12.75">
      <c r="B145" s="1"/>
      <c r="C145" s="6"/>
    </row>
    <row r="146" spans="2:3" ht="12.75">
      <c r="B146" s="1"/>
      <c r="C146" s="6"/>
    </row>
    <row r="147" spans="2:3" ht="12.75">
      <c r="B147" s="1"/>
      <c r="C147" s="6"/>
    </row>
    <row r="148" spans="2:3" ht="12.75">
      <c r="B148" s="1"/>
      <c r="C148" s="6"/>
    </row>
    <row r="149" spans="2:3" ht="12.75">
      <c r="B149" s="1"/>
      <c r="C149" s="6"/>
    </row>
    <row r="150" spans="2:3" ht="12.75">
      <c r="B150" s="1"/>
      <c r="C150" s="6"/>
    </row>
    <row r="151" spans="2:3" ht="12.75">
      <c r="B151" s="1"/>
      <c r="C151" s="6"/>
    </row>
    <row r="152" spans="2:3" ht="12.75">
      <c r="B152" s="1"/>
      <c r="C152" s="6"/>
    </row>
    <row r="153" spans="2:3" ht="12.75">
      <c r="B153" s="1"/>
      <c r="C153" s="6"/>
    </row>
    <row r="154" spans="2:3" ht="12.75">
      <c r="B154" s="1"/>
      <c r="C154" s="6"/>
    </row>
    <row r="155" spans="2:3" ht="12.75">
      <c r="B155" s="1"/>
      <c r="C155" s="6"/>
    </row>
    <row r="156" spans="2:3" ht="12.75">
      <c r="B156" s="1"/>
      <c r="C156" s="6"/>
    </row>
    <row r="157" spans="2:3" ht="12.75">
      <c r="B157" s="1"/>
      <c r="C157" s="6"/>
    </row>
    <row r="158" spans="2:3" ht="12.75">
      <c r="B158" s="1"/>
      <c r="C158" s="6"/>
    </row>
    <row r="159" spans="2:3" ht="12.75">
      <c r="B159" s="1"/>
      <c r="C159" s="6"/>
    </row>
    <row r="160" spans="2:3" ht="12.75">
      <c r="B160" s="1"/>
      <c r="C160" s="6"/>
    </row>
    <row r="161" spans="2:3" ht="12.75">
      <c r="B161" s="1"/>
      <c r="C161" s="6"/>
    </row>
    <row r="162" spans="2:3" ht="12.75">
      <c r="B162" s="1"/>
      <c r="C162" s="6"/>
    </row>
    <row r="163" spans="2:3" ht="12.75">
      <c r="B163" s="1"/>
      <c r="C163" s="6"/>
    </row>
    <row r="164" spans="2:3" ht="12.75">
      <c r="B164" s="1"/>
      <c r="C164" s="6"/>
    </row>
    <row r="165" spans="2:3" ht="12.75">
      <c r="B165" s="1"/>
      <c r="C165" s="6"/>
    </row>
    <row r="166" spans="2:3" ht="12.75">
      <c r="B166" s="1"/>
      <c r="C166" s="6"/>
    </row>
    <row r="167" spans="2:3" ht="12.75">
      <c r="B167" s="1"/>
      <c r="C167" s="6"/>
    </row>
    <row r="168" spans="2:3" ht="12.75">
      <c r="B168" s="1"/>
      <c r="C168" s="6"/>
    </row>
    <row r="169" spans="2:3" ht="12.75">
      <c r="B169" s="1"/>
      <c r="C169" s="6"/>
    </row>
    <row r="170" spans="2:3" ht="12.75">
      <c r="B170" s="1"/>
      <c r="C170" s="6"/>
    </row>
    <row r="171" spans="2:3" ht="12.75">
      <c r="B171" s="1"/>
      <c r="C171" s="6"/>
    </row>
    <row r="172" spans="2:3" ht="12.75">
      <c r="B172" s="1"/>
      <c r="C172" s="6"/>
    </row>
    <row r="173" spans="2:3" ht="12.75">
      <c r="B173" s="1"/>
      <c r="C173" s="6"/>
    </row>
    <row r="174" spans="2:3" ht="12.75">
      <c r="B174" s="1"/>
      <c r="C174" s="6"/>
    </row>
    <row r="175" spans="2:3" ht="12.75">
      <c r="B175" s="1"/>
      <c r="C175" s="6"/>
    </row>
    <row r="176" spans="2:3" ht="12.75">
      <c r="B176" s="1"/>
      <c r="C176" s="6"/>
    </row>
    <row r="177" spans="2:3" ht="12.75">
      <c r="B177" s="1"/>
      <c r="C177" s="6"/>
    </row>
    <row r="178" spans="2:3" ht="12.75">
      <c r="B178" s="1"/>
      <c r="C178" s="6"/>
    </row>
    <row r="179" spans="2:3" ht="12.75">
      <c r="B179" s="1"/>
      <c r="C179" s="6"/>
    </row>
    <row r="180" spans="2:3" ht="12.75">
      <c r="B180" s="1"/>
      <c r="C180" s="6"/>
    </row>
    <row r="181" spans="2:3" ht="12.75">
      <c r="B181" s="1"/>
      <c r="C181" s="6"/>
    </row>
    <row r="182" spans="2:3" ht="12.75">
      <c r="B182" s="1"/>
      <c r="C182" s="6"/>
    </row>
    <row r="183" spans="2:3" ht="12.75">
      <c r="B183" s="1"/>
      <c r="C183" s="6"/>
    </row>
    <row r="184" spans="2:3" ht="12.75">
      <c r="B184" s="1"/>
      <c r="C184" s="6"/>
    </row>
    <row r="185" spans="2:3" ht="12.75">
      <c r="B185" s="1"/>
      <c r="C185" s="6"/>
    </row>
    <row r="186" spans="2:3" ht="12.75">
      <c r="B186" s="1"/>
      <c r="C186" s="6"/>
    </row>
    <row r="187" spans="2:3" ht="12.75">
      <c r="B187" s="1"/>
      <c r="C187" s="6"/>
    </row>
    <row r="188" spans="2:3" ht="12.75">
      <c r="B188" s="1"/>
      <c r="C188" s="6"/>
    </row>
    <row r="189" spans="2:3" ht="12.75">
      <c r="B189" s="1"/>
      <c r="C189" s="6"/>
    </row>
    <row r="190" spans="2:3" ht="12.75">
      <c r="B190" s="1"/>
      <c r="C190" s="6"/>
    </row>
    <row r="191" spans="2:3" ht="12.75">
      <c r="B191" s="1"/>
      <c r="C191" s="6"/>
    </row>
    <row r="192" spans="2:3" ht="12.75">
      <c r="B192" s="1"/>
      <c r="C192" s="6"/>
    </row>
    <row r="193" spans="2:3" ht="12.75">
      <c r="B193" s="1"/>
      <c r="C193" s="6"/>
    </row>
    <row r="194" spans="2:3" ht="12.75">
      <c r="B194" s="1"/>
      <c r="C194" s="6"/>
    </row>
    <row r="195" spans="2:3" ht="12.75">
      <c r="B195" s="1"/>
      <c r="C195" s="6"/>
    </row>
    <row r="196" spans="2:3" ht="12.75">
      <c r="B196" s="1"/>
      <c r="C196" s="6"/>
    </row>
    <row r="197" spans="2:3" ht="12.75">
      <c r="B197" s="1"/>
      <c r="C197" s="6"/>
    </row>
    <row r="198" spans="2:3" ht="12.75">
      <c r="B198" s="1"/>
      <c r="C198" s="6"/>
    </row>
    <row r="199" spans="2:3" ht="12.75">
      <c r="B199" s="1"/>
      <c r="C199" s="6"/>
    </row>
    <row r="200" spans="2:3" ht="12.75">
      <c r="B200" s="1"/>
      <c r="C200" s="6"/>
    </row>
    <row r="201" spans="2:3" ht="12.75">
      <c r="B201" s="1"/>
      <c r="C201" s="6"/>
    </row>
    <row r="202" spans="2:3" ht="12.75">
      <c r="B202" s="1"/>
      <c r="C202" s="6"/>
    </row>
    <row r="203" spans="2:3" ht="12.75">
      <c r="B203" s="1"/>
      <c r="C203" s="6"/>
    </row>
    <row r="204" spans="2:3" ht="12.75">
      <c r="B204" s="1"/>
      <c r="C204" s="6"/>
    </row>
    <row r="205" spans="2:3" ht="12.75">
      <c r="B205" s="1"/>
      <c r="C205" s="6"/>
    </row>
    <row r="206" spans="2:3" ht="12.75">
      <c r="B206" s="1"/>
      <c r="C206" s="6"/>
    </row>
    <row r="207" spans="2:3" ht="12.75">
      <c r="B207" s="1"/>
      <c r="C207" s="6"/>
    </row>
    <row r="208" spans="2:3" ht="12.75">
      <c r="B208" s="1"/>
      <c r="C208" s="6"/>
    </row>
    <row r="209" spans="2:3" ht="12.75">
      <c r="B209" s="1"/>
      <c r="C209" s="6"/>
    </row>
    <row r="210" spans="2:3" ht="12.75">
      <c r="B210" s="1"/>
      <c r="C210" s="6"/>
    </row>
    <row r="211" spans="2:3" ht="12.75">
      <c r="B211" s="1"/>
      <c r="C211" s="6"/>
    </row>
    <row r="212" spans="2:3" ht="12.75">
      <c r="B212" s="1"/>
      <c r="C212" s="6"/>
    </row>
    <row r="213" spans="2:3" ht="12.75">
      <c r="B213" s="1"/>
      <c r="C213" s="6"/>
    </row>
    <row r="214" spans="2:3" ht="12.75">
      <c r="B214" s="1"/>
      <c r="C214" s="6"/>
    </row>
    <row r="215" spans="2:3" ht="12.75">
      <c r="B215" s="1"/>
      <c r="C215" s="6"/>
    </row>
    <row r="216" spans="2:3" ht="12.75">
      <c r="B216" s="1"/>
      <c r="C216" s="6"/>
    </row>
    <row r="217" spans="2:3" ht="12.75">
      <c r="B217" s="1"/>
      <c r="C217" s="6"/>
    </row>
    <row r="218" spans="2:3" ht="12.75">
      <c r="B218" s="1"/>
      <c r="C218" s="6"/>
    </row>
    <row r="219" spans="2:3" ht="12.75">
      <c r="B219" s="1"/>
      <c r="C219" s="6"/>
    </row>
    <row r="220" spans="2:3" ht="12.75">
      <c r="B220" s="1"/>
      <c r="C220" s="6"/>
    </row>
    <row r="221" spans="2:3" ht="12.75">
      <c r="B221" s="1"/>
      <c r="C221" s="6"/>
    </row>
    <row r="222" spans="2:3" ht="12.75">
      <c r="B222" s="1"/>
      <c r="C222" s="6"/>
    </row>
    <row r="223" spans="2:3" ht="12.75">
      <c r="B223" s="1"/>
      <c r="C223" s="6"/>
    </row>
    <row r="224" spans="2:3" ht="12.75">
      <c r="B224" s="1"/>
      <c r="C224" s="6"/>
    </row>
    <row r="225" spans="2:3" ht="12.75">
      <c r="B225" s="1"/>
      <c r="C225" s="6"/>
    </row>
    <row r="226" spans="2:3" ht="12.75">
      <c r="B226" s="1"/>
      <c r="C226" s="6"/>
    </row>
    <row r="227" spans="2:3" ht="12.75">
      <c r="B227" s="1"/>
      <c r="C227" s="6"/>
    </row>
    <row r="228" spans="2:3" ht="12.75">
      <c r="B228" s="1"/>
      <c r="C228" s="6"/>
    </row>
    <row r="229" spans="2:3" ht="12.75">
      <c r="B229" s="1"/>
      <c r="C229" s="6"/>
    </row>
    <row r="230" spans="2:3" ht="12.75">
      <c r="B230" s="1"/>
      <c r="C230" s="6"/>
    </row>
    <row r="231" spans="2:3" ht="12.75">
      <c r="B231" s="1"/>
      <c r="C231" s="6"/>
    </row>
    <row r="232" spans="2:3" ht="12.75">
      <c r="B232" s="1"/>
      <c r="C232" s="6"/>
    </row>
    <row r="233" spans="2:3" ht="12.75">
      <c r="B233" s="1"/>
      <c r="C233" s="6"/>
    </row>
    <row r="234" spans="2:3" ht="12.75">
      <c r="B234" s="1"/>
      <c r="C234" s="6"/>
    </row>
    <row r="235" spans="2:3" ht="12.75">
      <c r="B235" s="1"/>
      <c r="C235" s="6"/>
    </row>
    <row r="236" spans="2:3" ht="12.75">
      <c r="B236" s="1"/>
      <c r="C236" s="6"/>
    </row>
    <row r="237" spans="2:3" ht="12.75">
      <c r="B237" s="1"/>
      <c r="C237" s="6"/>
    </row>
    <row r="238" spans="2:3" ht="12.75">
      <c r="B238" s="1"/>
      <c r="C238" s="6"/>
    </row>
    <row r="239" spans="2:3" ht="12.75">
      <c r="B239" s="1"/>
      <c r="C239" s="6"/>
    </row>
    <row r="240" spans="2:3" ht="12.75">
      <c r="B240" s="1"/>
      <c r="C240" s="6"/>
    </row>
    <row r="241" spans="2:3" ht="12.75">
      <c r="B241" s="1"/>
      <c r="C241" s="6"/>
    </row>
    <row r="242" spans="2:3" ht="12.75">
      <c r="B242" s="1"/>
      <c r="C242" s="6"/>
    </row>
    <row r="243" spans="2:3" ht="12.75">
      <c r="B243" s="1"/>
      <c r="C243" s="6"/>
    </row>
    <row r="244" spans="2:3" ht="12.75">
      <c r="B244" s="1"/>
      <c r="C244" s="6"/>
    </row>
    <row r="245" spans="2:3" ht="12.75">
      <c r="B245" s="1"/>
      <c r="C245" s="6"/>
    </row>
    <row r="246" spans="2:3" ht="12.75">
      <c r="B246" s="1"/>
      <c r="C246" s="6"/>
    </row>
    <row r="247" spans="2:3" ht="12.75">
      <c r="B247" s="1"/>
      <c r="C247" s="6"/>
    </row>
    <row r="248" spans="2:3" ht="12.75">
      <c r="B248" s="1"/>
      <c r="C248" s="6"/>
    </row>
    <row r="249" spans="2:3" ht="12.75">
      <c r="B249" s="1"/>
      <c r="C249" s="6"/>
    </row>
    <row r="250" spans="2:3" ht="12.75">
      <c r="B250" s="1"/>
      <c r="C250" s="6"/>
    </row>
    <row r="251" spans="2:3" ht="12.75">
      <c r="B251" s="1"/>
      <c r="C251" s="6"/>
    </row>
    <row r="252" spans="2:3" ht="12.75">
      <c r="B252" s="1"/>
      <c r="C252" s="6"/>
    </row>
    <row r="253" spans="2:3" ht="12.75">
      <c r="B253" s="1"/>
      <c r="C253" s="6"/>
    </row>
    <row r="254" spans="2:3" ht="12.75">
      <c r="B254" s="1"/>
      <c r="C254" s="6"/>
    </row>
    <row r="255" spans="2:3" ht="12.75">
      <c r="B255" s="1"/>
      <c r="C255" s="6"/>
    </row>
    <row r="256" spans="2:3" ht="12.75">
      <c r="B256" s="1"/>
      <c r="C256" s="6"/>
    </row>
    <row r="257" spans="2:3" ht="12.75">
      <c r="B257" s="1"/>
      <c r="C257" s="6"/>
    </row>
    <row r="258" spans="2:3" ht="12.75">
      <c r="B258" s="1"/>
      <c r="C258" s="6"/>
    </row>
    <row r="259" spans="2:3" ht="12.75">
      <c r="B259" s="1"/>
      <c r="C259" s="6"/>
    </row>
    <row r="260" spans="2:3" ht="12.75">
      <c r="B260" s="1"/>
      <c r="C260" s="6"/>
    </row>
    <row r="261" spans="2:3" ht="12.75">
      <c r="B261" s="1"/>
      <c r="C261" s="6"/>
    </row>
    <row r="262" spans="2:3" ht="12.75">
      <c r="B262" s="1"/>
      <c r="C262" s="6"/>
    </row>
    <row r="263" spans="2:3" ht="12.75">
      <c r="B263" s="1"/>
      <c r="C263" s="6"/>
    </row>
    <row r="264" spans="2:3" ht="12.75">
      <c r="B264" s="1"/>
      <c r="C264" s="6"/>
    </row>
    <row r="265" spans="2:3" ht="12.75">
      <c r="B265" s="1"/>
      <c r="C265" s="6"/>
    </row>
    <row r="266" spans="2:3" ht="12.75">
      <c r="B266" s="1"/>
      <c r="C266" s="6"/>
    </row>
    <row r="267" spans="2:3" ht="12.75">
      <c r="B267" s="1"/>
      <c r="C267" s="6"/>
    </row>
    <row r="268" spans="2:3" ht="12.75">
      <c r="B268" s="1"/>
      <c r="C268" s="6"/>
    </row>
    <row r="269" spans="2:3" ht="12.75">
      <c r="B269" s="1"/>
      <c r="C269" s="6"/>
    </row>
    <row r="270" spans="2:3" ht="12.75">
      <c r="B270" s="1"/>
      <c r="C270" s="6"/>
    </row>
    <row r="271" spans="2:3" ht="12.75">
      <c r="B271" s="1"/>
      <c r="C271" s="6"/>
    </row>
    <row r="272" spans="2:3" ht="12.75">
      <c r="B272" s="1"/>
      <c r="C272" s="6"/>
    </row>
    <row r="273" spans="2:3" ht="12.75">
      <c r="B273" s="1"/>
      <c r="C273" s="6"/>
    </row>
    <row r="274" spans="2:3" ht="12.75">
      <c r="B274" s="1"/>
      <c r="C274" s="6"/>
    </row>
    <row r="275" spans="2:3" ht="12.75">
      <c r="B275" s="1"/>
      <c r="C275" s="6"/>
    </row>
    <row r="276" spans="2:3" ht="12.75">
      <c r="B276" s="1"/>
      <c r="C276" s="6"/>
    </row>
    <row r="277" spans="2:3" ht="12.75">
      <c r="B277" s="1"/>
      <c r="C277" s="6"/>
    </row>
    <row r="278" spans="2:3" ht="12.75">
      <c r="B278" s="1"/>
      <c r="C278" s="6"/>
    </row>
    <row r="279" spans="2:3" ht="12.75">
      <c r="B279" s="1"/>
      <c r="C279" s="6"/>
    </row>
    <row r="280" spans="2:3" ht="12.75">
      <c r="B280" s="1"/>
      <c r="C280" s="6"/>
    </row>
    <row r="281" spans="2:3" ht="12.75">
      <c r="B281" s="1"/>
      <c r="C281" s="6"/>
    </row>
    <row r="282" spans="2:3" ht="12.75">
      <c r="B282" s="1"/>
      <c r="C282" s="6"/>
    </row>
    <row r="283" spans="2:3" ht="12.75">
      <c r="B283" s="1"/>
      <c r="C283" s="6"/>
    </row>
    <row r="284" spans="2:3" ht="12.75">
      <c r="B284" s="1"/>
      <c r="C284" s="6"/>
    </row>
    <row r="285" spans="2:3" ht="12.75">
      <c r="B285" s="1"/>
      <c r="C285" s="6"/>
    </row>
    <row r="286" spans="2:3" ht="12.75">
      <c r="B286" s="1"/>
      <c r="C286" s="6"/>
    </row>
    <row r="287" spans="2:3" ht="12.75">
      <c r="B287" s="1"/>
      <c r="C287" s="6"/>
    </row>
    <row r="288" spans="2:3" ht="12.75">
      <c r="B288" s="1"/>
      <c r="C288" s="6"/>
    </row>
    <row r="289" spans="2:3" ht="12.75">
      <c r="B289" s="1"/>
      <c r="C289" s="6"/>
    </row>
    <row r="290" spans="2:3" ht="12.75">
      <c r="B290" s="1"/>
      <c r="C290" s="6"/>
    </row>
    <row r="291" spans="2:3" ht="12.75">
      <c r="B291" s="1"/>
      <c r="C291" s="6"/>
    </row>
    <row r="292" spans="2:3" ht="12.75">
      <c r="B292" s="1"/>
      <c r="C292" s="6"/>
    </row>
    <row r="293" spans="2:3" ht="12.75">
      <c r="B293" s="1"/>
      <c r="C293" s="6"/>
    </row>
    <row r="294" spans="2:3" ht="12.75">
      <c r="B294" s="1"/>
      <c r="C294" s="6"/>
    </row>
    <row r="295" spans="2:3" ht="12.75">
      <c r="B295" s="1"/>
      <c r="C295" s="6"/>
    </row>
    <row r="296" spans="2:3" ht="12.75">
      <c r="B296" s="1"/>
      <c r="C296" s="6"/>
    </row>
    <row r="297" spans="2:3" ht="12.75">
      <c r="B297" s="1"/>
      <c r="C297" s="6"/>
    </row>
    <row r="298" spans="2:3" ht="12.75">
      <c r="B298" s="1"/>
      <c r="C298" s="6"/>
    </row>
    <row r="299" spans="2:3" ht="12.75">
      <c r="B299" s="1"/>
      <c r="C299" s="6"/>
    </row>
    <row r="300" spans="2:3" ht="12.75">
      <c r="B300" s="1"/>
      <c r="C300" s="6"/>
    </row>
    <row r="301" spans="2:3" ht="12.75">
      <c r="B301" s="1"/>
      <c r="C301" s="6"/>
    </row>
    <row r="302" spans="2:3" ht="12.75">
      <c r="B302" s="1"/>
      <c r="C302" s="6"/>
    </row>
    <row r="303" spans="2:3" ht="12.75">
      <c r="B303" s="1"/>
      <c r="C303" s="6"/>
    </row>
    <row r="304" spans="2:3" ht="12.75">
      <c r="B304" s="1"/>
      <c r="C304" s="6"/>
    </row>
    <row r="305" spans="2:3" ht="12.75">
      <c r="B305" s="1"/>
      <c r="C305" s="6"/>
    </row>
    <row r="306" spans="2:3" ht="12.75">
      <c r="B306" s="1"/>
      <c r="C306" s="6"/>
    </row>
    <row r="307" spans="2:3" ht="12.75">
      <c r="B307" s="1"/>
      <c r="C307" s="6"/>
    </row>
    <row r="308" spans="2:3" ht="12.75">
      <c r="B308" s="1"/>
      <c r="C308" s="6"/>
    </row>
    <row r="309" spans="2:3" ht="12.75">
      <c r="B309" s="1"/>
      <c r="C309" s="6"/>
    </row>
    <row r="310" spans="2:3" ht="12.75">
      <c r="B310" s="1"/>
      <c r="C310" s="6"/>
    </row>
    <row r="311" spans="2:3" ht="12.75">
      <c r="B311" s="1"/>
      <c r="C311" s="6"/>
    </row>
    <row r="312" spans="2:3" ht="12.75">
      <c r="B312" s="1"/>
      <c r="C312" s="6"/>
    </row>
    <row r="313" spans="2:3" ht="12.75">
      <c r="B313" s="1"/>
      <c r="C313" s="6"/>
    </row>
    <row r="314" spans="2:3" ht="12.75">
      <c r="B314" s="1"/>
      <c r="C314" s="6"/>
    </row>
    <row r="315" spans="2:3" ht="12.75">
      <c r="B315" s="1"/>
      <c r="C315" s="6"/>
    </row>
    <row r="316" spans="2:3" ht="12.75">
      <c r="B316" s="1"/>
      <c r="C316" s="6"/>
    </row>
    <row r="317" spans="2:3" ht="12.75">
      <c r="B317" s="1"/>
      <c r="C317" s="6"/>
    </row>
    <row r="318" spans="2:3" ht="12.75">
      <c r="B318" s="1"/>
      <c r="C318" s="6"/>
    </row>
    <row r="319" spans="2:3" ht="12.75">
      <c r="B319" s="1"/>
      <c r="C319" s="6"/>
    </row>
    <row r="320" spans="2:3" ht="12.75">
      <c r="B320" s="1"/>
      <c r="C320" s="6"/>
    </row>
    <row r="321" spans="2:3" ht="12.75">
      <c r="B321" s="1"/>
      <c r="C321" s="6"/>
    </row>
    <row r="322" spans="2:3" ht="12.75">
      <c r="B322" s="1"/>
      <c r="C322" s="6"/>
    </row>
    <row r="323" spans="2:3" ht="12.75">
      <c r="B323" s="1"/>
      <c r="C323" s="6"/>
    </row>
    <row r="324" spans="2:3" ht="12.75">
      <c r="B324" s="1"/>
      <c r="C324" s="6"/>
    </row>
    <row r="325" spans="2:3" ht="12.75">
      <c r="B325" s="1"/>
      <c r="C325" s="6"/>
    </row>
    <row r="326" spans="2:3" ht="12.75">
      <c r="B326" s="1"/>
      <c r="C326" s="6"/>
    </row>
    <row r="327" spans="2:3" ht="12.75">
      <c r="B327" s="1"/>
      <c r="C327" s="6"/>
    </row>
    <row r="328" spans="2:3" ht="12.75">
      <c r="B328" s="1"/>
      <c r="C328" s="6"/>
    </row>
    <row r="329" spans="2:3" ht="12.75">
      <c r="B329" s="1"/>
      <c r="C329" s="6"/>
    </row>
    <row r="330" spans="2:3" ht="12.75">
      <c r="B330" s="1"/>
      <c r="C330" s="6"/>
    </row>
    <row r="331" spans="2:3" ht="12.75">
      <c r="B331" s="1"/>
      <c r="C331" s="6"/>
    </row>
    <row r="332" spans="2:3" ht="12.75">
      <c r="B332" s="1"/>
      <c r="C332" s="6"/>
    </row>
    <row r="333" spans="2:3" ht="12.75">
      <c r="B333" s="1"/>
      <c r="C333" s="6"/>
    </row>
    <row r="334" spans="2:3" ht="12.75">
      <c r="B334" s="1"/>
      <c r="C334" s="6"/>
    </row>
    <row r="335" spans="2:3" ht="12.75">
      <c r="B335" s="1"/>
      <c r="C335" s="6"/>
    </row>
    <row r="336" spans="2:3" ht="12.75">
      <c r="B336" s="1"/>
      <c r="C336" s="6"/>
    </row>
    <row r="337" spans="2:3" ht="12.75">
      <c r="B337" s="1"/>
      <c r="C337" s="6"/>
    </row>
    <row r="338" spans="2:3" ht="12.75">
      <c r="B338" s="1"/>
      <c r="C338" s="6"/>
    </row>
    <row r="339" spans="2:3" ht="12.75">
      <c r="B339" s="1"/>
      <c r="C339" s="6"/>
    </row>
    <row r="340" spans="2:3" ht="12.75">
      <c r="B340" s="1"/>
      <c r="C340" s="6"/>
    </row>
    <row r="341" spans="2:3" ht="12.75">
      <c r="B341" s="1"/>
      <c r="C341" s="6"/>
    </row>
    <row r="342" spans="2:3" ht="12.75">
      <c r="B342" s="1"/>
      <c r="C342" s="6"/>
    </row>
    <row r="343" spans="2:3" ht="12.75">
      <c r="B343" s="1"/>
      <c r="C343" s="6"/>
    </row>
    <row r="344" spans="2:3" ht="12.75">
      <c r="B344" s="1"/>
      <c r="C344" s="6"/>
    </row>
    <row r="345" spans="2:3" ht="12.75">
      <c r="B345" s="1"/>
      <c r="C345" s="6"/>
    </row>
    <row r="346" spans="2:3" ht="12.75">
      <c r="B346" s="1"/>
      <c r="C346" s="6"/>
    </row>
    <row r="347" spans="2:3" ht="12.75">
      <c r="B347" s="1"/>
      <c r="C347" s="6"/>
    </row>
    <row r="348" spans="2:3" ht="12.75">
      <c r="B348" s="1"/>
      <c r="C348" s="6"/>
    </row>
    <row r="349" spans="2:3" ht="12.75">
      <c r="B349" s="1"/>
      <c r="C349" s="6"/>
    </row>
    <row r="350" spans="2:3" ht="12.75">
      <c r="B350" s="1"/>
      <c r="C350" s="6"/>
    </row>
    <row r="351" spans="2:3" ht="12.75">
      <c r="B351" s="1"/>
      <c r="C351" s="6"/>
    </row>
    <row r="352" spans="2:3" ht="12.75">
      <c r="B352" s="1"/>
      <c r="C352" s="6"/>
    </row>
    <row r="353" spans="2:3" ht="12.75">
      <c r="B353" s="1"/>
      <c r="C353" s="6"/>
    </row>
    <row r="354" spans="2:3" ht="12.75">
      <c r="B354" s="1"/>
      <c r="C354" s="6"/>
    </row>
    <row r="355" spans="2:3" ht="12.75">
      <c r="B355" s="1"/>
      <c r="C355" s="6"/>
    </row>
    <row r="356" spans="2:3" ht="12.75">
      <c r="B356" s="1"/>
      <c r="C356" s="6"/>
    </row>
    <row r="357" spans="2:3" ht="12.75">
      <c r="B357" s="1"/>
      <c r="C357" s="6"/>
    </row>
    <row r="358" spans="2:3" ht="12.75">
      <c r="B358" s="1"/>
      <c r="C358" s="6"/>
    </row>
    <row r="359" spans="2:3" ht="12.75">
      <c r="B359" s="1"/>
      <c r="C359" s="6"/>
    </row>
    <row r="360" spans="2:3" ht="12.75">
      <c r="B360" s="1"/>
      <c r="C360" s="6"/>
    </row>
    <row r="361" spans="2:3" ht="12.75">
      <c r="B361" s="1"/>
      <c r="C361" s="6"/>
    </row>
    <row r="362" spans="2:3" ht="12.75">
      <c r="B362" s="1"/>
      <c r="C362" s="6"/>
    </row>
    <row r="363" spans="2:3" ht="12.75">
      <c r="B363" s="1"/>
      <c r="C363" s="6"/>
    </row>
    <row r="364" spans="2:3" ht="12.75">
      <c r="B364" s="1"/>
      <c r="C364" s="6"/>
    </row>
    <row r="365" spans="2:3" ht="12.75">
      <c r="B365" s="1"/>
      <c r="C365" s="6"/>
    </row>
    <row r="366" spans="2:3" ht="12.75">
      <c r="B366" s="1"/>
      <c r="C366" s="6"/>
    </row>
    <row r="367" spans="2:3" ht="12.75">
      <c r="B367" s="1"/>
      <c r="C367" s="6"/>
    </row>
    <row r="368" spans="2:3" ht="12.75">
      <c r="B368" s="1"/>
      <c r="C368" s="6"/>
    </row>
    <row r="369" spans="2:3" ht="12.75">
      <c r="B369" s="1"/>
      <c r="C369" s="6"/>
    </row>
    <row r="370" spans="2:3" ht="12.75">
      <c r="B370" s="1"/>
      <c r="C370" s="6"/>
    </row>
    <row r="371" spans="2:3" ht="12.75">
      <c r="B371" s="1"/>
      <c r="C371" s="6"/>
    </row>
    <row r="372" spans="2:3" ht="12.75">
      <c r="B372" s="1"/>
      <c r="C372" s="6"/>
    </row>
    <row r="373" spans="2:3" ht="12.75">
      <c r="B373" s="1"/>
      <c r="C373" s="6"/>
    </row>
    <row r="374" spans="2:3" ht="12.75">
      <c r="B374" s="1"/>
      <c r="C374" s="6"/>
    </row>
    <row r="375" spans="2:3" ht="12.75">
      <c r="B375" s="1"/>
      <c r="C375" s="6"/>
    </row>
    <row r="376" spans="2:3" ht="12.75">
      <c r="B376" s="1"/>
      <c r="C376" s="6"/>
    </row>
    <row r="377" spans="2:3" ht="12.75">
      <c r="B377" s="1"/>
      <c r="C377" s="6"/>
    </row>
    <row r="378" spans="2:3" ht="12.75">
      <c r="B378" s="1"/>
      <c r="C378" s="6"/>
    </row>
    <row r="379" spans="2:3" ht="12.75">
      <c r="B379" s="1"/>
      <c r="C379" s="6"/>
    </row>
    <row r="380" spans="2:3" ht="12.75">
      <c r="B380" s="1"/>
      <c r="C380" s="6"/>
    </row>
    <row r="381" spans="2:3" ht="12.75">
      <c r="B381" s="1"/>
      <c r="C381" s="6"/>
    </row>
    <row r="382" spans="2:3" ht="12.75">
      <c r="B382" s="1"/>
      <c r="C382" s="6"/>
    </row>
    <row r="383" spans="2:3" ht="12.75">
      <c r="B383" s="1"/>
      <c r="C383" s="6"/>
    </row>
    <row r="384" spans="2:3" ht="12.75">
      <c r="B384" s="1"/>
      <c r="C384" s="6"/>
    </row>
    <row r="385" spans="2:3" ht="12.75">
      <c r="B385" s="1"/>
      <c r="C385" s="6"/>
    </row>
    <row r="386" spans="2:3" ht="12.75">
      <c r="B386" s="1"/>
      <c r="C386" s="6"/>
    </row>
    <row r="387" spans="2:3" ht="12.75">
      <c r="B387" s="1"/>
      <c r="C387" s="6"/>
    </row>
    <row r="388" spans="2:3" ht="12.75">
      <c r="B388" s="1"/>
      <c r="C388" s="6"/>
    </row>
    <row r="389" spans="2:3" ht="12.75">
      <c r="B389" s="1"/>
      <c r="C389" s="6"/>
    </row>
    <row r="390" spans="2:3" ht="12.75">
      <c r="B390" s="1"/>
      <c r="C390" s="6"/>
    </row>
    <row r="391" spans="2:3" ht="12.75">
      <c r="B391" s="1"/>
      <c r="C391" s="6"/>
    </row>
    <row r="392" spans="2:3" ht="12.75">
      <c r="B392" s="1"/>
      <c r="C392" s="6"/>
    </row>
    <row r="393" spans="2:3" ht="12.75">
      <c r="B393" s="1"/>
      <c r="C393" s="6"/>
    </row>
    <row r="394" spans="2:3" ht="12.75">
      <c r="B394" s="1"/>
      <c r="C394" s="6"/>
    </row>
    <row r="395" spans="2:3" ht="12.75">
      <c r="B395" s="1"/>
      <c r="C395" s="6"/>
    </row>
    <row r="396" spans="2:3" ht="12.75">
      <c r="B396" s="1"/>
      <c r="C396" s="6"/>
    </row>
    <row r="397" spans="2:3" ht="12.75">
      <c r="B397" s="1"/>
      <c r="C397" s="6"/>
    </row>
    <row r="398" spans="2:3" ht="12.75">
      <c r="B398" s="1"/>
      <c r="C398" s="6"/>
    </row>
    <row r="399" spans="2:3" ht="12.75">
      <c r="B399" s="1"/>
      <c r="C399" s="6"/>
    </row>
    <row r="400" spans="2:3" ht="12.75">
      <c r="B400" s="1"/>
      <c r="C400" s="6"/>
    </row>
    <row r="401" spans="2:3" ht="12.75">
      <c r="B401" s="1"/>
      <c r="C401" s="6"/>
    </row>
    <row r="402" spans="2:3" ht="12.75">
      <c r="B402" s="1"/>
      <c r="C402" s="6"/>
    </row>
    <row r="403" spans="2:3" ht="12.75">
      <c r="B403" s="1"/>
      <c r="C403" s="6"/>
    </row>
    <row r="404" spans="2:3" ht="12.75">
      <c r="B404" s="1"/>
      <c r="C404" s="6"/>
    </row>
    <row r="405" spans="2:3" ht="12.75">
      <c r="B405" s="1"/>
      <c r="C405" s="6"/>
    </row>
    <row r="406" spans="2:3" ht="12.75">
      <c r="B406" s="1"/>
      <c r="C406" s="6"/>
    </row>
    <row r="407" spans="2:3" ht="12.75">
      <c r="B407" s="1"/>
      <c r="C407" s="6"/>
    </row>
    <row r="408" spans="2:3" ht="12.75">
      <c r="B408" s="1"/>
      <c r="C408" s="6"/>
    </row>
    <row r="409" spans="2:3" ht="12.75">
      <c r="B409" s="1"/>
      <c r="C409" s="6"/>
    </row>
    <row r="410" spans="2:3" ht="12.75">
      <c r="B410" s="1"/>
      <c r="C410" s="6"/>
    </row>
    <row r="411" spans="2:3" ht="12.75">
      <c r="B411" s="1"/>
      <c r="C411" s="6"/>
    </row>
    <row r="412" spans="2:3" ht="12.75">
      <c r="B412" s="1"/>
      <c r="C412" s="6"/>
    </row>
    <row r="413" spans="2:3" ht="12.75">
      <c r="B413" s="1"/>
      <c r="C413" s="6"/>
    </row>
    <row r="414" spans="2:3" ht="12.75">
      <c r="B414" s="1"/>
      <c r="C414" s="6"/>
    </row>
    <row r="415" spans="2:3" ht="12.75">
      <c r="B415" s="1"/>
      <c r="C415" s="6"/>
    </row>
    <row r="416" spans="2:3" ht="12.75">
      <c r="B416" s="1"/>
      <c r="C416" s="6"/>
    </row>
    <row r="417" spans="2:3" ht="12.75">
      <c r="B417" s="1"/>
      <c r="C417" s="6"/>
    </row>
    <row r="418" spans="2:3" ht="12.75">
      <c r="B418" s="1"/>
      <c r="C418" s="6"/>
    </row>
    <row r="419" spans="2:3" ht="12.75">
      <c r="B419" s="1"/>
      <c r="C419" s="6"/>
    </row>
    <row r="420" spans="2:3" ht="12.75">
      <c r="B420" s="1"/>
      <c r="C420" s="6"/>
    </row>
    <row r="421" spans="2:3" ht="12.75">
      <c r="B421" s="1"/>
      <c r="C421" s="6"/>
    </row>
    <row r="422" spans="2:3" ht="12.75">
      <c r="B422" s="1"/>
      <c r="C422" s="6"/>
    </row>
    <row r="423" spans="2:3" ht="12.75">
      <c r="B423" s="1"/>
      <c r="C423" s="6"/>
    </row>
    <row r="424" spans="2:3" ht="12.75">
      <c r="B424" s="1"/>
      <c r="C424" s="6"/>
    </row>
    <row r="425" spans="2:3" ht="12.75">
      <c r="B425" s="1"/>
      <c r="C425" s="6"/>
    </row>
    <row r="426" spans="2:3" ht="12.75">
      <c r="B426" s="1"/>
      <c r="C426" s="6"/>
    </row>
    <row r="427" spans="2:3" ht="12.75">
      <c r="B427" s="1"/>
      <c r="C427" s="6"/>
    </row>
    <row r="428" spans="2:3" ht="12.75">
      <c r="B428" s="1"/>
      <c r="C428" s="6"/>
    </row>
    <row r="429" spans="2:3" ht="12.75">
      <c r="B429" s="1"/>
      <c r="C429" s="6"/>
    </row>
    <row r="430" spans="2:3" ht="12.75">
      <c r="B430" s="1"/>
      <c r="C430" s="6"/>
    </row>
    <row r="431" spans="2:3" ht="12.75">
      <c r="B431" s="1"/>
      <c r="C431" s="6"/>
    </row>
    <row r="432" spans="2:3" ht="12.75">
      <c r="B432" s="1"/>
      <c r="C432" s="6"/>
    </row>
    <row r="433" spans="2:3" ht="12.75">
      <c r="B433" s="1"/>
      <c r="C433" s="6"/>
    </row>
    <row r="434" spans="2:3" ht="12.75">
      <c r="B434" s="1"/>
      <c r="C434" s="6"/>
    </row>
    <row r="435" spans="2:3" ht="12.75">
      <c r="B435" s="1"/>
      <c r="C435" s="6"/>
    </row>
    <row r="436" spans="2:3" ht="12.75">
      <c r="B436" s="1"/>
      <c r="C436" s="6"/>
    </row>
    <row r="437" spans="2:3" ht="12.75">
      <c r="B437" s="1"/>
      <c r="C437" s="6"/>
    </row>
    <row r="438" spans="2:3" ht="12.75">
      <c r="B438" s="1"/>
      <c r="C438" s="6"/>
    </row>
    <row r="439" spans="2:3" ht="12.75">
      <c r="B439" s="1"/>
      <c r="C439" s="6"/>
    </row>
    <row r="440" spans="2:3" ht="12.75">
      <c r="B440" s="1"/>
      <c r="C440" s="6"/>
    </row>
    <row r="441" spans="2:3" ht="12.75">
      <c r="B441" s="1"/>
      <c r="C441" s="6"/>
    </row>
    <row r="442" spans="2:3" ht="12.75">
      <c r="B442" s="1"/>
      <c r="C442" s="6"/>
    </row>
    <row r="443" spans="2:3" ht="12.75">
      <c r="B443" s="1"/>
      <c r="C443" s="6"/>
    </row>
    <row r="444" spans="2:3" ht="12.75">
      <c r="B444" s="1"/>
      <c r="C444" s="6"/>
    </row>
    <row r="445" spans="2:3" ht="12.75">
      <c r="B445" s="1"/>
      <c r="C445" s="6"/>
    </row>
    <row r="446" spans="2:3" ht="12.75">
      <c r="B446" s="1"/>
      <c r="C446" s="6"/>
    </row>
    <row r="447" spans="2:3" ht="12.75">
      <c r="B447" s="1"/>
      <c r="C447" s="6"/>
    </row>
    <row r="448" spans="2:3" ht="12.75">
      <c r="B448" s="1"/>
      <c r="C448" s="6"/>
    </row>
    <row r="449" spans="2:3" ht="12.75">
      <c r="B449" s="1"/>
      <c r="C449" s="6"/>
    </row>
    <row r="450" spans="2:3" ht="12.75">
      <c r="B450" s="1"/>
      <c r="C450" s="6"/>
    </row>
    <row r="451" spans="2:3" ht="12.75">
      <c r="B451" s="1"/>
      <c r="C451" s="6"/>
    </row>
    <row r="452" spans="2:3" ht="12.75">
      <c r="B452" s="1"/>
      <c r="C452" s="6"/>
    </row>
    <row r="453" spans="2:3" ht="12.75">
      <c r="B453" s="1"/>
      <c r="C453" s="6"/>
    </row>
    <row r="454" spans="2:3" ht="12.75">
      <c r="B454" s="1"/>
      <c r="C454" s="6"/>
    </row>
    <row r="455" spans="2:3" ht="12.75">
      <c r="B455" s="1"/>
      <c r="C455" s="6"/>
    </row>
    <row r="456" spans="2:3" ht="12.75">
      <c r="B456" s="1"/>
      <c r="C456" s="6"/>
    </row>
    <row r="457" spans="2:3" ht="12.75">
      <c r="B457" s="1"/>
      <c r="C457" s="6"/>
    </row>
    <row r="458" spans="2:3" ht="12.75">
      <c r="B458" s="1"/>
      <c r="C458" s="6"/>
    </row>
    <row r="459" spans="2:3" ht="12.75">
      <c r="B459" s="1"/>
      <c r="C459" s="6"/>
    </row>
    <row r="460" spans="2:3" ht="12.75">
      <c r="B460" s="1"/>
      <c r="C460" s="6"/>
    </row>
    <row r="461" spans="2:3" ht="12.75">
      <c r="B461" s="1"/>
      <c r="C461" s="6"/>
    </row>
    <row r="462" spans="2:3" ht="12.75">
      <c r="B462" s="1"/>
      <c r="C462" s="6"/>
    </row>
    <row r="463" spans="2:3" ht="12.75">
      <c r="B463" s="1"/>
      <c r="C463" s="6"/>
    </row>
    <row r="464" spans="2:3" ht="12.75">
      <c r="B464" s="1"/>
      <c r="C464" s="6"/>
    </row>
    <row r="465" spans="2:3" ht="12.75">
      <c r="B465" s="1"/>
      <c r="C465" s="6"/>
    </row>
    <row r="466" spans="2:3" ht="12.75">
      <c r="B466" s="1"/>
      <c r="C466" s="6"/>
    </row>
    <row r="467" spans="2:3" ht="12.75">
      <c r="B467" s="1"/>
      <c r="C467" s="6"/>
    </row>
    <row r="468" spans="2:3" ht="12.75">
      <c r="B468" s="1"/>
      <c r="C468" s="6"/>
    </row>
    <row r="469" spans="2:3" ht="12.75">
      <c r="B469" s="1"/>
      <c r="C469" s="6"/>
    </row>
    <row r="470" spans="2:3" ht="12.75">
      <c r="B470" s="1"/>
      <c r="C470" s="6"/>
    </row>
    <row r="471" spans="2:3" ht="12.75">
      <c r="B471" s="1"/>
      <c r="C471" s="6"/>
    </row>
    <row r="472" spans="2:3" ht="12.75">
      <c r="B472" s="1"/>
      <c r="C472" s="6"/>
    </row>
    <row r="473" spans="2:3" ht="12.75">
      <c r="B473" s="1"/>
      <c r="C473" s="6"/>
    </row>
    <row r="474" spans="2:3" ht="12.75">
      <c r="B474" s="1"/>
      <c r="C474" s="6"/>
    </row>
    <row r="475" spans="2:3" ht="12.75">
      <c r="B475" s="1"/>
      <c r="C475" s="6"/>
    </row>
    <row r="476" spans="2:3" ht="12.75">
      <c r="B476" s="1"/>
      <c r="C476" s="6"/>
    </row>
    <row r="477" spans="2:3" ht="12.75">
      <c r="B477" s="1"/>
      <c r="C477" s="6"/>
    </row>
    <row r="478" spans="2:3" ht="12.75">
      <c r="B478" s="1"/>
      <c r="C478" s="6"/>
    </row>
    <row r="479" spans="2:3" ht="12.75">
      <c r="B479" s="1"/>
      <c r="C479" s="6"/>
    </row>
    <row r="480" spans="2:3" ht="12.75">
      <c r="B480" s="1"/>
      <c r="C480" s="6"/>
    </row>
    <row r="481" spans="2:3" ht="12.75">
      <c r="B481" s="1"/>
      <c r="C481" s="6"/>
    </row>
    <row r="482" spans="2:3" ht="12.75">
      <c r="B482" s="1"/>
      <c r="C482" s="6"/>
    </row>
    <row r="483" spans="2:3" ht="12.75">
      <c r="B483" s="1"/>
      <c r="C483" s="6"/>
    </row>
    <row r="484" spans="2:3" ht="12.75">
      <c r="B484" s="1"/>
      <c r="C484" s="6"/>
    </row>
    <row r="485" spans="2:3" ht="12.75">
      <c r="B485" s="1"/>
      <c r="C485" s="6"/>
    </row>
    <row r="486" spans="2:3" ht="12.75">
      <c r="B486" s="1"/>
      <c r="C486" s="6"/>
    </row>
    <row r="487" spans="2:3" ht="12.75">
      <c r="B487" s="1"/>
      <c r="C487" s="6"/>
    </row>
    <row r="488" spans="2:3" ht="12.75">
      <c r="B488" s="1"/>
      <c r="C488" s="6"/>
    </row>
    <row r="489" spans="2:3" ht="12.75">
      <c r="B489" s="1"/>
      <c r="C489" s="6"/>
    </row>
    <row r="490" spans="2:3" ht="12.75">
      <c r="B490" s="1"/>
      <c r="C490" s="6"/>
    </row>
    <row r="491" spans="2:3" ht="12.75">
      <c r="B491" s="1"/>
      <c r="C491" s="6"/>
    </row>
    <row r="492" spans="2:3" ht="12.75">
      <c r="B492" s="1"/>
      <c r="C492" s="6"/>
    </row>
    <row r="493" spans="2:3" ht="12.75">
      <c r="B493" s="1"/>
      <c r="C493" s="6"/>
    </row>
    <row r="494" spans="2:3" ht="12.75">
      <c r="B494" s="1"/>
      <c r="C494" s="6"/>
    </row>
    <row r="495" spans="2:3" ht="12.75">
      <c r="B495" s="1"/>
      <c r="C495" s="6"/>
    </row>
    <row r="496" spans="2:3" ht="12.75">
      <c r="B496" s="1"/>
      <c r="C496" s="6"/>
    </row>
    <row r="497" spans="2:3" ht="12.75">
      <c r="B497" s="1"/>
      <c r="C497" s="6"/>
    </row>
    <row r="498" spans="2:3" ht="12.75">
      <c r="B498" s="1"/>
      <c r="C498" s="6"/>
    </row>
    <row r="499" spans="2:3" ht="12.75">
      <c r="B499" s="1"/>
      <c r="C499" s="6"/>
    </row>
    <row r="500" spans="2:3" ht="12.75">
      <c r="B500" s="1"/>
      <c r="C500" s="6"/>
    </row>
    <row r="501" spans="2:3" ht="12.75">
      <c r="B501" s="1"/>
      <c r="C501" s="6"/>
    </row>
    <row r="502" spans="2:3" ht="12.75">
      <c r="B502" s="1"/>
      <c r="C502" s="6"/>
    </row>
    <row r="503" spans="2:3" ht="12.75">
      <c r="B503" s="1"/>
      <c r="C503" s="6"/>
    </row>
    <row r="504" spans="2:3" ht="12.75">
      <c r="B504" s="1"/>
      <c r="C504" s="6"/>
    </row>
    <row r="505" spans="2:3" ht="12.75">
      <c r="B505" s="1"/>
      <c r="C505" s="6"/>
    </row>
    <row r="506" spans="2:3" ht="12.75">
      <c r="B506" s="1"/>
      <c r="C506" s="6"/>
    </row>
    <row r="507" spans="2:3" ht="12.75">
      <c r="B507" s="1"/>
      <c r="C507" s="6"/>
    </row>
    <row r="508" spans="2:3" ht="12.75">
      <c r="B508" s="1"/>
      <c r="C508" s="6"/>
    </row>
    <row r="509" spans="2:3" ht="12.75">
      <c r="B509" s="1"/>
      <c r="C509" s="6"/>
    </row>
    <row r="510" spans="2:3" ht="12.75">
      <c r="B510" s="1"/>
      <c r="C510" s="6"/>
    </row>
    <row r="511" spans="2:3" ht="12.75">
      <c r="B511" s="1"/>
      <c r="C511" s="6"/>
    </row>
    <row r="512" spans="2:3" ht="12.75">
      <c r="B512" s="1"/>
      <c r="C512" s="6"/>
    </row>
    <row r="513" spans="2:3" ht="12.75">
      <c r="B513" s="1"/>
      <c r="C513" s="6"/>
    </row>
    <row r="514" spans="2:3" ht="12.75">
      <c r="B514" s="1"/>
      <c r="C514" s="6"/>
    </row>
    <row r="515" spans="2:3" ht="12.75">
      <c r="B515" s="1"/>
      <c r="C515" s="6"/>
    </row>
    <row r="516" spans="2:3" ht="12.75">
      <c r="B516" s="1"/>
      <c r="C516" s="6"/>
    </row>
    <row r="517" spans="2:3" ht="12.75">
      <c r="B517" s="1"/>
      <c r="C517" s="6"/>
    </row>
    <row r="518" spans="2:3" ht="12.75">
      <c r="B518" s="1"/>
      <c r="C518" s="6"/>
    </row>
    <row r="519" spans="2:3" ht="12.75">
      <c r="B519" s="1"/>
      <c r="C519" s="6"/>
    </row>
    <row r="520" spans="2:3" ht="12.75">
      <c r="B520" s="1"/>
      <c r="C520" s="6"/>
    </row>
    <row r="521" spans="2:3" ht="12.75">
      <c r="B521" s="1"/>
      <c r="C521" s="6"/>
    </row>
    <row r="522" spans="2:3" ht="12.75">
      <c r="B522" s="1"/>
      <c r="C522" s="6"/>
    </row>
    <row r="523" spans="2:3" ht="12.75">
      <c r="B523" s="1"/>
      <c r="C523" s="6"/>
    </row>
    <row r="524" spans="2:3" ht="12.75">
      <c r="B524" s="1"/>
      <c r="C524" s="6"/>
    </row>
    <row r="525" spans="2:3" ht="12.75">
      <c r="B525" s="1"/>
      <c r="C525" s="6"/>
    </row>
    <row r="526" spans="2:3" ht="12.75">
      <c r="B526" s="1"/>
      <c r="C526" s="6"/>
    </row>
    <row r="527" spans="2:3" ht="12.75">
      <c r="B527" s="1"/>
      <c r="C527" s="6"/>
    </row>
    <row r="528" spans="2:3" ht="12.75">
      <c r="B528" s="1"/>
      <c r="C528" s="6"/>
    </row>
    <row r="529" spans="2:3" ht="12.75">
      <c r="B529" s="1"/>
      <c r="C529" s="6"/>
    </row>
    <row r="530" spans="2:3" ht="12.75">
      <c r="B530" s="1"/>
      <c r="C530" s="6"/>
    </row>
    <row r="531" spans="2:3" ht="12.75">
      <c r="B531" s="1"/>
      <c r="C531" s="6"/>
    </row>
    <row r="532" spans="2:3" ht="12.75">
      <c r="B532" s="1"/>
      <c r="C532" s="6"/>
    </row>
    <row r="533" spans="2:3" ht="12.75">
      <c r="B533" s="1"/>
      <c r="C533" s="6"/>
    </row>
    <row r="534" spans="2:3" ht="12.75">
      <c r="B534" s="1"/>
      <c r="C534" s="6"/>
    </row>
    <row r="535" spans="2:3" ht="12.75">
      <c r="B535" s="1"/>
      <c r="C535" s="6"/>
    </row>
    <row r="536" spans="2:3" ht="12.75">
      <c r="B536" s="1"/>
      <c r="C536" s="6"/>
    </row>
    <row r="537" spans="2:3" ht="12.75">
      <c r="B537" s="1"/>
      <c r="C537" s="6"/>
    </row>
    <row r="538" spans="2:3" ht="12.75">
      <c r="B538" s="1"/>
      <c r="C538" s="6"/>
    </row>
    <row r="539" spans="2:3" ht="12.75">
      <c r="B539" s="1"/>
      <c r="C539" s="6"/>
    </row>
    <row r="540" spans="2:3" ht="12.75">
      <c r="B540" s="1"/>
      <c r="C540" s="6"/>
    </row>
    <row r="541" spans="2:3" ht="12.75">
      <c r="B541" s="1"/>
      <c r="C541" s="6"/>
    </row>
    <row r="542" spans="2:3" ht="12.75">
      <c r="B542" s="1"/>
      <c r="C542" s="6"/>
    </row>
    <row r="543" spans="2:3" ht="12.75">
      <c r="B543" s="1"/>
      <c r="C543" s="6"/>
    </row>
    <row r="544" spans="2:3" ht="12.75">
      <c r="B544" s="1"/>
      <c r="C544" s="6"/>
    </row>
    <row r="545" spans="2:3" ht="12.75">
      <c r="B545" s="1"/>
      <c r="C545" s="6"/>
    </row>
    <row r="546" spans="2:3" ht="12.75">
      <c r="B546" s="1"/>
      <c r="C546" s="6"/>
    </row>
    <row r="547" spans="2:3" ht="12.75">
      <c r="B547" s="1"/>
      <c r="C547" s="6"/>
    </row>
    <row r="548" spans="2:3" ht="12.75">
      <c r="B548" s="1"/>
      <c r="C548" s="6"/>
    </row>
    <row r="549" spans="2:3" ht="12.75">
      <c r="B549" s="1"/>
      <c r="C549" s="6"/>
    </row>
    <row r="550" spans="2:3" ht="12.75">
      <c r="B550" s="1"/>
      <c r="C550" s="6"/>
    </row>
    <row r="551" spans="2:3" ht="12.75">
      <c r="B551" s="1"/>
      <c r="C551" s="6"/>
    </row>
    <row r="552" spans="2:3" ht="12.75">
      <c r="B552" s="1"/>
      <c r="C552" s="6"/>
    </row>
    <row r="553" spans="2:3" ht="12.75">
      <c r="B553" s="1"/>
      <c r="C553" s="6"/>
    </row>
    <row r="554" spans="2:3" ht="12.75">
      <c r="B554" s="1"/>
      <c r="C554" s="6"/>
    </row>
    <row r="555" spans="2:3" ht="12.75">
      <c r="B555" s="1"/>
      <c r="C555" s="6"/>
    </row>
    <row r="556" spans="2:3" ht="12.75">
      <c r="B556" s="1"/>
      <c r="C556" s="6"/>
    </row>
    <row r="557" spans="2:3" ht="12.75">
      <c r="B557" s="1"/>
      <c r="C557" s="6"/>
    </row>
    <row r="558" spans="2:3" ht="12.75">
      <c r="B558" s="1"/>
      <c r="C558" s="6"/>
    </row>
    <row r="559" spans="2:3" ht="12.75">
      <c r="B559" s="1"/>
      <c r="C559" s="6"/>
    </row>
    <row r="560" spans="2:3" ht="12.75">
      <c r="B560" s="1"/>
      <c r="C560" s="6"/>
    </row>
    <row r="561" spans="2:3" ht="12.75">
      <c r="B561" s="1"/>
      <c r="C561" s="6"/>
    </row>
    <row r="562" spans="2:3" ht="12.75">
      <c r="B562" s="1"/>
      <c r="C562" s="6"/>
    </row>
    <row r="563" spans="2:3" ht="12.75">
      <c r="B563" s="1"/>
      <c r="C563" s="6"/>
    </row>
    <row r="564" spans="2:3" ht="12.75">
      <c r="B564" s="1"/>
      <c r="C564" s="6"/>
    </row>
    <row r="565" spans="2:3" ht="12.75">
      <c r="B565" s="1"/>
      <c r="C565" s="6"/>
    </row>
    <row r="566" spans="2:3" ht="12.75">
      <c r="B566" s="1"/>
      <c r="C566" s="6"/>
    </row>
    <row r="567" spans="2:3" ht="12.75">
      <c r="B567" s="1"/>
      <c r="C567" s="6"/>
    </row>
    <row r="568" spans="2:3" ht="12.75">
      <c r="B568" s="1"/>
      <c r="C568" s="6"/>
    </row>
    <row r="569" spans="2:3" ht="12.75">
      <c r="B569" s="1"/>
      <c r="C569" s="6"/>
    </row>
    <row r="570" spans="2:3" ht="12.75">
      <c r="B570" s="1"/>
      <c r="C570" s="6"/>
    </row>
    <row r="571" spans="2:3" ht="12.75">
      <c r="B571" s="1"/>
      <c r="C571" s="6"/>
    </row>
    <row r="572" spans="2:3" ht="12.75">
      <c r="B572" s="1"/>
      <c r="C572" s="6"/>
    </row>
    <row r="573" spans="2:3" ht="12.75">
      <c r="B573" s="1"/>
      <c r="C573" s="6"/>
    </row>
    <row r="574" spans="2:3" ht="12.75">
      <c r="B574" s="1"/>
      <c r="C574" s="6"/>
    </row>
    <row r="575" spans="2:3" ht="12.75">
      <c r="B575" s="1"/>
      <c r="C575" s="6"/>
    </row>
    <row r="576" spans="2:3" ht="12.75">
      <c r="B576" s="1"/>
      <c r="C576" s="6"/>
    </row>
    <row r="577" spans="2:3" ht="12.75">
      <c r="B577" s="1"/>
      <c r="C577" s="6"/>
    </row>
    <row r="578" spans="2:3" ht="12.75">
      <c r="B578" s="1"/>
      <c r="C578" s="6"/>
    </row>
    <row r="579" spans="2:3" ht="12.75">
      <c r="B579" s="1"/>
      <c r="C579" s="6"/>
    </row>
    <row r="580" spans="2:3" ht="12.75">
      <c r="B580" s="1"/>
      <c r="C580" s="6"/>
    </row>
    <row r="581" spans="2:3" ht="12.75">
      <c r="B581" s="1"/>
      <c r="C581" s="6"/>
    </row>
    <row r="582" spans="2:3" ht="12.75">
      <c r="B582" s="1"/>
      <c r="C582" s="6"/>
    </row>
    <row r="583" spans="2:3" ht="12.75">
      <c r="B583" s="1"/>
      <c r="C583" s="6"/>
    </row>
    <row r="584" spans="2:3" ht="12.75">
      <c r="B584" s="1"/>
      <c r="C584" s="6"/>
    </row>
    <row r="585" spans="2:3" ht="12.75">
      <c r="B585" s="1"/>
      <c r="C585" s="6"/>
    </row>
    <row r="586" spans="2:3" ht="12.75">
      <c r="B586" s="1"/>
      <c r="C586" s="6"/>
    </row>
    <row r="587" spans="2:3" ht="12.75">
      <c r="B587" s="1"/>
      <c r="C587" s="6"/>
    </row>
    <row r="588" spans="2:3" ht="12.75">
      <c r="B588" s="1"/>
      <c r="C588" s="6"/>
    </row>
    <row r="589" spans="2:3" ht="12.75">
      <c r="B589" s="1"/>
      <c r="C589" s="6"/>
    </row>
    <row r="590" spans="2:3" ht="12.75">
      <c r="B590" s="1"/>
      <c r="C590" s="6"/>
    </row>
    <row r="591" spans="2:3" ht="12.75">
      <c r="B591" s="1"/>
      <c r="C591" s="6"/>
    </row>
    <row r="592" spans="2:3" ht="12.75">
      <c r="B592" s="1"/>
      <c r="C592" s="6"/>
    </row>
    <row r="593" spans="2:3" ht="12.75">
      <c r="B593" s="1"/>
      <c r="C593" s="6"/>
    </row>
    <row r="594" spans="2:3" ht="12.75">
      <c r="B594" s="1"/>
      <c r="C594" s="6"/>
    </row>
    <row r="595" spans="2:3" ht="12.75">
      <c r="B595" s="1"/>
      <c r="C595" s="6"/>
    </row>
    <row r="596" spans="2:3" ht="12.75">
      <c r="B596" s="1"/>
      <c r="C596" s="6"/>
    </row>
    <row r="597" spans="2:3" ht="12.75">
      <c r="B597" s="1"/>
      <c r="C597" s="6"/>
    </row>
    <row r="598" spans="2:3" ht="12.75">
      <c r="B598" s="1"/>
      <c r="C598" s="6"/>
    </row>
    <row r="599" spans="2:3" ht="12.75">
      <c r="B599" s="1"/>
      <c r="C599" s="6"/>
    </row>
    <row r="600" spans="2:3" ht="12.75">
      <c r="B600" s="1"/>
      <c r="C600" s="6"/>
    </row>
    <row r="601" spans="2:3" ht="12.75">
      <c r="B601" s="1"/>
      <c r="C601" s="6"/>
    </row>
    <row r="602" spans="2:3" ht="12.75">
      <c r="B602" s="1"/>
      <c r="C602" s="6"/>
    </row>
    <row r="603" spans="2:3" ht="12.75">
      <c r="B603" s="1"/>
      <c r="C603" s="6"/>
    </row>
    <row r="604" spans="2:3" ht="12.75">
      <c r="B604" s="1"/>
      <c r="C604" s="6"/>
    </row>
    <row r="605" spans="2:3" ht="12.75">
      <c r="B605" s="1"/>
      <c r="C605" s="6"/>
    </row>
    <row r="606" spans="2:3" ht="12.75">
      <c r="B606" s="1"/>
      <c r="C606" s="6"/>
    </row>
    <row r="607" spans="2:3" ht="12.75">
      <c r="B607" s="1"/>
      <c r="C607" s="6"/>
    </row>
    <row r="608" spans="2:3" ht="12.75">
      <c r="B608" s="1"/>
      <c r="C608" s="6"/>
    </row>
    <row r="609" spans="2:3" ht="12.75">
      <c r="B609" s="1"/>
      <c r="C609" s="6"/>
    </row>
    <row r="610" spans="2:3" ht="12.75">
      <c r="B610" s="1"/>
      <c r="C610" s="6"/>
    </row>
    <row r="611" spans="2:3" ht="12.75">
      <c r="B611" s="1"/>
      <c r="C611" s="6"/>
    </row>
    <row r="612" spans="2:3" ht="12.75">
      <c r="B612" s="1"/>
      <c r="C612" s="6"/>
    </row>
    <row r="613" spans="2:3" ht="12.75">
      <c r="B613" s="1"/>
      <c r="C613" s="6"/>
    </row>
    <row r="614" spans="2:3" ht="12.75">
      <c r="B614" s="1"/>
      <c r="C614" s="6"/>
    </row>
    <row r="615" spans="2:3" ht="12.75">
      <c r="B615" s="1"/>
      <c r="C615" s="6"/>
    </row>
    <row r="616" spans="2:3" ht="12.75">
      <c r="B616" s="1"/>
      <c r="C616" s="6"/>
    </row>
    <row r="617" spans="2:3" ht="12.75">
      <c r="B617" s="1"/>
      <c r="C617" s="6"/>
    </row>
    <row r="618" spans="2:3" ht="12.75">
      <c r="B618" s="1"/>
      <c r="C618" s="6"/>
    </row>
    <row r="619" spans="2:3" ht="12.75">
      <c r="B619" s="1"/>
      <c r="C619" s="6"/>
    </row>
    <row r="620" spans="2:3" ht="12.75">
      <c r="B620" s="1"/>
      <c r="C620" s="6"/>
    </row>
    <row r="621" spans="2:3" ht="12.75">
      <c r="B621" s="1"/>
      <c r="C621" s="6"/>
    </row>
    <row r="622" spans="2:3" ht="12.75">
      <c r="B622" s="1"/>
      <c r="C622" s="6"/>
    </row>
    <row r="623" spans="2:3" ht="12.75">
      <c r="B623" s="1"/>
      <c r="C623" s="6"/>
    </row>
    <row r="624" spans="2:3" ht="12.75">
      <c r="B624" s="1"/>
      <c r="C624" s="6"/>
    </row>
    <row r="625" spans="2:3" ht="12.75">
      <c r="B625" s="1"/>
      <c r="C625" s="6"/>
    </row>
    <row r="626" spans="2:3" ht="12.75">
      <c r="B626" s="1"/>
      <c r="C626" s="6"/>
    </row>
    <row r="627" spans="2:3" ht="12.75">
      <c r="B627" s="1"/>
      <c r="C627" s="6"/>
    </row>
    <row r="628" spans="2:3" ht="12.75">
      <c r="B628" s="1"/>
      <c r="C628" s="6"/>
    </row>
    <row r="629" spans="2:3" ht="12.75">
      <c r="B629" s="1"/>
      <c r="C629" s="6"/>
    </row>
    <row r="630" spans="2:3" ht="12.75">
      <c r="B630" s="1"/>
      <c r="C630" s="6"/>
    </row>
    <row r="631" spans="2:3" ht="12.75">
      <c r="B631" s="1"/>
      <c r="C631" s="6"/>
    </row>
    <row r="632" spans="2:3" ht="12.75">
      <c r="B632" s="1"/>
      <c r="C632" s="6"/>
    </row>
    <row r="633" spans="2:3" ht="12.75">
      <c r="B633" s="1"/>
      <c r="C633" s="6"/>
    </row>
    <row r="634" spans="2:3" ht="12.75">
      <c r="B634" s="1"/>
      <c r="C634" s="6"/>
    </row>
    <row r="635" spans="2:3" ht="12.75">
      <c r="B635" s="1"/>
      <c r="C635" s="6"/>
    </row>
    <row r="636" spans="2:3" ht="12.75">
      <c r="B636" s="1"/>
      <c r="C636" s="6"/>
    </row>
    <row r="637" spans="2:3" ht="12.75">
      <c r="B637" s="1"/>
      <c r="C637" s="6"/>
    </row>
    <row r="638" spans="2:3" ht="12.75">
      <c r="B638" s="1"/>
      <c r="C638" s="6"/>
    </row>
    <row r="639" spans="2:3" ht="12.75">
      <c r="B639" s="1"/>
      <c r="C639" s="6"/>
    </row>
    <row r="640" spans="2:3" ht="12.75">
      <c r="B640" s="1"/>
      <c r="C640" s="6"/>
    </row>
    <row r="641" spans="2:3" ht="12.75">
      <c r="B641" s="1"/>
      <c r="C641" s="6"/>
    </row>
    <row r="642" spans="2:3" ht="12.75">
      <c r="B642" s="1"/>
      <c r="C642" s="6"/>
    </row>
    <row r="643" spans="2:3" ht="12.75">
      <c r="B643" s="1"/>
      <c r="C643" s="6"/>
    </row>
    <row r="644" spans="2:3" ht="12.75">
      <c r="B644" s="1"/>
      <c r="C644" s="6"/>
    </row>
    <row r="645" spans="2:3" ht="12.75">
      <c r="B645" s="1"/>
      <c r="C645" s="6"/>
    </row>
    <row r="646" spans="2:3" ht="12.75">
      <c r="B646" s="1"/>
      <c r="C646" s="6"/>
    </row>
    <row r="647" spans="2:3" ht="12.75">
      <c r="B647" s="1"/>
      <c r="C647" s="6"/>
    </row>
    <row r="648" spans="2:3" ht="12.75">
      <c r="B648" s="1"/>
      <c r="C648" s="6"/>
    </row>
    <row r="649" spans="2:3" ht="12.75">
      <c r="B649" s="1"/>
      <c r="C649" s="6"/>
    </row>
    <row r="650" spans="2:3" ht="12.75">
      <c r="B650" s="1"/>
      <c r="C650" s="6"/>
    </row>
    <row r="651" spans="2:3" ht="12.75">
      <c r="B651" s="1"/>
      <c r="C651" s="6"/>
    </row>
    <row r="652" spans="2:3" ht="12.75">
      <c r="B652" s="1"/>
      <c r="C652" s="6"/>
    </row>
    <row r="653" spans="2:3" ht="12.75">
      <c r="B653" s="1"/>
      <c r="C653" s="6"/>
    </row>
    <row r="654" spans="2:3" ht="12.75">
      <c r="B654" s="1"/>
      <c r="C654" s="6"/>
    </row>
    <row r="655" spans="2:3" ht="12.75">
      <c r="B655" s="1"/>
      <c r="C655" s="6"/>
    </row>
    <row r="656" spans="2:3" ht="12.75">
      <c r="B656" s="1"/>
      <c r="C656" s="6"/>
    </row>
    <row r="657" spans="2:3" ht="12.75">
      <c r="B657" s="1"/>
      <c r="C657" s="6"/>
    </row>
    <row r="658" spans="2:3" ht="12.75">
      <c r="B658" s="1"/>
      <c r="C658" s="6"/>
    </row>
    <row r="659" spans="2:3" ht="12.75">
      <c r="B659" s="1"/>
      <c r="C659" s="6"/>
    </row>
    <row r="660" spans="2:3" ht="12.75">
      <c r="B660" s="1"/>
      <c r="C660" s="6"/>
    </row>
    <row r="661" spans="2:3" ht="12.75">
      <c r="B661" s="1"/>
      <c r="C661" s="6"/>
    </row>
    <row r="662" spans="2:3" ht="12.75">
      <c r="B662" s="1"/>
      <c r="C662" s="6"/>
    </row>
    <row r="663" spans="2:3" ht="12.75">
      <c r="B663" s="1"/>
      <c r="C663" s="6"/>
    </row>
    <row r="664" spans="2:3" ht="12.75">
      <c r="B664" s="1"/>
      <c r="C664" s="6"/>
    </row>
    <row r="665" spans="2:3" ht="12.75">
      <c r="B665" s="1"/>
      <c r="C665" s="6"/>
    </row>
    <row r="666" spans="2:3" ht="12.75">
      <c r="B666" s="1"/>
      <c r="C666" s="6"/>
    </row>
    <row r="667" spans="2:3" ht="12.75">
      <c r="B667" s="1"/>
      <c r="C667" s="6"/>
    </row>
    <row r="668" spans="2:3" ht="12.75">
      <c r="B668" s="1"/>
      <c r="C668" s="6"/>
    </row>
    <row r="669" spans="2:3" ht="12.75">
      <c r="B669" s="1"/>
      <c r="C669" s="6"/>
    </row>
    <row r="670" spans="2:3" ht="12.75">
      <c r="B670" s="1"/>
      <c r="C670" s="6"/>
    </row>
    <row r="671" spans="2:3" ht="12.75">
      <c r="B671" s="1"/>
      <c r="C671" s="6"/>
    </row>
    <row r="672" spans="2:3" ht="12.75">
      <c r="B672" s="1"/>
      <c r="C672" s="6"/>
    </row>
    <row r="673" spans="2:3" ht="12.75">
      <c r="B673" s="1"/>
      <c r="C673" s="6"/>
    </row>
    <row r="674" spans="2:3" ht="12.75">
      <c r="B674" s="1"/>
      <c r="C674" s="6"/>
    </row>
    <row r="675" spans="2:3" ht="12.75">
      <c r="B675" s="1"/>
      <c r="C675" s="6"/>
    </row>
    <row r="676" spans="2:3" ht="12.75">
      <c r="B676" s="1"/>
      <c r="C676" s="6"/>
    </row>
    <row r="677" spans="2:3" ht="12.75">
      <c r="B677" s="1"/>
      <c r="C677" s="6"/>
    </row>
    <row r="678" spans="2:3" ht="12.75">
      <c r="B678" s="1"/>
      <c r="C678" s="6"/>
    </row>
    <row r="679" spans="2:3" ht="12.75">
      <c r="B679" s="1"/>
      <c r="C679" s="6"/>
    </row>
    <row r="680" spans="2:3" ht="12.75">
      <c r="B680" s="1"/>
      <c r="C680" s="6"/>
    </row>
    <row r="681" spans="2:3" ht="12.75">
      <c r="B681" s="1"/>
      <c r="C681" s="6"/>
    </row>
    <row r="682" spans="2:3" ht="12.75">
      <c r="B682" s="1"/>
      <c r="C682" s="6"/>
    </row>
    <row r="683" spans="2:3" ht="12.75">
      <c r="B683" s="1"/>
      <c r="C683" s="6"/>
    </row>
    <row r="684" spans="2:3" ht="12.75">
      <c r="B684" s="1"/>
      <c r="C684" s="6"/>
    </row>
    <row r="685" spans="2:3" ht="12.75">
      <c r="B685" s="1"/>
      <c r="C685" s="6"/>
    </row>
    <row r="686" spans="2:3" ht="12.75">
      <c r="B686" s="1"/>
      <c r="C686" s="6"/>
    </row>
    <row r="687" spans="2:3" ht="12.75">
      <c r="B687" s="1"/>
      <c r="C687" s="6"/>
    </row>
    <row r="688" spans="2:3" ht="12.75">
      <c r="B688" s="1"/>
      <c r="C688" s="6"/>
    </row>
    <row r="689" spans="2:3" ht="12.75">
      <c r="B689" s="1"/>
      <c r="C689" s="6"/>
    </row>
    <row r="690" spans="2:3" ht="12.75">
      <c r="B690" s="1"/>
      <c r="C690" s="6"/>
    </row>
    <row r="691" spans="2:3" ht="12.75">
      <c r="B691" s="1"/>
      <c r="C691" s="6"/>
    </row>
    <row r="692" spans="2:3" ht="12.75">
      <c r="B692" s="1"/>
      <c r="C692" s="6"/>
    </row>
    <row r="693" spans="2:3" ht="12.75">
      <c r="B693" s="1"/>
      <c r="C693" s="6"/>
    </row>
    <row r="694" spans="2:3" ht="12.75">
      <c r="B694" s="1"/>
      <c r="C694" s="6"/>
    </row>
    <row r="695" spans="2:3" ht="12.75">
      <c r="B695" s="1"/>
      <c r="C695" s="6"/>
    </row>
    <row r="696" spans="2:3" ht="12.75">
      <c r="B696" s="1"/>
      <c r="C696" s="6"/>
    </row>
    <row r="697" spans="2:3" ht="12.75">
      <c r="B697" s="1"/>
      <c r="C697" s="6"/>
    </row>
    <row r="698" spans="2:3" ht="12.75">
      <c r="B698" s="1"/>
      <c r="C698" s="6"/>
    </row>
    <row r="699" spans="2:3" ht="12.75">
      <c r="B699" s="1"/>
      <c r="C699" s="6"/>
    </row>
    <row r="700" spans="2:3" ht="12.75">
      <c r="B700" s="1"/>
      <c r="C700" s="6"/>
    </row>
    <row r="701" spans="2:3" ht="12.75">
      <c r="B701" s="1"/>
      <c r="C701" s="6"/>
    </row>
    <row r="702" spans="2:3" ht="12.75">
      <c r="B702" s="1"/>
      <c r="C702" s="6"/>
    </row>
    <row r="703" spans="2:3" ht="12.75">
      <c r="B703" s="1"/>
      <c r="C703" s="6"/>
    </row>
    <row r="704" spans="2:3" ht="12.75">
      <c r="B704" s="1"/>
      <c r="C704" s="6"/>
    </row>
    <row r="705" spans="2:3" ht="12.75">
      <c r="B705" s="1"/>
      <c r="C705" s="6"/>
    </row>
    <row r="706" spans="2:3" ht="12.75">
      <c r="B706" s="1"/>
      <c r="C706" s="6"/>
    </row>
    <row r="707" spans="2:3" ht="12.75">
      <c r="B707" s="1"/>
      <c r="C707" s="6"/>
    </row>
    <row r="708" spans="2:3" ht="12.75">
      <c r="B708" s="1"/>
      <c r="C708" s="6"/>
    </row>
    <row r="709" spans="2:3" ht="12.75">
      <c r="B709" s="1"/>
      <c r="C709" s="6"/>
    </row>
    <row r="710" spans="2:3" ht="12.75">
      <c r="B710" s="1"/>
      <c r="C710" s="6"/>
    </row>
    <row r="711" spans="2:3" ht="12.75">
      <c r="B711" s="1"/>
      <c r="C711" s="6"/>
    </row>
    <row r="712" spans="2:3" ht="12.75">
      <c r="B712" s="1"/>
      <c r="C712" s="6"/>
    </row>
    <row r="713" spans="2:3" ht="12.75">
      <c r="B713" s="1"/>
      <c r="C713" s="6"/>
    </row>
    <row r="714" spans="2:3" ht="12.75">
      <c r="B714" s="1"/>
      <c r="C714" s="6"/>
    </row>
    <row r="715" spans="2:3" ht="12.75">
      <c r="B715" s="1"/>
      <c r="C715" s="6"/>
    </row>
    <row r="716" spans="2:3" ht="12.75">
      <c r="B716" s="1"/>
      <c r="C716" s="6"/>
    </row>
    <row r="717" spans="2:3" ht="12.75">
      <c r="B717" s="1"/>
      <c r="C717" s="6"/>
    </row>
    <row r="718" spans="2:3" ht="12.75">
      <c r="B718" s="1"/>
      <c r="C718" s="6"/>
    </row>
    <row r="719" spans="2:3" ht="12.75">
      <c r="B719" s="1"/>
      <c r="C719" s="6"/>
    </row>
    <row r="720" spans="2:3" ht="12.75">
      <c r="B720" s="1"/>
      <c r="C720" s="6"/>
    </row>
    <row r="721" spans="2:3" ht="12.75">
      <c r="B721" s="1"/>
      <c r="C721" s="6"/>
    </row>
    <row r="722" spans="2:3" ht="12.75">
      <c r="B722" s="1"/>
      <c r="C722" s="6"/>
    </row>
    <row r="723" spans="2:3" ht="12.75">
      <c r="B723" s="1"/>
      <c r="C723" s="6"/>
    </row>
    <row r="724" spans="2:3" ht="12.75">
      <c r="B724" s="1"/>
      <c r="C724" s="6"/>
    </row>
    <row r="725" spans="2:3" ht="12.75">
      <c r="B725" s="1"/>
      <c r="C725" s="6"/>
    </row>
    <row r="726" spans="2:3" ht="12.75">
      <c r="B726" s="1"/>
      <c r="C726" s="6"/>
    </row>
    <row r="727" spans="2:3" ht="12.75">
      <c r="B727" s="1"/>
      <c r="C727" s="6"/>
    </row>
    <row r="728" spans="2:3" ht="12.75">
      <c r="B728" s="1"/>
      <c r="C728" s="6"/>
    </row>
    <row r="729" spans="2:3" ht="12.75">
      <c r="B729" s="1"/>
      <c r="C729" s="6"/>
    </row>
    <row r="730" spans="2:3" ht="12.75">
      <c r="B730" s="1"/>
      <c r="C730" s="6"/>
    </row>
    <row r="731" spans="2:3" ht="12.75">
      <c r="B731" s="1"/>
      <c r="C731" s="6"/>
    </row>
    <row r="732" spans="2:3" ht="12.75">
      <c r="B732" s="1"/>
      <c r="C732" s="6"/>
    </row>
    <row r="733" spans="2:3" ht="12.75">
      <c r="B733" s="1"/>
      <c r="C733" s="6"/>
    </row>
    <row r="734" spans="2:3" ht="12.75">
      <c r="B734" s="1"/>
      <c r="C734" s="6"/>
    </row>
    <row r="735" spans="2:3" ht="12.75">
      <c r="B735" s="1"/>
      <c r="C735" s="6"/>
    </row>
    <row r="736" spans="2:3" ht="12.75">
      <c r="B736" s="1"/>
      <c r="C736" s="6"/>
    </row>
    <row r="737" spans="2:3" ht="12.75">
      <c r="B737" s="1"/>
      <c r="C737" s="6"/>
    </row>
    <row r="738" spans="2:3" ht="12.75">
      <c r="B738" s="1"/>
      <c r="C738" s="6"/>
    </row>
    <row r="739" spans="2:3" ht="12.75">
      <c r="B739" s="1"/>
      <c r="C739" s="6"/>
    </row>
    <row r="740" spans="2:3" ht="12.75">
      <c r="B740" s="1"/>
      <c r="C740" s="6"/>
    </row>
    <row r="741" spans="2:3" ht="12.75">
      <c r="B741" s="1"/>
      <c r="C741" s="6"/>
    </row>
    <row r="742" spans="2:3" ht="12.75">
      <c r="B742" s="1"/>
      <c r="C742" s="6"/>
    </row>
  </sheetData>
  <sheetProtection password="CCBC" sheet="1" objects="1" scenarios="1"/>
  <conditionalFormatting sqref="C48:C49 C40 C32:C33 C16 C4:C6 C10:C11">
    <cfRule type="expression" priority="1" dxfId="0" stopIfTrue="1">
      <formula>$B$2=TRUE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&amp;L&amp;"Arial,Vet"Bijlage 1 bij circulaire JHYM/xxxx/CI/06/xxc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06c-b1</dc:title>
  <dc:subject/>
  <dc:creator/>
  <cp:keywords/>
  <dc:description/>
  <cp:lastModifiedBy>kx16</cp:lastModifiedBy>
  <cp:lastPrinted>2006-02-28T12:09:27Z</cp:lastPrinted>
  <dcterms:created xsi:type="dcterms:W3CDTF">2001-02-02T19:26:46Z</dcterms:created>
  <dcterms:modified xsi:type="dcterms:W3CDTF">2006-03-08T12:23:06Z</dcterms:modified>
  <cp:category>Productieafspraken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1596368610</vt:i4>
  </property>
  <property fmtid="{D5CDD505-2E9C-101B-9397-08002B2CF9AE}" pid="3" name="_EmailSubject">
    <vt:lpwstr>circulaire</vt:lpwstr>
  </property>
  <property fmtid="{D5CDD505-2E9C-101B-9397-08002B2CF9AE}" pid="4" name="_AuthorEmail">
    <vt:lpwstr>AMeestOever@ctg-zaio.nl</vt:lpwstr>
  </property>
  <property fmtid="{D5CDD505-2E9C-101B-9397-08002B2CF9AE}" pid="5" name="_AuthorEmailDisplayName">
    <vt:lpwstr>Mees ten Oever, Annemarie</vt:lpwstr>
  </property>
  <property fmtid="{D5CDD505-2E9C-101B-9397-08002B2CF9AE}" pid="6" name="_PreviousAdHocReviewCycleID">
    <vt:i4>624947253</vt:i4>
  </property>
  <property fmtid="{D5CDD505-2E9C-101B-9397-08002B2CF9AE}" pid="7" name="_ReviewingToolsShownOnce">
    <vt:lpwstr/>
  </property>
  <property fmtid="{D5CDD505-2E9C-101B-9397-08002B2CF9AE}" pid="8" name="_dlc_DocId">
    <vt:lpwstr>THRFR6N5WDQ4-19-11319</vt:lpwstr>
  </property>
  <property fmtid="{D5CDD505-2E9C-101B-9397-08002B2CF9AE}" pid="9" name="_dlc_DocIdItemGuid">
    <vt:lpwstr>7f57ac0c-ca28-4ac1-86bf-e4e3c1633221</vt:lpwstr>
  </property>
  <property fmtid="{D5CDD505-2E9C-101B-9397-08002B2CF9AE}" pid="10" name="_dlc_DocIdUrl">
    <vt:lpwstr>http://kennisnet.nza.nl/publicaties/Aanleveren/_layouts/DocIdRedir.aspx?ID=THRFR6N5WDQ4-19-11319, THRFR6N5WDQ4-19-11319</vt:lpwstr>
  </property>
  <property fmtid="{D5CDD505-2E9C-101B-9397-08002B2CF9AE}" pid="11" name="WorkflowChangePath">
    <vt:lpwstr>ae6988f9-ea4d-431a-a1d2-bb29c825ae5e,5;ae6988f9-ea4d-431a-a1d2-bb29c825ae5e,5;ae6988f9-ea4d-431a-a1d2-bb29c825ae5e,5;ae6988f9-ea4d-431a-a1d2-bb29c825ae5e,5;ae6988f9-ea4d-431a-a1d2-bb29c825ae5e,5;ae6988f9-ea4d-431a-a1d2-bb29c825ae5e,10;ae6988f9-ea4d-431a-a</vt:lpwstr>
  </property>
  <property fmtid="{D5CDD505-2E9C-101B-9397-08002B2CF9AE}" pid="12" name="NZa-zoekwoordenMetadata">
    <vt:lpwstr/>
  </property>
  <property fmtid="{D5CDD505-2E9C-101B-9397-08002B2CF9AE}" pid="13" name="VerzondenAanMetadata">
    <vt:lpwstr/>
  </property>
  <property fmtid="{D5CDD505-2E9C-101B-9397-08002B2CF9AE}" pid="14" name="Sector(en)Metadata">
    <vt:lpwstr/>
  </property>
  <property fmtid="{D5CDD505-2E9C-101B-9397-08002B2CF9AE}" pid="15" name="DocumentTypeMetadata">
    <vt:lpwstr>Bijlage|5bf77c6e-b0b2-45e1-a13a-aadc6364942c</vt:lpwstr>
  </property>
  <property fmtid="{D5CDD505-2E9C-101B-9397-08002B2CF9AE}" pid="16" name="ExtraZoekwoordenMetadata">
    <vt:lpwstr/>
  </property>
  <property fmtid="{D5CDD505-2E9C-101B-9397-08002B2CF9AE}" pid="17" name="Hoofdtekst">
    <vt:lpwstr/>
  </property>
  <property fmtid="{D5CDD505-2E9C-101B-9397-08002B2CF9AE}" pid="18" name="j85cec29e8c24b8a90feb8db203ff7e2">
    <vt:lpwstr/>
  </property>
  <property fmtid="{D5CDD505-2E9C-101B-9397-08002B2CF9AE}" pid="19" name="BVergaderstukMetadata">
    <vt:lpwstr/>
  </property>
  <property fmtid="{D5CDD505-2E9C-101B-9397-08002B2CF9AE}" pid="20" name="DocumentTypen">
    <vt:lpwstr>106;#Bijlage|5bf77c6e-b0b2-45e1-a13a-aadc6364942c</vt:lpwstr>
  </property>
  <property fmtid="{D5CDD505-2E9C-101B-9397-08002B2CF9AE}" pid="21" name="Sector(en)">
    <vt:lpwstr/>
  </property>
  <property fmtid="{D5CDD505-2E9C-101B-9397-08002B2CF9AE}" pid="22" name="VoorgangersMetadata">
    <vt:lpwstr/>
  </property>
  <property fmtid="{D5CDD505-2E9C-101B-9397-08002B2CF9AE}" pid="23" name="BPrestatiebeschrijvingMetadata">
    <vt:lpwstr/>
  </property>
  <property fmtid="{D5CDD505-2E9C-101B-9397-08002B2CF9AE}" pid="24" name="Heeft dit stuk bijlage(n)?">
    <vt:lpwstr>0</vt:lpwstr>
  </property>
  <property fmtid="{D5CDD505-2E9C-101B-9397-08002B2CF9AE}" pid="25" name="Publicatiedatum">
    <vt:lpwstr>2006-10-16T00:00:00Z</vt:lpwstr>
  </property>
  <property fmtid="{D5CDD505-2E9C-101B-9397-08002B2CF9AE}" pid="26" name="NZa-documentnummer">
    <vt:lpwstr/>
  </property>
  <property fmtid="{D5CDD505-2E9C-101B-9397-08002B2CF9AE}" pid="27" name="BTariefMetadata">
    <vt:lpwstr/>
  </property>
  <property fmtid="{D5CDD505-2E9C-101B-9397-08002B2CF9AE}" pid="28" name="BBesluitMetadata">
    <vt:lpwstr/>
  </property>
  <property fmtid="{D5CDD505-2E9C-101B-9397-08002B2CF9AE}" pid="29" name="NZa-zoekwoorden">
    <vt:lpwstr/>
  </property>
  <property fmtid="{D5CDD505-2E9C-101B-9397-08002B2CF9AE}" pid="30" name="BNadereRegelMetadata">
    <vt:lpwstr/>
  </property>
  <property fmtid="{D5CDD505-2E9C-101B-9397-08002B2CF9AE}" pid="31" name="Extra zoekwoorden">
    <vt:lpwstr/>
  </property>
  <property fmtid="{D5CDD505-2E9C-101B-9397-08002B2CF9AE}" pid="32" name="Ingetrokken?">
    <vt:lpwstr>Nee</vt:lpwstr>
  </property>
  <property fmtid="{D5CDD505-2E9C-101B-9397-08002B2CF9AE}" pid="33" name="me0f0aaf77cd4640acf557f58a1d2cc0">
    <vt:lpwstr>Bijlage|5bf77c6e-b0b2-45e1-a13a-aadc6364942c</vt:lpwstr>
  </property>
  <property fmtid="{D5CDD505-2E9C-101B-9397-08002B2CF9AE}" pid="34" name="n407de7a4204433984b2eeeaba786d56">
    <vt:lpwstr/>
  </property>
  <property fmtid="{D5CDD505-2E9C-101B-9397-08002B2CF9AE}" pid="35" name="l24ea505ea8d4be1bd84e8204c620c6c">
    <vt:lpwstr/>
  </property>
  <property fmtid="{D5CDD505-2E9C-101B-9397-08002B2CF9AE}" pid="36" name="BPublicatieMetadata">
    <vt:lpwstr/>
  </property>
  <property fmtid="{D5CDD505-2E9C-101B-9397-08002B2CF9AE}" pid="37" name="TaxCatchAll">
    <vt:lpwstr>106;#Bijlage|5bf77c6e-b0b2-45e1-a13a-aadc6364942c</vt:lpwstr>
  </property>
  <property fmtid="{D5CDD505-2E9C-101B-9397-08002B2CF9AE}" pid="38" name="Intro">
    <vt:lpwstr/>
  </property>
  <property fmtid="{D5CDD505-2E9C-101B-9397-08002B2CF9AE}" pid="39" name="Verzonden aan">
    <vt:lpwstr/>
  </property>
  <property fmtid="{D5CDD505-2E9C-101B-9397-08002B2CF9AE}" pid="40" name="BCirculaireMetadata">
    <vt:lpwstr/>
  </property>
  <property fmtid="{D5CDD505-2E9C-101B-9397-08002B2CF9AE}" pid="41" name="BFormulierMetadata">
    <vt:lpwstr/>
  </property>
  <property fmtid="{D5CDD505-2E9C-101B-9397-08002B2CF9AE}" pid="42" name="BBijlageMetadata">
    <vt:lpwstr/>
  </property>
  <property fmtid="{D5CDD505-2E9C-101B-9397-08002B2CF9AE}" pid="43" name="BBeleidsregelMetadata">
    <vt:lpwstr/>
  </property>
</Properties>
</file>