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tabRatio="592" firstSheet="2" activeTab="0"/>
  </bookViews>
  <sheets>
    <sheet name="1. Voorblad" sheetId="1" r:id="rId1"/>
    <sheet name="2. Toelichting" sheetId="2" r:id="rId2"/>
    <sheet name="3. Kostenoverzicht 2004-2006" sheetId="3" r:id="rId3"/>
    <sheet name="4. Specificatie kosten" sheetId="4" r:id="rId4"/>
    <sheet name="5. Afschrijvingen" sheetId="5" r:id="rId5"/>
    <sheet name="6. Rente" sheetId="6" r:id="rId6"/>
  </sheets>
  <definedNames>
    <definedName name="_xlnm.Print_Area" localSheetId="0">'1. Voorblad'!$A$1:$E$34</definedName>
    <definedName name="_xlnm.Print_Area" localSheetId="1">'2. Toelichting'!$A$1:$E$40</definedName>
    <definedName name="_xlnm.Print_Area" localSheetId="2">'3. Kostenoverzicht 2004-2006'!$A$1:$F$119</definedName>
    <definedName name="_xlnm.Print_Area" localSheetId="4">'5. Afschrijvingen'!$A$1:$H$27</definedName>
    <definedName name="_xlnm.Print_Titles" localSheetId="2">'3. Kostenoverzicht 2004-2006'!$1:$5</definedName>
    <definedName name="_xlnm.Print_Titles" localSheetId="3">'4. Specificatie kosten'!$1:$6</definedName>
    <definedName name="_xlnm.Print_Titles" localSheetId="5">'6. Rente'!$1:$6</definedName>
  </definedNames>
  <calcPr fullCalcOnLoad="1"/>
</workbook>
</file>

<file path=xl/sharedStrings.xml><?xml version="1.0" encoding="utf-8"?>
<sst xmlns="http://schemas.openxmlformats.org/spreadsheetml/2006/main" count="363" uniqueCount="285">
  <si>
    <t>tariefeenheden</t>
  </si>
  <si>
    <t>parameterwaarden</t>
  </si>
  <si>
    <t>vast</t>
  </si>
  <si>
    <t>particulier 2003</t>
  </si>
  <si>
    <t>particulier 2005</t>
  </si>
  <si>
    <t>variabel</t>
  </si>
  <si>
    <t>overheid 2003</t>
  </si>
  <si>
    <t>overheid 2005</t>
  </si>
  <si>
    <t>naam</t>
  </si>
  <si>
    <t>patienteenheden</t>
  </si>
  <si>
    <t>Toetsing</t>
  </si>
  <si>
    <t>particulier 2004</t>
  </si>
  <si>
    <t>overheid 2004</t>
  </si>
  <si>
    <t>particulier 2006</t>
  </si>
  <si>
    <t>overheid 2006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</si>
  <si>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</si>
  <si>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</si>
  <si>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</si>
  <si>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</si>
  <si>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</si>
  <si>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</si>
  <si>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</si>
  <si>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</si>
  <si>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</si>
  <si>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</si>
  <si>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</si>
  <si>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</si>
  <si>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</si>
  <si>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</si>
  <si>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Verrekening exploitatiesaldi</t>
  </si>
  <si>
    <t>Opbrengsten</t>
  </si>
  <si>
    <t>O</t>
  </si>
  <si>
    <t>P</t>
  </si>
  <si>
    <t>Salarissen</t>
  </si>
  <si>
    <t>Sociale lasten</t>
  </si>
  <si>
    <t>Pensioenvoorzieningen</t>
  </si>
  <si>
    <t>Reis- en verblijfskosten</t>
  </si>
  <si>
    <t>Overige vergoedingen personeel</t>
  </si>
  <si>
    <t>Honoraria</t>
  </si>
  <si>
    <t>Vergoeding medewerkers op honorariumbasis</t>
  </si>
  <si>
    <t>Overige personeelskosten</t>
  </si>
  <si>
    <t>Huisvestingskosten</t>
  </si>
  <si>
    <t>Inventariskosten</t>
  </si>
  <si>
    <t>Algemene kosten</t>
  </si>
  <si>
    <t>Interest</t>
  </si>
  <si>
    <t>Diverse lasten</t>
  </si>
  <si>
    <t>Diverse baten</t>
  </si>
  <si>
    <t>Totale kosten</t>
  </si>
  <si>
    <t>Resultaat</t>
  </si>
  <si>
    <t>Aantal patienten</t>
  </si>
  <si>
    <t>16 jaar en ouder - jaarkaart</t>
  </si>
  <si>
    <t>16 jaar en ouder - eenmalig</t>
  </si>
  <si>
    <t>16 jaar en ouder - consult</t>
  </si>
  <si>
    <t>0-16 jaar - jaarkaart</t>
  </si>
  <si>
    <t>0-16 jaar - eenmalig</t>
  </si>
  <si>
    <t>0-16 jaar - consult</t>
  </si>
  <si>
    <t>Beleidsregelbedragen loonkostentoetsing</t>
  </si>
  <si>
    <t>Naam instelling</t>
  </si>
  <si>
    <t>CTG-nummer (070)</t>
  </si>
  <si>
    <t>Vestigingsplaats</t>
  </si>
  <si>
    <t>met ingang van (datum):</t>
  </si>
  <si>
    <t>totaal patienten</t>
  </si>
  <si>
    <t>aantal kinderen taal- en spraakdiagnostiek (TSD)</t>
  </si>
  <si>
    <t>Indien overheidsinstelling dan 1 invullen</t>
  </si>
  <si>
    <t>(Indien particuliere instelling dit veld leeg laten)</t>
  </si>
  <si>
    <t>(2)</t>
  </si>
  <si>
    <t>Tariefeenheden</t>
  </si>
  <si>
    <t>TSD</t>
  </si>
  <si>
    <t>A260</t>
  </si>
  <si>
    <t>Jaarkaart (patiënten 16 jaar en ouder)</t>
  </si>
  <si>
    <t>A261</t>
  </si>
  <si>
    <t>Jaarkaart (patiënten 0 - 16 jaar)</t>
  </si>
  <si>
    <t>A262</t>
  </si>
  <si>
    <t>Behandelingen (eenmalig) korter dan 1½ uur (patiënten 16 jaar en ouder)</t>
  </si>
  <si>
    <t>A263</t>
  </si>
  <si>
    <t>Behandelingen (eenmalig) korter dan 1½ uur (patiënten 0 - 16 jaar)</t>
  </si>
  <si>
    <t>A264</t>
  </si>
  <si>
    <t>Eenmalig consult (patiënten 16 jaar en ouder)</t>
  </si>
  <si>
    <t>A265</t>
  </si>
  <si>
    <t>Eenmalig consult (patiënten 0 -16 jaar)</t>
  </si>
  <si>
    <t>en uit de tarieflijst instellingen</t>
  </si>
  <si>
    <t>A700</t>
  </si>
  <si>
    <t xml:space="preserve">Tarief jaarkaart € </t>
  </si>
  <si>
    <t>In het plaatselijk overleg zijn partijen overeengekomen:</t>
  </si>
  <si>
    <t>Kosten (€ )</t>
  </si>
  <si>
    <t>Opbrengsten (€)</t>
  </si>
  <si>
    <t xml:space="preserve">Exploitatieresultaat (€) </t>
  </si>
  <si>
    <t>Instelling</t>
  </si>
  <si>
    <t>Zorgverzekeraar</t>
  </si>
  <si>
    <t>Zorgverzekeraars Nederland</t>
  </si>
  <si>
    <t>handtekening</t>
  </si>
  <si>
    <t>Inlichtingen in te winnen bij:</t>
  </si>
  <si>
    <t>Ondertekening namens partijen:</t>
  </si>
  <si>
    <t>telefoonnummer</t>
  </si>
  <si>
    <t xml:space="preserve">e-mail </t>
  </si>
  <si>
    <t>Toelichting bij het formulier</t>
  </si>
  <si>
    <t>Loonkosten technicus en toezichthoudend KNO-arts</t>
  </si>
  <si>
    <t>Totaal salariskosten (A,B,C,F,G) - kosten technicus/KNO-arts</t>
  </si>
  <si>
    <t>4. Specificatie kosten</t>
  </si>
  <si>
    <t>Aantal full time</t>
  </si>
  <si>
    <t>Kostenoverzicht (€)</t>
  </si>
  <si>
    <t>Totaal Salarissen</t>
  </si>
  <si>
    <t>audioloog-directeur</t>
  </si>
  <si>
    <t>audioloog</t>
  </si>
  <si>
    <t>kno-arts</t>
  </si>
  <si>
    <t>psycholoog</t>
  </si>
  <si>
    <t>logo/akoepedist</t>
  </si>
  <si>
    <t>audiologie-assistent</t>
  </si>
  <si>
    <t>maatschappelijk werker</t>
  </si>
  <si>
    <t>technicus</t>
  </si>
  <si>
    <t>secretariaat en administr.</t>
  </si>
  <si>
    <t>overig</t>
  </si>
  <si>
    <t>Totaal Honoraria</t>
  </si>
  <si>
    <t>afschrijving gebouwen / installaties</t>
  </si>
  <si>
    <t>huur</t>
  </si>
  <si>
    <t>gas, water, electra</t>
  </si>
  <si>
    <t>schoonmaakkosten</t>
  </si>
  <si>
    <t>onderhoudskosten</t>
  </si>
  <si>
    <t>verzekeringen en belastingen</t>
  </si>
  <si>
    <t>diversen</t>
  </si>
  <si>
    <t>Totaal Huisvestingskosten</t>
  </si>
  <si>
    <t>afschrijving algemene inventarissen</t>
  </si>
  <si>
    <t>afschrijving audiologische apparatuur</t>
  </si>
  <si>
    <t>onderhoudskosten + testmateriaal</t>
  </si>
  <si>
    <t>Totaal Inventariskosten</t>
  </si>
  <si>
    <t>Totaal Algemene kosten</t>
  </si>
  <si>
    <t>drukwerk / kantoorbehoeften</t>
  </si>
  <si>
    <t>porti</t>
  </si>
  <si>
    <t>telefoon</t>
  </si>
  <si>
    <t>accountantskosten</t>
  </si>
  <si>
    <t>contributies</t>
  </si>
  <si>
    <t>vakliteratuur</t>
  </si>
  <si>
    <t>overige verzekeringen</t>
  </si>
  <si>
    <t>Afschrijvingen</t>
  </si>
  <si>
    <t>Jaar van aanschaf</t>
  </si>
  <si>
    <t>Aanschafwaarde</t>
  </si>
  <si>
    <t>Afschrijvingspercentage</t>
  </si>
  <si>
    <t>€</t>
  </si>
  <si>
    <t>(€)</t>
  </si>
  <si>
    <t>Installaties</t>
  </si>
  <si>
    <t>Gebouwen en verbouwingen</t>
  </si>
  <si>
    <t>Medische en audiologische apparatuur</t>
  </si>
  <si>
    <t>Omschrijving</t>
  </si>
  <si>
    <t>Overige inventaris</t>
  </si>
  <si>
    <t>Automatiseringsapparatuur</t>
  </si>
  <si>
    <r>
      <t>Specificatie kosten</t>
    </r>
    <r>
      <rPr>
        <sz val="10"/>
        <rFont val="Arial"/>
        <family val="0"/>
      </rPr>
      <t xml:space="preserve"> (bedragen in €)</t>
    </r>
  </si>
  <si>
    <t>Tarieven</t>
  </si>
  <si>
    <t xml:space="preserve">Met de circulaire JM/ru/I/02/69c van 16 december 2002 bent u geïnformeerd over de gewijzigde beleidsregel renteprotocollering. </t>
  </si>
  <si>
    <t xml:space="preserve">Met circulaire JM/ru/I/03/37c van 27 juni 2003 hebben wij u een nadere toelichting gegeven op de beleidsregel rente. </t>
  </si>
  <si>
    <t>Rapportage over het financiële beleid: niet-AWBZ-sectoren waarop renteprotocollering van toepassing is</t>
  </si>
  <si>
    <t>1.</t>
  </si>
  <si>
    <t>2.</t>
  </si>
  <si>
    <t>Gemiddelde debiteurentermijn</t>
  </si>
  <si>
    <t>3.</t>
  </si>
  <si>
    <t>4.</t>
  </si>
  <si>
    <t>(norm: 1 januari jaar t+2)</t>
  </si>
  <si>
    <t>5.</t>
  </si>
  <si>
    <t>6.</t>
  </si>
  <si>
    <t>Omvang oversluitingen van langlopende leningen</t>
  </si>
  <si>
    <t>Betaalde boete bij oversluitingen</t>
  </si>
  <si>
    <t>5. Afschrijvingen</t>
  </si>
  <si>
    <t>6. Rente</t>
  </si>
  <si>
    <t>7a</t>
  </si>
  <si>
    <t>7b</t>
  </si>
  <si>
    <t>7c</t>
  </si>
  <si>
    <t>Gemiddelde voorraadhoogte (in % van het totale budget, exclusief rentekosten)</t>
  </si>
  <si>
    <t>Omvang van het werkkapitaal (in % van het totale budget (exclusief rente)</t>
  </si>
  <si>
    <t>Datum van indiening overeenkomst nacalculatie</t>
  </si>
  <si>
    <t>Gewogen gemiddeld rentepercentage lang vreemd vermogen</t>
  </si>
  <si>
    <t>Gewogen gemiddeld rentepercentage kort vreemd vermogen</t>
  </si>
  <si>
    <t>Behaald rentevoordeel door oversluitingen op jaarbasis</t>
  </si>
  <si>
    <t>(norm: 1 à 2% van het budget)</t>
  </si>
  <si>
    <t>%</t>
  </si>
  <si>
    <t>(norm: maximaal 2 maanden)</t>
  </si>
  <si>
    <t>mnd</t>
  </si>
  <si>
    <t>(norm: 6 à 7%)</t>
  </si>
  <si>
    <t>ja</t>
  </si>
  <si>
    <t>nee</t>
  </si>
  <si>
    <t>n.v.t.</t>
  </si>
  <si>
    <t>opmerking</t>
  </si>
  <si>
    <t xml:space="preserve">De nummering van de vragen (romeinse cijfers) is gelijk aan de nummering in paragraaf 4 van het </t>
  </si>
  <si>
    <t>protocol "Te stellen voorwaarden aan het handelen met betrekking tot de financiering van de instelling".</t>
  </si>
  <si>
    <t>Raming vermogensbehoefte op lange termijn</t>
  </si>
  <si>
    <t>Beschikt de instelling over een prognose van de vermogensbehoefte?</t>
  </si>
  <si>
    <t>Brengt de instelling, in geval van financiële vaste activa met een beleggingskarakter, tijdig een marktconforme intrest in rekening aan de tegenpartij?</t>
  </si>
  <si>
    <t>Is deze intrestbate in mindering gebracht op de intrestlast?</t>
  </si>
  <si>
    <t>II</t>
  </si>
  <si>
    <t>Raming liquiditeitsbehoefte op korte termijn</t>
  </si>
  <si>
    <t>Voldoet de liquiditeitsprognose aan de gestelde eisen?</t>
  </si>
  <si>
    <t>III</t>
  </si>
  <si>
    <t>Voorraden</t>
  </si>
  <si>
    <t>IV</t>
  </si>
  <si>
    <t>Debiteuren</t>
  </si>
  <si>
    <t>Beschikt de instelling over een adequaat beleid met betrekking tot debiteuren en incasso, dat de in de richtlijn aangegeven onderdelen omvat?</t>
  </si>
  <si>
    <t>Is er sprake van een duidelijke afspraak met zorgverzekeraars met betrekking tot de bevoorschotting?</t>
  </si>
  <si>
    <t>Hanteert de instelling een actief incassobeleid?</t>
  </si>
  <si>
    <t>V</t>
  </si>
  <si>
    <t>Nog in tarieven te verrekenen</t>
  </si>
  <si>
    <t>a.</t>
  </si>
  <si>
    <t>budgetformulier (productieafspraken)</t>
  </si>
  <si>
    <t>b.</t>
  </si>
  <si>
    <t>enquêteformulier voorlopige exploitatie uit-komsten</t>
  </si>
  <si>
    <t>c.</t>
  </si>
  <si>
    <t>nacalculatieformulier</t>
  </si>
  <si>
    <t>x</t>
  </si>
  <si>
    <t>VI</t>
  </si>
  <si>
    <t>Liquide middelen</t>
  </si>
  <si>
    <t>Gebeurt dit tegen acceptabele voorwaarden?</t>
  </si>
  <si>
    <t>VII</t>
  </si>
  <si>
    <t>Leverancierskrediet</t>
  </si>
  <si>
    <t>Wordt door middel van interne controle vastgesteld dat de factuurdatum overeenkomt met de datum van de levering van de prestatie?</t>
  </si>
  <si>
    <t>Is de betaling van facturen systematisch in de tijd gepland zodat betaling uitsluitend plaatsvindt aan het eind van de toegestane krediettermijn?</t>
  </si>
  <si>
    <t>Worden schulden slechts betaald als men binnen de geldende beperkingen het maximum voordeel eruit weet te halen?</t>
  </si>
  <si>
    <t>Worden de ontvangen betalingskortingen als korting geboekt in de financiële administratie?</t>
  </si>
  <si>
    <t>Wordt uitsluitend vooruitbetaald indien de te ontvangen korting hoger is dan de met het vermogensbeslag gemoeide intrestlast?</t>
  </si>
  <si>
    <t>7.</t>
  </si>
  <si>
    <t>Wordt in geval van vooruitbetalingen de rente-component van de korting als rentebate verantwoord en in mindering gebracht op de intrestlasten?</t>
  </si>
  <si>
    <t>VIII</t>
  </si>
  <si>
    <t>Eigen vermogen en voorzieningen</t>
  </si>
  <si>
    <t>Worden rentebaten aan het eigen vermogen en de voorzieningen toegerekend?</t>
  </si>
  <si>
    <t>Zijn er vermogensbestanddelen (eigen ver-mogen, voorzieningen en activa) buiten de balans gebracht?</t>
  </si>
  <si>
    <t>IX</t>
  </si>
  <si>
    <t>Financieringen</t>
  </si>
  <si>
    <t>Wordt bij het afsluiten van nieuwe financieringen voldaan aan de volgende voorwaarden?</t>
  </si>
  <si>
    <t>Is het saldo van het eigen vermogen (inclusief voorzieningen) op balansdatum negatief?</t>
  </si>
  <si>
    <t>In welk jaar is er voor het eerst sprake van een negatief eigen vermogen?</t>
  </si>
  <si>
    <t>Wordt het voordeel van betalingskortingen afgezet tegen de intrest op het vermogensbeslag?</t>
  </si>
  <si>
    <t>Doet zij dit bij erkende financiële instellingen?</t>
  </si>
  <si>
    <t>Is de instelling actief bezig met het realiseren van zo hoog mogelijke rente-opbrengsten indien sprake is van overschotten op de liquide middelen?</t>
  </si>
  <si>
    <t>Worden meerdere offertes bij verschillende kredietverstrekkers aangevraagd?</t>
  </si>
  <si>
    <t>Is de leningsovereenkomst die uiteindelijk is afgesloten de overeenkomst met de laagste effectieve rentevoet, gegeven het geheel van leveringscondities?</t>
  </si>
  <si>
    <t>Wordt maximaal gebruik gemaakt van de mogelijkheden om door conversie verlaging van de rentekosten te verkrijgen?</t>
  </si>
  <si>
    <t>Is voor rekening-courantkredieten een zo laag mogelijke effectieve rente gecontracteerd?</t>
  </si>
  <si>
    <t>Voldoet de prognose van de vermogensbehoefte aan de gestelde eisen?</t>
  </si>
  <si>
    <t>Beschikt de instelling over een liquiditeitsprognose?</t>
  </si>
  <si>
    <t>Hanteert de instelling een voorraad- en aanschaffingsbeleid, dat de in het protocol aangegeven onderdelen bevat?</t>
  </si>
  <si>
    <t>Inhoudsopgave</t>
  </si>
  <si>
    <t>Berekening tarief</t>
  </si>
  <si>
    <t>tot (datum)</t>
  </si>
  <si>
    <t xml:space="preserve">Tijdelijke toeslag i.v.m. ingangsdatum tarief </t>
  </si>
  <si>
    <t>van (datum)</t>
  </si>
  <si>
    <t>met ingang van</t>
  </si>
  <si>
    <t>prijspeil ult 2005</t>
  </si>
  <si>
    <t>prijspeil ult 2004</t>
  </si>
  <si>
    <t>prijspeil ult 2005 met voorcalc index 2006</t>
  </si>
  <si>
    <t>Structureel nieuw jaarkaarttarief (€)</t>
  </si>
  <si>
    <t>Bedragen in €</t>
  </si>
  <si>
    <t>Salarissen (invullen op blad 4. specificatie kosten)</t>
  </si>
  <si>
    <t>Honoraria (invullen op blad 4. specificatie kosten)</t>
  </si>
  <si>
    <t>Huisvestingskosten (invullen op blad 4. specificatie kosten)</t>
  </si>
  <si>
    <t>Inventariskosten (invullen op blad 4. specificatie kosten)</t>
  </si>
  <si>
    <t>Algemene kosten (invullen op blad 4. specificatie kosten)</t>
  </si>
  <si>
    <t>Salariskosten in begroting (€)</t>
  </si>
  <si>
    <r>
      <t>*</t>
    </r>
    <r>
      <rPr>
        <sz val="8"/>
        <rFont val="Arial"/>
        <family val="0"/>
      </rPr>
      <t xml:space="preserve"> t/m 2005 inclusief TSD; vanaf 2006 wordt TSD berekend met regel 42</t>
    </r>
  </si>
  <si>
    <t>Af: Overige opbrengsten* (loonkostendeel) zie kostenoverzicht regel N (€)</t>
  </si>
  <si>
    <t>Maximaal aanvaardbare salariskosten o.b.v. aantal kinderen TSD (€)</t>
  </si>
  <si>
    <t>Maximaal aanvaardbare salariskosten o.b.v. aantal patienteneenheden (€)</t>
  </si>
  <si>
    <t>Toegestane salariskosten (€)</t>
  </si>
  <si>
    <t>Overige kosten (€)</t>
  </si>
  <si>
    <t>Totaal aanvaardbare kosten (€)</t>
  </si>
  <si>
    <t>Verrekend (€)</t>
  </si>
  <si>
    <t>Te verrekenen (€)</t>
  </si>
  <si>
    <t>Totaal te verrekenen (€)</t>
  </si>
  <si>
    <t>Toeslag per jaarkaart (€)</t>
  </si>
  <si>
    <t>Toeslagperiode van (datum)</t>
  </si>
  <si>
    <t>Tot (datum)</t>
  </si>
  <si>
    <t>Huidig jaarkaarttarief (exclusief tijdelijke toeslagen) (€)</t>
  </si>
  <si>
    <t>Verrekening (€)</t>
  </si>
  <si>
    <t>Totaal tarief (€)</t>
  </si>
  <si>
    <r>
      <t xml:space="preserve">** </t>
    </r>
    <r>
      <rPr>
        <sz val="8"/>
        <rFont val="Arial"/>
        <family val="2"/>
      </rPr>
      <t>Overnemen van huidige tariefbeschikking</t>
    </r>
  </si>
  <si>
    <t>A266</t>
  </si>
  <si>
    <t>(1) Totaal</t>
  </si>
  <si>
    <t>totaal aanvaardbare kosten (2) / totaal tariefeenheden (1)</t>
  </si>
  <si>
    <t>Tijdelijke toeslag i.v.m. verrekening oude jaren</t>
  </si>
  <si>
    <t>Aanbevolen volgorde voor het invullen van de werkbladen:</t>
  </si>
  <si>
    <t>Blad 4, 3, 5, 6,</t>
  </si>
  <si>
    <t xml:space="preserve">De oranje cellen kunnen worden ingevuld. </t>
  </si>
  <si>
    <t>In de gele cellen vindt een berekening plaats.</t>
  </si>
  <si>
    <t>1. Voorblad</t>
  </si>
  <si>
    <t>Blad 1 (ondertekening)</t>
  </si>
  <si>
    <t>2. Toelichting</t>
  </si>
  <si>
    <t>Aantal</t>
  </si>
  <si>
    <t>Voldoet de instelling aan de door CTG-ZAio gestelde indieningstermijnen voor het:</t>
  </si>
  <si>
    <t>Toeslag/aftrek</t>
  </si>
  <si>
    <t>Bijlage bij circulaire CI/06/3c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</si>
</sst>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_ ;[Red]\-#,##0.00\ "/>
    <numFmt numFmtId="165" formatCode="_-* #,##0.0_-;_-* #,##0.0\-;_-* &quot;-&quot;??_-;_-@_-"/>
    <numFmt numFmtId="166" formatCode="_-* #,##0_-;_-* #,##0\-;_-* &quot;-&quot;??_-;_-@_-"/>
    <numFmt numFmtId="167" formatCode="[$-413]dddd\ d\ mmmm\ yyyy"/>
    <numFmt numFmtId="168" formatCode="d/mm/yy;@"/>
    <numFmt numFmtId="169" formatCode="0.0"/>
    <numFmt numFmtId="170" formatCode="_-* #,##0.0_-;_-* #,##0.0\-;_-* &quot;-&quot;?_-;_-@_-"/>
    <numFmt numFmtId="171" formatCode="0.0000"/>
    <numFmt numFmtId="172" formatCode="0.00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\(#,##0\)_ ;#,##0_ \ ;\ \(* \)_ "/>
    <numFmt numFmtId="178" formatCode="[$-413]d\ mmmm\ yyyy;@"/>
    <numFmt numFmtId="179" formatCode="#,##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6" fillId="0" borderId="1" applyFill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4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2" xfId="0" applyFont="1" applyBorder="1" applyAlignment="1">
      <alignment horizontal="justify" vertical="top" wrapText="1"/>
    </xf>
    <xf numFmtId="0" fontId="0" fillId="0" borderId="8" xfId="0" applyFont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 horizontal="justify" vertical="top"/>
    </xf>
    <xf numFmtId="0" fontId="4" fillId="0" borderId="2" xfId="0" applyFont="1" applyBorder="1" applyAlignment="1">
      <alignment horizontal="justify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4" borderId="9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178" fontId="0" fillId="4" borderId="2" xfId="0" applyNumberFormat="1" applyFill="1" applyBorder="1" applyAlignment="1" applyProtection="1">
      <alignment/>
      <protection locked="0"/>
    </xf>
    <xf numFmtId="3" fontId="0" fillId="2" borderId="2" xfId="0" applyNumberFormat="1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/>
      <protection/>
    </xf>
    <xf numFmtId="166" fontId="4" fillId="0" borderId="0" xfId="17" applyNumberFormat="1" applyFont="1" applyAlignment="1" applyProtection="1">
      <alignment/>
      <protection/>
    </xf>
    <xf numFmtId="166" fontId="0" fillId="0" borderId="0" xfId="17" applyNumberFormat="1" applyAlignment="1" applyProtection="1">
      <alignment/>
      <protection/>
    </xf>
    <xf numFmtId="166" fontId="0" fillId="0" borderId="2" xfId="17" applyNumberForma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17" applyNumberFormat="1" applyBorder="1" applyAlignment="1" applyProtection="1">
      <alignment/>
      <protection/>
    </xf>
    <xf numFmtId="164" fontId="0" fillId="2" borderId="2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4" fillId="2" borderId="2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4" fillId="0" borderId="7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4" xfId="17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6" fontId="0" fillId="0" borderId="0" xfId="17" applyNumberFormat="1" applyFill="1" applyBorder="1" applyAlignment="1" applyProtection="1">
      <alignment/>
      <protection/>
    </xf>
    <xf numFmtId="166" fontId="0" fillId="2" borderId="2" xfId="17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2" borderId="2" xfId="17" applyNumberFormat="1" applyFill="1" applyBorder="1" applyAlignment="1" applyProtection="1">
      <alignment/>
      <protection/>
    </xf>
    <xf numFmtId="166" fontId="0" fillId="0" borderId="0" xfId="17" applyNumberFormat="1" applyFont="1" applyFill="1" applyBorder="1" applyAlignment="1" applyProtection="1">
      <alignment/>
      <protection/>
    </xf>
    <xf numFmtId="0" fontId="0" fillId="2" borderId="2" xfId="17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6" fontId="0" fillId="0" borderId="0" xfId="17" applyNumberFormat="1" applyAlignment="1" applyProtection="1">
      <alignment/>
      <protection/>
    </xf>
    <xf numFmtId="166" fontId="0" fillId="2" borderId="2" xfId="1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8" fontId="0" fillId="2" borderId="2" xfId="0" applyNumberFormat="1" applyFill="1" applyBorder="1" applyAlignment="1" applyProtection="1">
      <alignment/>
      <protection/>
    </xf>
    <xf numFmtId="166" fontId="0" fillId="2" borderId="2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166" fontId="0" fillId="2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8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2" borderId="13" xfId="0" applyFill="1" applyBorder="1" applyAlignment="1" applyProtection="1">
      <alignment horizontal="right"/>
      <protection/>
    </xf>
    <xf numFmtId="178" fontId="0" fillId="2" borderId="5" xfId="0" applyNumberFormat="1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right"/>
      <protection/>
    </xf>
    <xf numFmtId="178" fontId="0" fillId="2" borderId="0" xfId="0" applyNumberFormat="1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178" fontId="0" fillId="2" borderId="11" xfId="0" applyNumberForma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4" borderId="2" xfId="0" applyNumberForma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3" fontId="0" fillId="4" borderId="4" xfId="17" applyNumberFormat="1" applyFill="1" applyBorder="1" applyAlignment="1" applyProtection="1">
      <alignment/>
      <protection locked="0"/>
    </xf>
    <xf numFmtId="3" fontId="0" fillId="4" borderId="2" xfId="17" applyNumberFormat="1" applyFill="1" applyBorder="1" applyAlignment="1" applyProtection="1">
      <alignment/>
      <protection locked="0"/>
    </xf>
    <xf numFmtId="3" fontId="4" fillId="2" borderId="4" xfId="17" applyNumberFormat="1" applyFont="1" applyFill="1" applyBorder="1" applyAlignment="1" applyProtection="1">
      <alignment/>
      <protection/>
    </xf>
    <xf numFmtId="3" fontId="4" fillId="2" borderId="2" xfId="17" applyNumberFormat="1" applyFont="1" applyFill="1" applyBorder="1" applyAlignment="1" applyProtection="1">
      <alignment/>
      <protection/>
    </xf>
    <xf numFmtId="3" fontId="4" fillId="2" borderId="6" xfId="17" applyNumberFormat="1" applyFont="1" applyFill="1" applyBorder="1" applyAlignment="1" applyProtection="1">
      <alignment/>
      <protection/>
    </xf>
    <xf numFmtId="3" fontId="4" fillId="2" borderId="7" xfId="17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169" fontId="0" fillId="4" borderId="2" xfId="0" applyNumberFormat="1" applyFill="1" applyBorder="1" applyAlignment="1" applyProtection="1">
      <alignment/>
      <protection locked="0"/>
    </xf>
    <xf numFmtId="169" fontId="0" fillId="2" borderId="2" xfId="0" applyNumberFormat="1" applyFill="1" applyBorder="1" applyAlignment="1">
      <alignment/>
    </xf>
    <xf numFmtId="3" fontId="0" fillId="4" borderId="4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>
      <alignment/>
    </xf>
    <xf numFmtId="3" fontId="0" fillId="4" borderId="3" xfId="0" applyNumberFormat="1" applyFill="1" applyBorder="1" applyAlignment="1" applyProtection="1">
      <alignment/>
      <protection locked="0"/>
    </xf>
    <xf numFmtId="177" fontId="0" fillId="4" borderId="2" xfId="20" applyFont="1" applyFill="1" applyBorder="1" applyProtection="1">
      <alignment/>
      <protection locked="0"/>
    </xf>
    <xf numFmtId="0" fontId="0" fillId="4" borderId="0" xfId="0" applyFill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8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2" xfId="17" applyNumberFormat="1" applyFont="1" applyBorder="1" applyAlignment="1" applyProtection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Tabelstandaard negatief" xfId="20"/>
    <cellStyle name="Currency" xfId="21"/>
    <cellStyle name="Currency [0]" xfId="2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85725</xdr:rowOff>
    </xdr:from>
    <xdr:to>
      <xdr:col>3</xdr:col>
      <xdr:colOff>1447800</xdr:colOff>
      <xdr:row>3</xdr:row>
      <xdr:rowOff>76200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85725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76200</xdr:rowOff>
    </xdr:from>
    <xdr:to>
      <xdr:col>3</xdr:col>
      <xdr:colOff>1447800</xdr:colOff>
      <xdr:row>3</xdr:row>
      <xdr:rowOff>66675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76200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85725</xdr:rowOff>
    </xdr:from>
    <xdr:to>
      <xdr:col>3</xdr:col>
      <xdr:colOff>1447800</xdr:colOff>
      <xdr:row>3</xdr:row>
      <xdr:rowOff>76200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5725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85725</xdr:rowOff>
    </xdr:from>
    <xdr:to>
      <xdr:col>3</xdr:col>
      <xdr:colOff>1447800</xdr:colOff>
      <xdr:row>3</xdr:row>
      <xdr:rowOff>76200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85725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85725</xdr:rowOff>
    </xdr:from>
    <xdr:to>
      <xdr:col>3</xdr:col>
      <xdr:colOff>1085850</xdr:colOff>
      <xdr:row>3</xdr:row>
      <xdr:rowOff>76200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725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85725</xdr:rowOff>
    </xdr:from>
    <xdr:to>
      <xdr:col>3</xdr:col>
      <xdr:colOff>781050</xdr:colOff>
      <xdr:row>3</xdr:row>
      <xdr:rowOff>76200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2:E35"/>
  <sheetViews>
    <sheetView showGridLines="0" showZeros="0"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5.140625" style="58" customWidth="1"/>
    <col min="2" max="2" width="57.7109375" style="58" customWidth="1"/>
    <col min="3" max="5" width="35.7109375" style="58" customWidth="1"/>
    <col min="6" max="6" width="14.7109375" style="58" bestFit="1" customWidth="1"/>
    <col min="7" max="9" width="9.140625" style="58" customWidth="1"/>
    <col min="10" max="10" width="16.57421875" style="58" customWidth="1"/>
    <col min="11" max="16384" width="9.140625" style="58" customWidth="1"/>
  </cols>
  <sheetData>
    <row r="2" spans="2:3" ht="12.75">
      <c r="B2" s="149" t="s">
        <v>284</v>
      </c>
      <c r="C2" s="93"/>
    </row>
    <row r="3" ht="15.75">
      <c r="B3" s="57"/>
    </row>
    <row r="4" ht="15.75">
      <c r="B4" s="57"/>
    </row>
    <row r="5" spans="2:5" ht="12.75">
      <c r="B5" s="149" t="str">
        <f>CONCATENATE("Formulier ten behoeve van de tariefaanvraag ",E15," (begroting) / verrekening exploitatie ",E15-2," voor zelfstandige audiologische centra")</f>
        <v>Formulier ten behoeve van de tariefaanvraag 2006 (begroting) / verrekening exploitatie 2004 voor zelfstandige audiologische centra</v>
      </c>
      <c r="C5" s="93"/>
      <c r="D5" s="93"/>
      <c r="E5" s="93"/>
    </row>
    <row r="7" spans="2:5" ht="34.5" customHeight="1">
      <c r="B7" s="59" t="s">
        <v>57</v>
      </c>
      <c r="C7" s="48"/>
      <c r="D7" s="49"/>
      <c r="E7" s="50"/>
    </row>
    <row r="8" spans="2:5" ht="34.5" customHeight="1">
      <c r="B8" s="59" t="s">
        <v>58</v>
      </c>
      <c r="C8" s="48"/>
      <c r="D8" s="49"/>
      <c r="E8" s="50"/>
    </row>
    <row r="9" spans="2:5" ht="34.5" customHeight="1">
      <c r="B9" s="59" t="s">
        <v>59</v>
      </c>
      <c r="C9" s="48"/>
      <c r="D9" s="49"/>
      <c r="E9" s="50"/>
    </row>
    <row r="10" spans="2:5" ht="12.75">
      <c r="B10" s="60"/>
      <c r="C10" s="61"/>
      <c r="D10" s="61"/>
      <c r="E10" s="61"/>
    </row>
    <row r="11" ht="12.75">
      <c r="B11" s="58" t="str">
        <f>CONCATENATE("Partijen verzoeken op grond van artikel 4 lid 1 / 8 lid 2 van de WTG het tarief ",E15," te bepalen op")</f>
        <v>Partijen verzoeken op grond van artikel 4 lid 1 / 8 lid 2 van de WTG het tarief 2006 te bepalen op</v>
      </c>
    </row>
    <row r="12" spans="2:5" ht="12.75">
      <c r="B12" s="62" t="s">
        <v>82</v>
      </c>
      <c r="C12" s="63">
        <f>'3. Kostenoverzicht 2004-2006'!E80</f>
        <v>0</v>
      </c>
      <c r="D12" s="64" t="s">
        <v>60</v>
      </c>
      <c r="E12" s="53"/>
    </row>
    <row r="13" spans="2:5" ht="12.75">
      <c r="B13" s="60"/>
      <c r="C13" s="61"/>
      <c r="D13" s="61"/>
      <c r="E13" s="61"/>
    </row>
    <row r="14" spans="2:5" ht="12.75">
      <c r="B14" s="60" t="s">
        <v>83</v>
      </c>
      <c r="C14" s="61"/>
      <c r="D14" s="61"/>
      <c r="E14" s="61"/>
    </row>
    <row r="15" spans="2:5" ht="12.75">
      <c r="B15" s="65"/>
      <c r="C15" s="66">
        <f>E15-2</f>
        <v>2004</v>
      </c>
      <c r="D15" s="66">
        <f>E15-1</f>
        <v>2005</v>
      </c>
      <c r="E15" s="66">
        <v>2006</v>
      </c>
    </row>
    <row r="16" spans="2:5" ht="12.75">
      <c r="B16" s="67" t="s">
        <v>84</v>
      </c>
      <c r="C16" s="112">
        <f>'3. Kostenoverzicht 2004-2006'!C24</f>
        <v>0</v>
      </c>
      <c r="D16" s="112">
        <f>'3. Kostenoverzicht 2004-2006'!D24</f>
        <v>0</v>
      </c>
      <c r="E16" s="112">
        <f>'3. Kostenoverzicht 2004-2006'!E24</f>
        <v>0</v>
      </c>
    </row>
    <row r="17" spans="2:5" ht="12.75">
      <c r="B17" s="68" t="s">
        <v>85</v>
      </c>
      <c r="C17" s="112">
        <f>'3. Kostenoverzicht 2004-2006'!C26</f>
        <v>0</v>
      </c>
      <c r="D17" s="112">
        <f>'3. Kostenoverzicht 2004-2006'!D26</f>
        <v>0</v>
      </c>
      <c r="E17" s="112">
        <f>'3. Kostenoverzicht 2004-2006'!E26</f>
        <v>0</v>
      </c>
    </row>
    <row r="18" spans="2:5" ht="12.75">
      <c r="B18" s="67" t="s">
        <v>86</v>
      </c>
      <c r="C18" s="112">
        <f>'3. Kostenoverzicht 2004-2006'!C27</f>
        <v>0</v>
      </c>
      <c r="D18" s="112">
        <f>'3. Kostenoverzicht 2004-2006'!D27</f>
        <v>0</v>
      </c>
      <c r="E18" s="112">
        <f>'3. Kostenoverzicht 2004-2006'!E27</f>
        <v>0</v>
      </c>
    </row>
    <row r="19" spans="2:5" ht="12.75">
      <c r="B19" s="69"/>
      <c r="C19" s="61"/>
      <c r="D19" s="61"/>
      <c r="E19" s="61"/>
    </row>
    <row r="20" spans="2:5" ht="12.75">
      <c r="B20" s="70" t="s">
        <v>92</v>
      </c>
      <c r="C20" s="61"/>
      <c r="D20" s="61"/>
      <c r="E20" s="61"/>
    </row>
    <row r="21" spans="3:5" ht="12.75">
      <c r="C21" s="59" t="s">
        <v>8</v>
      </c>
      <c r="D21" s="59" t="s">
        <v>90</v>
      </c>
      <c r="E21" s="71"/>
    </row>
    <row r="22" spans="2:5" ht="34.5" customHeight="1">
      <c r="B22" s="62" t="s">
        <v>87</v>
      </c>
      <c r="C22" s="52"/>
      <c r="D22" s="48"/>
      <c r="E22" s="50"/>
    </row>
    <row r="23" spans="2:5" ht="34.5" customHeight="1">
      <c r="B23" s="62" t="s">
        <v>88</v>
      </c>
      <c r="C23" s="51"/>
      <c r="D23" s="48"/>
      <c r="E23" s="50"/>
    </row>
    <row r="24" spans="2:5" ht="34.5" customHeight="1">
      <c r="B24" s="62" t="s">
        <v>89</v>
      </c>
      <c r="C24" s="51"/>
      <c r="D24" s="48"/>
      <c r="E24" s="50"/>
    </row>
    <row r="25" spans="2:5" ht="12.75">
      <c r="B25" s="69"/>
      <c r="C25" s="61"/>
      <c r="D25" s="61"/>
      <c r="E25" s="61"/>
    </row>
    <row r="26" spans="2:5" ht="12.75">
      <c r="B26" s="69"/>
      <c r="C26" s="61"/>
      <c r="D26" s="61"/>
      <c r="E26" s="61"/>
    </row>
    <row r="27" spans="2:5" ht="12.75">
      <c r="B27" s="70" t="s">
        <v>91</v>
      </c>
      <c r="C27" s="61"/>
      <c r="D27" s="61"/>
      <c r="E27" s="61"/>
    </row>
    <row r="28" spans="3:5" ht="12.75">
      <c r="C28" s="59" t="s">
        <v>8</v>
      </c>
      <c r="D28" s="62" t="s">
        <v>93</v>
      </c>
      <c r="E28" s="72" t="s">
        <v>94</v>
      </c>
    </row>
    <row r="29" spans="2:5" ht="34.5" customHeight="1">
      <c r="B29" s="62" t="s">
        <v>87</v>
      </c>
      <c r="C29" s="52"/>
      <c r="D29" s="51"/>
      <c r="E29" s="50"/>
    </row>
    <row r="30" spans="2:5" ht="34.5" customHeight="1">
      <c r="B30" s="62" t="s">
        <v>88</v>
      </c>
      <c r="C30" s="51"/>
      <c r="D30" s="51"/>
      <c r="E30" s="50"/>
    </row>
    <row r="31" spans="2:5" ht="34.5" customHeight="1">
      <c r="B31" s="62" t="s">
        <v>89</v>
      </c>
      <c r="C31" s="51"/>
      <c r="D31" s="51"/>
      <c r="E31" s="50"/>
    </row>
    <row r="32" s="61" customFormat="1" ht="12.75" customHeight="1">
      <c r="B32" s="70"/>
    </row>
    <row r="33" spans="2:3" ht="12.75">
      <c r="B33" s="73" t="s">
        <v>63</v>
      </c>
      <c r="C33" s="51"/>
    </row>
    <row r="34" spans="2:3" ht="12.75">
      <c r="B34" s="74" t="s">
        <v>64</v>
      </c>
      <c r="C34" s="61"/>
    </row>
    <row r="35" spans="2:3" ht="12.75">
      <c r="B35" s="75"/>
      <c r="C35" s="61"/>
    </row>
  </sheetData>
  <sheetProtection password="D00A" sheet="1" objects="1" scenarios="1"/>
  <printOptions/>
  <pageMargins left="0.75" right="0.75" top="1" bottom="1" header="0.5" footer="0.5"/>
  <pageSetup fitToHeight="1" fitToWidth="1" horizontalDpi="600" verticalDpi="600" orientation="landscape" paperSize="9" scale="72" r:id="rId2"/>
  <headerFooter alignWithMargins="0">
    <oddFooter>&amp;R&amp;P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41"/>
  <sheetViews>
    <sheetView showGridLines="0" showZeros="0"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57.7109375" style="0" customWidth="1"/>
    <col min="3" max="5" width="35.7109375" style="0" customWidth="1"/>
  </cols>
  <sheetData>
    <row r="1" s="58" customFormat="1" ht="12.75"/>
    <row r="2" spans="2:3" s="58" customFormat="1" ht="12.75">
      <c r="B2" s="149" t="s">
        <v>284</v>
      </c>
      <c r="C2" s="93"/>
    </row>
    <row r="3" s="58" customFormat="1" ht="15.75">
      <c r="B3" s="57"/>
    </row>
    <row r="4" s="58" customFormat="1" ht="15.75">
      <c r="B4" s="57"/>
    </row>
    <row r="5" spans="2:5" s="58" customFormat="1" ht="12.75">
      <c r="B5" s="149" t="str">
        <f>CONCATENATE("Formulier ten behoeve van de tariefaanvraag ",'1. Voorblad'!$E$15," (begroting) / verrekening exploitatie ",'1. Voorblad'!$E$15-2," voor zelfstandige audiologische centra")</f>
        <v>Formulier ten behoeve van de tariefaanvraag 2006 (begroting) / verrekening exploitatie 2004 voor zelfstandige audiologische centra</v>
      </c>
      <c r="C5" s="93"/>
      <c r="D5" s="93"/>
      <c r="E5" s="93"/>
    </row>
    <row r="6" ht="15.75">
      <c r="A6" s="12"/>
    </row>
    <row r="8" ht="12.75">
      <c r="B8" s="5" t="s">
        <v>95</v>
      </c>
    </row>
    <row r="9" ht="12.75">
      <c r="B9" t="str">
        <f>CONCATENATE("De aanvraag dient vergezeld te gaan van de jaarrekening ",'1. Voorblad'!$E$15-2,"; als deze ontbreekt kan de aanvraag niet in behandeling worden genomen.")</f>
        <v>De aanvraag dient vergezeld te gaan van de jaarrekening 2004; als deze ontbreekt kan de aanvraag niet in behandeling worden genomen.</v>
      </c>
    </row>
    <row r="11" spans="1:2" ht="12.75">
      <c r="A11" s="8"/>
      <c r="B11" s="147" t="s">
        <v>276</v>
      </c>
    </row>
    <row r="12" spans="1:2" ht="12.75">
      <c r="A12" s="8"/>
      <c r="B12" s="4" t="s">
        <v>277</v>
      </c>
    </row>
    <row r="15" ht="12.75">
      <c r="B15" t="s">
        <v>236</v>
      </c>
    </row>
    <row r="17" ht="12.75">
      <c r="B17" s="5" t="s">
        <v>278</v>
      </c>
    </row>
    <row r="18" ht="12.75">
      <c r="B18" s="5"/>
    </row>
    <row r="19" ht="12.75">
      <c r="B19" s="5" t="s">
        <v>280</v>
      </c>
    </row>
    <row r="21" ht="12.75">
      <c r="B21" s="5" t="str">
        <f>CONCATENATE("3. Kostenoverzicht ",'1. Voorblad'!E15-2,"-",'1. Voorblad'!E15," en tariefberekening")</f>
        <v>3. Kostenoverzicht 2004-2006 en tariefberekening</v>
      </c>
    </row>
    <row r="23" ht="12.75">
      <c r="B23" s="5" t="s">
        <v>98</v>
      </c>
    </row>
    <row r="25" ht="12.75">
      <c r="B25" s="5" t="s">
        <v>160</v>
      </c>
    </row>
    <row r="27" ht="12.75">
      <c r="B27" s="5" t="s">
        <v>161</v>
      </c>
    </row>
    <row r="30" ht="12.75">
      <c r="B30" t="s">
        <v>274</v>
      </c>
    </row>
    <row r="31" ht="12.75">
      <c r="B31" t="s">
        <v>275</v>
      </c>
    </row>
    <row r="32" ht="12.75">
      <c r="B32" t="s">
        <v>279</v>
      </c>
    </row>
    <row r="41" ht="12.75">
      <c r="A41" s="8"/>
    </row>
  </sheetData>
  <sheetProtection password="D00A" sheet="1" objects="1" scenarios="1"/>
  <printOptions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X133"/>
  <sheetViews>
    <sheetView showGridLines="0" showZeros="0" tabSelected="1" view="pageBreakPreview" zoomScaleSheetLayoutView="100" workbookViewId="0" topLeftCell="A3">
      <selection activeCell="B2" sqref="B2"/>
    </sheetView>
  </sheetViews>
  <sheetFormatPr defaultColWidth="9.140625" defaultRowHeight="12.75"/>
  <cols>
    <col min="1" max="1" width="5.140625" style="58" customWidth="1"/>
    <col min="2" max="2" width="61.421875" style="58" customWidth="1"/>
    <col min="3" max="5" width="25.7109375" style="58" customWidth="1"/>
    <col min="6" max="6" width="13.140625" style="58" bestFit="1" customWidth="1"/>
    <col min="7" max="7" width="14.7109375" style="58" bestFit="1" customWidth="1"/>
    <col min="8" max="10" width="9.140625" style="58" customWidth="1"/>
    <col min="11" max="11" width="16.57421875" style="58" customWidth="1"/>
    <col min="12" max="16384" width="9.140625" style="58" customWidth="1"/>
  </cols>
  <sheetData>
    <row r="2" spans="2:3" ht="12.75">
      <c r="B2" s="149" t="s">
        <v>284</v>
      </c>
      <c r="C2" s="93"/>
    </row>
    <row r="3" ht="15.75">
      <c r="B3" s="57"/>
    </row>
    <row r="4" ht="15.75">
      <c r="B4" s="57"/>
    </row>
    <row r="5" spans="2:5" ht="12.75">
      <c r="B5" s="149" t="str">
        <f>CONCATENATE("Formulier ten behoeve van de tariefaanvraag ",'1. Voorblad'!E15," (begroting) / verrekening exploitatie ",'1. Voorblad'!E15-2," voor zelfstandige audiologische centra")</f>
        <v>Formulier ten behoeve van de tariefaanvraag 2006 (begroting) / verrekening exploitatie 2004 voor zelfstandige audiologische centra</v>
      </c>
      <c r="C5" s="93"/>
      <c r="D5" s="93"/>
      <c r="E5" s="93"/>
    </row>
    <row r="6" ht="15.75">
      <c r="A6" s="57"/>
    </row>
    <row r="7" spans="2:3" ht="12.75" hidden="1">
      <c r="B7" s="73" t="s">
        <v>63</v>
      </c>
      <c r="C7" s="63">
        <f>'1. Voorblad'!C33</f>
        <v>0</v>
      </c>
    </row>
    <row r="8" spans="2:3" ht="12.75" hidden="1">
      <c r="B8" s="74" t="s">
        <v>64</v>
      </c>
      <c r="C8" s="61"/>
    </row>
    <row r="9" spans="1:21" s="75" customFormat="1" ht="12.75">
      <c r="A9" s="76">
        <v>1</v>
      </c>
      <c r="B9" s="62" t="s">
        <v>100</v>
      </c>
      <c r="C9" s="77" t="str">
        <f>CONCATENATE("exploitatie ",'1. Voorblad'!E15-2)</f>
        <v>exploitatie 2004</v>
      </c>
      <c r="D9" s="77" t="str">
        <f>CONCATENATE("bijgestelde begroting ",'1. Voorblad'!E15-1)</f>
        <v>bijgestelde begroting 2005</v>
      </c>
      <c r="E9" s="77" t="str">
        <f>CONCATENATE("begroting ",'1. Voorblad'!E15)</f>
        <v>begroting 2006</v>
      </c>
      <c r="J9" s="75" t="s">
        <v>56</v>
      </c>
      <c r="O9" s="75" t="s">
        <v>243</v>
      </c>
      <c r="R9" s="75" t="s">
        <v>242</v>
      </c>
      <c r="U9" s="75" t="s">
        <v>244</v>
      </c>
    </row>
    <row r="10" spans="1:22" ht="12.75">
      <c r="A10" s="64" t="s">
        <v>15</v>
      </c>
      <c r="B10" s="78" t="s">
        <v>247</v>
      </c>
      <c r="C10" s="112">
        <f>'4. Specificatie kosten'!D20</f>
        <v>0</v>
      </c>
      <c r="D10" s="112">
        <f>'4. Specificatie kosten'!E20</f>
        <v>0</v>
      </c>
      <c r="E10" s="112">
        <f>'4. Specificatie kosten'!F20</f>
        <v>0</v>
      </c>
      <c r="J10" s="75" t="s">
        <v>1</v>
      </c>
      <c r="K10" s="75"/>
      <c r="L10" s="79" t="s">
        <v>3</v>
      </c>
      <c r="M10" s="79"/>
      <c r="N10" s="75"/>
      <c r="O10" s="75" t="s">
        <v>11</v>
      </c>
      <c r="P10" s="75"/>
      <c r="Q10" s="75"/>
      <c r="R10" s="75" t="s">
        <v>4</v>
      </c>
      <c r="S10" s="75"/>
      <c r="T10" s="75"/>
      <c r="U10" s="75" t="s">
        <v>13</v>
      </c>
      <c r="V10" s="75"/>
    </row>
    <row r="11" spans="1:22" ht="12.75">
      <c r="A11" s="64" t="s">
        <v>16</v>
      </c>
      <c r="B11" s="78" t="s">
        <v>34</v>
      </c>
      <c r="C11" s="130"/>
      <c r="D11" s="130"/>
      <c r="E11" s="130"/>
      <c r="L11" s="80" t="s">
        <v>2</v>
      </c>
      <c r="M11" s="80" t="s">
        <v>5</v>
      </c>
      <c r="O11" s="58" t="s">
        <v>2</v>
      </c>
      <c r="P11" s="58" t="s">
        <v>5</v>
      </c>
      <c r="R11" s="58" t="s">
        <v>2</v>
      </c>
      <c r="S11" s="58" t="s">
        <v>5</v>
      </c>
      <c r="U11" s="58" t="s">
        <v>2</v>
      </c>
      <c r="V11" s="58" t="s">
        <v>5</v>
      </c>
    </row>
    <row r="12" spans="1:23" ht="12.75">
      <c r="A12" s="64" t="s">
        <v>17</v>
      </c>
      <c r="B12" s="78" t="s">
        <v>35</v>
      </c>
      <c r="C12" s="130"/>
      <c r="D12" s="130"/>
      <c r="E12" s="130"/>
      <c r="K12" s="58">
        <v>500</v>
      </c>
      <c r="L12" s="81">
        <v>27100</v>
      </c>
      <c r="M12" s="81">
        <v>222.15</v>
      </c>
      <c r="N12" s="64">
        <v>222.15</v>
      </c>
      <c r="O12" s="78">
        <v>27600</v>
      </c>
      <c r="P12" s="78">
        <v>225.82</v>
      </c>
      <c r="Q12" s="78">
        <v>225.82</v>
      </c>
      <c r="R12" s="82">
        <v>27900</v>
      </c>
      <c r="S12" s="83">
        <v>227.9</v>
      </c>
      <c r="T12" s="83">
        <v>227.9</v>
      </c>
      <c r="U12" s="82">
        <f aca="true" t="shared" si="0" ref="U12:U17">ROUND(R12/100*1.0033,0)*100</f>
        <v>28000</v>
      </c>
      <c r="V12" s="83">
        <f aca="true" t="shared" si="1" ref="V12:W18">ROUND(S12*1.0033,2)</f>
        <v>228.65</v>
      </c>
      <c r="W12" s="83">
        <f t="shared" si="1"/>
        <v>228.65</v>
      </c>
    </row>
    <row r="13" spans="1:23" ht="12.75">
      <c r="A13" s="64" t="s">
        <v>18</v>
      </c>
      <c r="B13" s="78" t="s">
        <v>36</v>
      </c>
      <c r="C13" s="130"/>
      <c r="D13" s="130"/>
      <c r="E13" s="130"/>
      <c r="J13" s="58">
        <v>500</v>
      </c>
      <c r="K13" s="58">
        <v>1000</v>
      </c>
      <c r="L13" s="81">
        <v>27100</v>
      </c>
      <c r="M13" s="81">
        <v>222.15</v>
      </c>
      <c r="N13" s="64">
        <v>213.08</v>
      </c>
      <c r="O13" s="78">
        <v>27600</v>
      </c>
      <c r="P13" s="78">
        <v>225.82</v>
      </c>
      <c r="Q13" s="78">
        <v>216.6</v>
      </c>
      <c r="R13" s="82">
        <v>27900</v>
      </c>
      <c r="S13" s="83">
        <v>227.9</v>
      </c>
      <c r="T13" s="83">
        <v>218.59</v>
      </c>
      <c r="U13" s="82">
        <f t="shared" si="0"/>
        <v>28000</v>
      </c>
      <c r="V13" s="83">
        <f t="shared" si="1"/>
        <v>228.65</v>
      </c>
      <c r="W13" s="83">
        <f t="shared" si="1"/>
        <v>219.31</v>
      </c>
    </row>
    <row r="14" spans="1:23" ht="12.75">
      <c r="A14" s="64" t="s">
        <v>19</v>
      </c>
      <c r="B14" s="78" t="s">
        <v>37</v>
      </c>
      <c r="C14" s="130"/>
      <c r="D14" s="130"/>
      <c r="E14" s="130"/>
      <c r="J14" s="58">
        <v>1000</v>
      </c>
      <c r="K14" s="58">
        <v>2000</v>
      </c>
      <c r="L14" s="81">
        <v>29500</v>
      </c>
      <c r="M14" s="81">
        <v>214.12</v>
      </c>
      <c r="N14" s="64">
        <v>195.8</v>
      </c>
      <c r="O14" s="78">
        <v>30000</v>
      </c>
      <c r="P14" s="78">
        <v>217.65</v>
      </c>
      <c r="Q14" s="78">
        <v>199.03</v>
      </c>
      <c r="R14" s="82">
        <v>30300</v>
      </c>
      <c r="S14" s="83">
        <v>219.65</v>
      </c>
      <c r="T14" s="83">
        <v>200.86</v>
      </c>
      <c r="U14" s="82">
        <f t="shared" si="0"/>
        <v>30400</v>
      </c>
      <c r="V14" s="83">
        <f t="shared" si="1"/>
        <v>220.37</v>
      </c>
      <c r="W14" s="83">
        <f t="shared" si="1"/>
        <v>201.52</v>
      </c>
    </row>
    <row r="15" spans="1:23" ht="12.75">
      <c r="A15" s="64" t="s">
        <v>20</v>
      </c>
      <c r="B15" s="78" t="s">
        <v>248</v>
      </c>
      <c r="C15" s="112">
        <f>'4. Specificatie kosten'!D27</f>
        <v>0</v>
      </c>
      <c r="D15" s="112">
        <f>'4. Specificatie kosten'!E27</f>
        <v>0</v>
      </c>
      <c r="E15" s="112">
        <f>'4. Specificatie kosten'!F27</f>
        <v>0</v>
      </c>
      <c r="J15" s="58">
        <v>2000</v>
      </c>
      <c r="K15" s="58">
        <v>3500</v>
      </c>
      <c r="L15" s="81">
        <v>31900</v>
      </c>
      <c r="M15" s="81">
        <v>196.9</v>
      </c>
      <c r="N15" s="64">
        <v>169.44</v>
      </c>
      <c r="O15" s="78">
        <v>32400</v>
      </c>
      <c r="P15" s="78">
        <v>200.15</v>
      </c>
      <c r="Q15" s="78">
        <v>172.24</v>
      </c>
      <c r="R15" s="82">
        <v>32700</v>
      </c>
      <c r="S15" s="83">
        <v>201.99</v>
      </c>
      <c r="T15" s="83">
        <v>173.82</v>
      </c>
      <c r="U15" s="82">
        <f t="shared" si="0"/>
        <v>32800</v>
      </c>
      <c r="V15" s="83">
        <f t="shared" si="1"/>
        <v>202.66</v>
      </c>
      <c r="W15" s="83">
        <f t="shared" si="1"/>
        <v>174.39</v>
      </c>
    </row>
    <row r="16" spans="1:23" ht="12.75">
      <c r="A16" s="64" t="s">
        <v>21</v>
      </c>
      <c r="B16" s="78" t="s">
        <v>39</v>
      </c>
      <c r="C16" s="130"/>
      <c r="D16" s="130"/>
      <c r="E16" s="130"/>
      <c r="J16" s="58">
        <v>3500</v>
      </c>
      <c r="K16" s="58">
        <v>5800</v>
      </c>
      <c r="L16" s="81">
        <v>31900</v>
      </c>
      <c r="M16" s="81">
        <v>169.44</v>
      </c>
      <c r="N16" s="64">
        <v>169.44</v>
      </c>
      <c r="O16" s="78">
        <v>32400</v>
      </c>
      <c r="P16" s="78">
        <v>172.24</v>
      </c>
      <c r="Q16" s="78">
        <v>172.24</v>
      </c>
      <c r="R16" s="82">
        <v>32700</v>
      </c>
      <c r="S16" s="83">
        <v>173.82</v>
      </c>
      <c r="T16" s="83">
        <v>173.82</v>
      </c>
      <c r="U16" s="82">
        <f t="shared" si="0"/>
        <v>32800</v>
      </c>
      <c r="V16" s="83">
        <f t="shared" si="1"/>
        <v>174.39</v>
      </c>
      <c r="W16" s="83">
        <f t="shared" si="1"/>
        <v>174.39</v>
      </c>
    </row>
    <row r="17" spans="1:23" ht="12.75">
      <c r="A17" s="64" t="s">
        <v>22</v>
      </c>
      <c r="B17" s="78" t="s">
        <v>40</v>
      </c>
      <c r="C17" s="130"/>
      <c r="D17" s="130"/>
      <c r="E17" s="130"/>
      <c r="J17" s="58">
        <v>5800</v>
      </c>
      <c r="L17" s="81">
        <v>31900</v>
      </c>
      <c r="M17" s="81">
        <v>155.58</v>
      </c>
      <c r="N17" s="64">
        <v>155.58</v>
      </c>
      <c r="O17" s="78">
        <v>32400</v>
      </c>
      <c r="P17" s="78">
        <v>158.15</v>
      </c>
      <c r="Q17" s="78">
        <v>158.15</v>
      </c>
      <c r="R17" s="82">
        <v>32700</v>
      </c>
      <c r="S17" s="83">
        <v>159.6</v>
      </c>
      <c r="T17" s="83">
        <v>159.6</v>
      </c>
      <c r="U17" s="82">
        <f t="shared" si="0"/>
        <v>32800</v>
      </c>
      <c r="V17" s="83">
        <f t="shared" si="1"/>
        <v>160.13</v>
      </c>
      <c r="W17" s="83">
        <f t="shared" si="1"/>
        <v>160.13</v>
      </c>
    </row>
    <row r="18" spans="1:24" ht="12.75">
      <c r="A18" s="64" t="s">
        <v>23</v>
      </c>
      <c r="B18" s="78" t="s">
        <v>249</v>
      </c>
      <c r="C18" s="112">
        <f>'4. Specificatie kosten'!D38</f>
        <v>0</v>
      </c>
      <c r="D18" s="112">
        <f>'4. Specificatie kosten'!E38</f>
        <v>0</v>
      </c>
      <c r="E18" s="112">
        <f>'4. Specificatie kosten'!F38</f>
        <v>0</v>
      </c>
      <c r="L18" s="80"/>
      <c r="M18" s="80"/>
      <c r="R18" s="84">
        <v>19181</v>
      </c>
      <c r="S18" s="84">
        <v>611.28</v>
      </c>
      <c r="T18" s="84">
        <v>611.28</v>
      </c>
      <c r="U18" s="82">
        <f>ROUND(R18*1.0033,0)</f>
        <v>19244</v>
      </c>
      <c r="V18" s="83">
        <f t="shared" si="1"/>
        <v>613.3</v>
      </c>
      <c r="W18" s="83">
        <f t="shared" si="1"/>
        <v>613.3</v>
      </c>
      <c r="X18" s="58" t="s">
        <v>67</v>
      </c>
    </row>
    <row r="19" spans="1:22" ht="12.75">
      <c r="A19" s="64" t="s">
        <v>24</v>
      </c>
      <c r="B19" s="78" t="s">
        <v>250</v>
      </c>
      <c r="C19" s="112">
        <f>'4. Specificatie kosten'!D46</f>
        <v>0</v>
      </c>
      <c r="D19" s="112">
        <f>'4. Specificatie kosten'!E46</f>
        <v>0</v>
      </c>
      <c r="E19" s="112">
        <f>'4. Specificatie kosten'!F46</f>
        <v>0</v>
      </c>
      <c r="L19" s="80"/>
      <c r="M19" s="80"/>
      <c r="O19" s="85">
        <f>IF(C$43&lt;=1000,O13,IF(C$43&lt;=2000,O14,O15))</f>
        <v>27600</v>
      </c>
      <c r="P19" s="85">
        <f>ROUND(IF(C$43&lt;=500,C$43*P13,IF(C$43&lt;=1000,((Q13-P13)/500*(C$43-500)+P13)*C$43,IF(C$43&lt;=2000,((Q14-P14)/1000*(C$43-1000)+P14)*C$43,IF(C$43&lt;=3500,((Q15-P15)/1500*(C$43-2000)+P15)*C$43,IF(C$43&lt;=5800,P16*C$43,P17*C$43))))),0)</f>
        <v>0</v>
      </c>
      <c r="U19" s="85">
        <f>IF(E43&lt;=1000,U13,IF(E43&lt;=2000,U14,U15))</f>
        <v>28000</v>
      </c>
      <c r="V19" s="85">
        <f>ROUND(IF(E$43&lt;=500,E$43*V13,IF(E$43&lt;=1000,((W13-V13)/500*(E$43-500)+V13)*E$43,IF(E$43&lt;=2000,((W14-V14)/1000*(E$43-1000)+V14)*E$43,IF(E$43&lt;=3500,((W15-V15)/1500*(E$43-2000)+V15)*E$43,IF(E$43&lt;=5800,V16*E$43,V17*E$43))))),0)</f>
        <v>0</v>
      </c>
    </row>
    <row r="20" spans="1:21" ht="12.75">
      <c r="A20" s="64" t="s">
        <v>25</v>
      </c>
      <c r="B20" s="78" t="s">
        <v>251</v>
      </c>
      <c r="C20" s="112">
        <f>'4. Specificatie kosten'!D58</f>
        <v>0</v>
      </c>
      <c r="D20" s="112">
        <f>'4. Specificatie kosten'!E58</f>
        <v>0</v>
      </c>
      <c r="E20" s="112">
        <f>'4. Specificatie kosten'!F58</f>
        <v>0</v>
      </c>
      <c r="O20" s="85">
        <f>O19+P19</f>
        <v>27600</v>
      </c>
      <c r="U20" s="85">
        <f>U19+V19</f>
        <v>28000</v>
      </c>
    </row>
    <row r="21" spans="1:22" ht="12.75">
      <c r="A21" s="64" t="s">
        <v>26</v>
      </c>
      <c r="B21" s="78" t="s">
        <v>44</v>
      </c>
      <c r="C21" s="130"/>
      <c r="D21" s="130"/>
      <c r="E21" s="130"/>
      <c r="J21" s="75" t="s">
        <v>1</v>
      </c>
      <c r="K21" s="75"/>
      <c r="L21" s="79" t="s">
        <v>6</v>
      </c>
      <c r="M21" s="79"/>
      <c r="N21" s="75"/>
      <c r="O21" s="75" t="s">
        <v>12</v>
      </c>
      <c r="P21" s="75"/>
      <c r="Q21" s="75"/>
      <c r="R21" s="75" t="s">
        <v>7</v>
      </c>
      <c r="S21" s="75"/>
      <c r="T21" s="75"/>
      <c r="U21" s="75" t="s">
        <v>14</v>
      </c>
      <c r="V21" s="75"/>
    </row>
    <row r="22" spans="1:22" ht="12.75">
      <c r="A22" s="64" t="s">
        <v>27</v>
      </c>
      <c r="B22" s="78" t="s">
        <v>45</v>
      </c>
      <c r="C22" s="130"/>
      <c r="D22" s="130"/>
      <c r="E22" s="130"/>
      <c r="L22" s="80" t="s">
        <v>2</v>
      </c>
      <c r="M22" s="80" t="s">
        <v>5</v>
      </c>
      <c r="O22" s="58" t="s">
        <v>2</v>
      </c>
      <c r="P22" s="58" t="s">
        <v>5</v>
      </c>
      <c r="R22" s="58" t="s">
        <v>2</v>
      </c>
      <c r="S22" s="58" t="s">
        <v>5</v>
      </c>
      <c r="U22" s="58" t="s">
        <v>2</v>
      </c>
      <c r="V22" s="58" t="s">
        <v>5</v>
      </c>
    </row>
    <row r="23" spans="1:23" ht="12.75">
      <c r="A23" s="64" t="s">
        <v>28</v>
      </c>
      <c r="B23" s="78" t="s">
        <v>46</v>
      </c>
      <c r="C23" s="146">
        <v>0</v>
      </c>
      <c r="D23" s="146">
        <v>0</v>
      </c>
      <c r="E23" s="146">
        <v>0</v>
      </c>
      <c r="K23" s="58">
        <v>500</v>
      </c>
      <c r="L23" s="81">
        <v>26600</v>
      </c>
      <c r="M23" s="81">
        <v>217.97</v>
      </c>
      <c r="N23" s="64">
        <v>217.97</v>
      </c>
      <c r="O23" s="78">
        <v>27100</v>
      </c>
      <c r="P23" s="78">
        <v>221.57</v>
      </c>
      <c r="Q23" s="78">
        <v>221.57</v>
      </c>
      <c r="R23" s="82">
        <v>27300</v>
      </c>
      <c r="S23" s="64">
        <v>223.61</v>
      </c>
      <c r="T23" s="64">
        <v>223.61</v>
      </c>
      <c r="U23" s="82">
        <f aca="true" t="shared" si="2" ref="U23:U28">ROUND(R23/100*1.0033,0)*100</f>
        <v>27400</v>
      </c>
      <c r="V23" s="83">
        <f aca="true" t="shared" si="3" ref="V23:W29">ROUND(S23*1.0033,2)</f>
        <v>224.35</v>
      </c>
      <c r="W23" s="83">
        <f t="shared" si="3"/>
        <v>224.35</v>
      </c>
    </row>
    <row r="24" spans="1:23" ht="12.75">
      <c r="A24" s="64"/>
      <c r="B24" s="62" t="s">
        <v>47</v>
      </c>
      <c r="C24" s="140">
        <f>SUM(C10:C22)-C23</f>
        <v>0</v>
      </c>
      <c r="D24" s="140">
        <f>SUM(D10:D22)-D23</f>
        <v>0</v>
      </c>
      <c r="E24" s="140">
        <f>SUM(E10:E22)-E23</f>
        <v>0</v>
      </c>
      <c r="J24" s="58">
        <v>500</v>
      </c>
      <c r="K24" s="58">
        <v>1000</v>
      </c>
      <c r="L24" s="81">
        <v>26600</v>
      </c>
      <c r="M24" s="81">
        <v>217.97</v>
      </c>
      <c r="N24" s="64">
        <v>209.07</v>
      </c>
      <c r="O24" s="78">
        <v>27100</v>
      </c>
      <c r="P24" s="78">
        <v>221.57</v>
      </c>
      <c r="Q24" s="78">
        <v>212.52</v>
      </c>
      <c r="R24" s="82">
        <v>27300</v>
      </c>
      <c r="S24" s="64">
        <v>223.61</v>
      </c>
      <c r="T24" s="64">
        <v>214.48</v>
      </c>
      <c r="U24" s="82">
        <f t="shared" si="2"/>
        <v>27400</v>
      </c>
      <c r="V24" s="83">
        <f t="shared" si="3"/>
        <v>224.35</v>
      </c>
      <c r="W24" s="83">
        <f t="shared" si="3"/>
        <v>215.19</v>
      </c>
    </row>
    <row r="25" spans="1:23" ht="12.75">
      <c r="A25" s="64" t="s">
        <v>31</v>
      </c>
      <c r="B25" s="78" t="s">
        <v>29</v>
      </c>
      <c r="C25" s="130"/>
      <c r="D25" s="130"/>
      <c r="E25" s="130"/>
      <c r="J25" s="58">
        <v>1000</v>
      </c>
      <c r="K25" s="58">
        <v>2000</v>
      </c>
      <c r="L25" s="81">
        <v>28900</v>
      </c>
      <c r="M25" s="81">
        <v>210.05</v>
      </c>
      <c r="N25" s="64">
        <v>192.11</v>
      </c>
      <c r="O25" s="78">
        <v>29400</v>
      </c>
      <c r="P25" s="78">
        <v>213.52</v>
      </c>
      <c r="Q25" s="78">
        <v>195.28</v>
      </c>
      <c r="R25" s="82">
        <v>29700</v>
      </c>
      <c r="S25" s="64">
        <v>215.48</v>
      </c>
      <c r="T25" s="64">
        <v>197.08</v>
      </c>
      <c r="U25" s="82">
        <f t="shared" si="2"/>
        <v>29800</v>
      </c>
      <c r="V25" s="83">
        <f t="shared" si="3"/>
        <v>216.19</v>
      </c>
      <c r="W25" s="83">
        <f t="shared" si="3"/>
        <v>197.73</v>
      </c>
    </row>
    <row r="26" spans="1:23" ht="12.75">
      <c r="A26" s="64" t="s">
        <v>32</v>
      </c>
      <c r="B26" s="78" t="s">
        <v>30</v>
      </c>
      <c r="C26" s="130"/>
      <c r="D26" s="130"/>
      <c r="E26" s="130"/>
      <c r="J26" s="58">
        <v>2000</v>
      </c>
      <c r="K26" s="58">
        <v>3500</v>
      </c>
      <c r="L26" s="81">
        <v>31200</v>
      </c>
      <c r="M26" s="81">
        <v>193.17</v>
      </c>
      <c r="N26" s="64">
        <v>166.19</v>
      </c>
      <c r="O26" s="78">
        <v>31800</v>
      </c>
      <c r="P26" s="78">
        <v>196.36</v>
      </c>
      <c r="Q26" s="78">
        <v>168.93</v>
      </c>
      <c r="R26" s="82">
        <v>32100</v>
      </c>
      <c r="S26" s="64">
        <v>198.17</v>
      </c>
      <c r="T26" s="64">
        <v>170.48</v>
      </c>
      <c r="U26" s="82">
        <f t="shared" si="2"/>
        <v>32200</v>
      </c>
      <c r="V26" s="83">
        <f t="shared" si="3"/>
        <v>198.82</v>
      </c>
      <c r="W26" s="83">
        <f t="shared" si="3"/>
        <v>171.04</v>
      </c>
    </row>
    <row r="27" spans="1:23" ht="12.75">
      <c r="A27" s="64"/>
      <c r="B27" s="62" t="s">
        <v>48</v>
      </c>
      <c r="C27" s="140">
        <f>C26-(C25+C24)</f>
        <v>0</v>
      </c>
      <c r="D27" s="140">
        <f>D26-(D25+D24)</f>
        <v>0</v>
      </c>
      <c r="E27" s="140">
        <f>E26-(E25+E24)</f>
        <v>0</v>
      </c>
      <c r="J27" s="58">
        <v>3500</v>
      </c>
      <c r="K27" s="58">
        <v>5800</v>
      </c>
      <c r="L27" s="81">
        <v>31200</v>
      </c>
      <c r="M27" s="81">
        <v>166.19</v>
      </c>
      <c r="N27" s="64">
        <v>166.19</v>
      </c>
      <c r="O27" s="78">
        <v>31800</v>
      </c>
      <c r="P27" s="78">
        <v>168.93</v>
      </c>
      <c r="Q27" s="78">
        <v>168.93</v>
      </c>
      <c r="R27" s="82">
        <v>32100</v>
      </c>
      <c r="S27" s="64">
        <v>170.48</v>
      </c>
      <c r="T27" s="64">
        <v>170.48</v>
      </c>
      <c r="U27" s="82">
        <f t="shared" si="2"/>
        <v>32200</v>
      </c>
      <c r="V27" s="83">
        <f t="shared" si="3"/>
        <v>171.04</v>
      </c>
      <c r="W27" s="83">
        <f t="shared" si="3"/>
        <v>171.04</v>
      </c>
    </row>
    <row r="28" spans="10:23" ht="12.75">
      <c r="J28" s="58">
        <v>5800</v>
      </c>
      <c r="L28" s="81">
        <v>31200</v>
      </c>
      <c r="M28" s="81">
        <v>152.66</v>
      </c>
      <c r="N28" s="64">
        <v>152.66</v>
      </c>
      <c r="O28" s="78">
        <v>31800</v>
      </c>
      <c r="P28" s="78">
        <v>155.18</v>
      </c>
      <c r="Q28" s="78">
        <v>155.18</v>
      </c>
      <c r="R28" s="82">
        <v>32100</v>
      </c>
      <c r="S28" s="64">
        <v>156.61</v>
      </c>
      <c r="T28" s="64">
        <v>156.61</v>
      </c>
      <c r="U28" s="82">
        <f t="shared" si="2"/>
        <v>32200</v>
      </c>
      <c r="V28" s="83">
        <f t="shared" si="3"/>
        <v>157.13</v>
      </c>
      <c r="W28" s="83">
        <f t="shared" si="3"/>
        <v>157.13</v>
      </c>
    </row>
    <row r="29" spans="1:24" ht="12.75">
      <c r="A29" s="64"/>
      <c r="B29" s="78" t="s">
        <v>96</v>
      </c>
      <c r="C29" s="112">
        <f>'4. Specificatie kosten'!D24+'4. Specificatie kosten'!D25</f>
        <v>0</v>
      </c>
      <c r="D29" s="112">
        <f>'4. Specificatie kosten'!E24+'4. Specificatie kosten'!E25</f>
        <v>0</v>
      </c>
      <c r="E29" s="112">
        <f>'4. Specificatie kosten'!F24+'4. Specificatie kosten'!F25</f>
        <v>0</v>
      </c>
      <c r="L29" s="80"/>
      <c r="M29" s="80"/>
      <c r="R29" s="84">
        <v>19181</v>
      </c>
      <c r="S29" s="84">
        <v>611.28</v>
      </c>
      <c r="T29" s="84">
        <v>611.28</v>
      </c>
      <c r="U29" s="82">
        <f>ROUND(R29*1.0033,0)</f>
        <v>19244</v>
      </c>
      <c r="V29" s="83">
        <f t="shared" si="3"/>
        <v>613.3</v>
      </c>
      <c r="W29" s="83">
        <f t="shared" si="3"/>
        <v>613.3</v>
      </c>
      <c r="X29" s="58" t="s">
        <v>67</v>
      </c>
    </row>
    <row r="30" spans="1:22" ht="12.75">
      <c r="A30" s="64"/>
      <c r="B30" s="78" t="s">
        <v>97</v>
      </c>
      <c r="C30" s="112">
        <f>C10+C11+C12+C15+C16+-C29</f>
        <v>0</v>
      </c>
      <c r="D30" s="112">
        <f>D10+D11+D12+D15+D16+-D29</f>
        <v>0</v>
      </c>
      <c r="E30" s="112">
        <f>E10+E11+E12+E15+E16+-E29</f>
        <v>0</v>
      </c>
      <c r="O30" s="85">
        <f>IF(C$43&lt;=1000,O24,IF(C$43&lt;=2000,O25,O26))</f>
        <v>27100</v>
      </c>
      <c r="P30" s="85">
        <f>ROUND(IF(C$43&lt;=500,C$43*P24,IF(C$43&lt;=1000,((Q24-P24)/500*(C$43-500)+P24)*C$43,IF(C$43&lt;=2000,((Q25-P25)/1000*(C$43-1000)+P25)*C$43,IF(C$43&lt;=3500,((Q26-P26)/1500*(C$43-2000)+P26)*C$43,IF(C$43&lt;=5800,P27*C$43,P28*C$43))))),0)</f>
        <v>0</v>
      </c>
      <c r="U30" s="85">
        <f>IF(E56&lt;=1000,U24,IF(E56&lt;=2000,U25,U26))</f>
        <v>27400</v>
      </c>
      <c r="V30" s="85">
        <f>ROUND(IF(E$43&lt;=500,E$43*V24,IF(E$43&lt;=1000,((W24-V24)/500*(E$43-500)+V24)*E$43,IF(E$43&lt;=2000,((W25-V25)/1000*(E$43-1000)+V25)*E$43,IF(E$43&lt;=3500,((W26-V26)/1500*(E$43-2000)+V26)*E$43,IF(E$43&lt;=5800,V27*E$43,V28*E$43))))),0)</f>
        <v>0</v>
      </c>
    </row>
    <row r="31" spans="15:21" ht="12.75">
      <c r="O31" s="85">
        <f>O30+P30</f>
        <v>27100</v>
      </c>
      <c r="U31" s="85">
        <f>U30+V30</f>
        <v>27400</v>
      </c>
    </row>
    <row r="33" ht="12.75">
      <c r="F33" s="148" t="s">
        <v>281</v>
      </c>
    </row>
    <row r="34" spans="1:8" ht="12.75">
      <c r="A34" s="86"/>
      <c r="B34" s="86"/>
      <c r="C34" s="86"/>
      <c r="D34" s="87"/>
      <c r="E34" s="87"/>
      <c r="F34" s="104" t="s">
        <v>0</v>
      </c>
      <c r="G34" s="86"/>
      <c r="H34" s="86"/>
    </row>
    <row r="35" spans="1:8" ht="12.75">
      <c r="A35" s="76">
        <v>2</v>
      </c>
      <c r="B35" s="60" t="s">
        <v>49</v>
      </c>
      <c r="C35" s="66">
        <f>'1. Voorblad'!C15</f>
        <v>2004</v>
      </c>
      <c r="D35" s="66">
        <f>'1. Voorblad'!D15</f>
        <v>2005</v>
      </c>
      <c r="E35" s="66">
        <f>'1. Voorblad'!E15</f>
        <v>2006</v>
      </c>
      <c r="F35" s="66">
        <f>E35</f>
        <v>2006</v>
      </c>
      <c r="G35" s="60"/>
      <c r="H35" s="86"/>
    </row>
    <row r="36" spans="1:8" ht="12.75">
      <c r="A36" s="86"/>
      <c r="B36" s="78" t="s">
        <v>50</v>
      </c>
      <c r="C36" s="134"/>
      <c r="D36" s="135"/>
      <c r="E36" s="134"/>
      <c r="F36" s="88">
        <f>E36</f>
        <v>0</v>
      </c>
      <c r="G36" s="89"/>
      <c r="H36" s="86"/>
    </row>
    <row r="37" spans="1:8" ht="12.75">
      <c r="A37" s="86"/>
      <c r="B37" s="78" t="s">
        <v>51</v>
      </c>
      <c r="C37" s="134"/>
      <c r="D37" s="135"/>
      <c r="E37" s="134"/>
      <c r="F37" s="88">
        <f>E37/2</f>
        <v>0</v>
      </c>
      <c r="G37" s="89"/>
      <c r="H37" s="86"/>
    </row>
    <row r="38" spans="1:8" ht="12.75">
      <c r="A38" s="86"/>
      <c r="B38" s="78" t="s">
        <v>52</v>
      </c>
      <c r="C38" s="134"/>
      <c r="D38" s="135"/>
      <c r="E38" s="134"/>
      <c r="F38" s="88">
        <f>E38/4</f>
        <v>0</v>
      </c>
      <c r="G38" s="89"/>
      <c r="H38" s="86"/>
    </row>
    <row r="39" spans="1:8" ht="12.75">
      <c r="A39" s="86"/>
      <c r="B39" s="78" t="s">
        <v>53</v>
      </c>
      <c r="C39" s="134"/>
      <c r="D39" s="135"/>
      <c r="E39" s="134"/>
      <c r="F39" s="88">
        <f>E39*1.5</f>
        <v>0</v>
      </c>
      <c r="G39" s="89"/>
      <c r="H39" s="86"/>
    </row>
    <row r="40" spans="1:8" ht="12.75">
      <c r="A40" s="86"/>
      <c r="B40" s="78" t="s">
        <v>54</v>
      </c>
      <c r="C40" s="134"/>
      <c r="D40" s="135"/>
      <c r="E40" s="134"/>
      <c r="F40" s="88">
        <f>E40*1.5/2</f>
        <v>0</v>
      </c>
      <c r="G40" s="89"/>
      <c r="H40" s="86"/>
    </row>
    <row r="41" spans="1:8" ht="12.75">
      <c r="A41" s="86"/>
      <c r="B41" s="78" t="s">
        <v>55</v>
      </c>
      <c r="C41" s="134"/>
      <c r="D41" s="135"/>
      <c r="E41" s="134"/>
      <c r="F41" s="88">
        <f>E41*1.5/4</f>
        <v>0</v>
      </c>
      <c r="G41" s="89"/>
      <c r="H41" s="86"/>
    </row>
    <row r="42" spans="1:8" ht="12.75">
      <c r="A42" s="86"/>
      <c r="B42" s="62" t="s">
        <v>61</v>
      </c>
      <c r="C42" s="136">
        <f>SUM(C36:C41)</f>
        <v>0</v>
      </c>
      <c r="D42" s="137">
        <f>SUM(D36:D41)</f>
        <v>0</v>
      </c>
      <c r="E42" s="137">
        <f>SUM(E36:E41)</f>
        <v>0</v>
      </c>
      <c r="F42" s="90">
        <f>SUM(F36:F41)</f>
        <v>0</v>
      </c>
      <c r="H42" s="86"/>
    </row>
    <row r="43" spans="1:8" ht="12.75">
      <c r="A43" s="86"/>
      <c r="B43" s="92" t="s">
        <v>9</v>
      </c>
      <c r="C43" s="138">
        <f>C36+0.5*C37+0.5*C38+1.5*C39+0.75*C40+0.75*C41</f>
        <v>0</v>
      </c>
      <c r="D43" s="139">
        <f>D36+0.5*D37+0.5*D38+1.5*D39+0.75*D40+0.75*D41</f>
        <v>0</v>
      </c>
      <c r="E43" s="137">
        <f>E36+0.5*E37+0.5*E38+1.5*E39+0.75*E40+0.75*E41</f>
        <v>0</v>
      </c>
      <c r="F43" s="91" t="s">
        <v>271</v>
      </c>
      <c r="H43" s="86"/>
    </row>
    <row r="44" spans="1:8" ht="12.75">
      <c r="A44" s="86"/>
      <c r="B44" s="62" t="s">
        <v>62</v>
      </c>
      <c r="C44" s="93"/>
      <c r="D44" s="94"/>
      <c r="E44" s="134"/>
      <c r="F44" s="91" t="s">
        <v>66</v>
      </c>
      <c r="G44" s="95"/>
      <c r="H44" s="86"/>
    </row>
    <row r="45" spans="1:8" ht="12.75">
      <c r="A45" s="86"/>
      <c r="B45" s="60"/>
      <c r="C45" s="86"/>
      <c r="D45" s="87"/>
      <c r="E45" s="96"/>
      <c r="H45" s="86"/>
    </row>
    <row r="46" spans="1:8" ht="12.75">
      <c r="A46" s="86"/>
      <c r="B46" s="86"/>
      <c r="C46" s="86"/>
      <c r="D46" s="87"/>
      <c r="E46" s="87"/>
      <c r="H46" s="86"/>
    </row>
    <row r="47" spans="1:8" ht="12.75">
      <c r="A47" s="76">
        <v>3</v>
      </c>
      <c r="B47" s="70" t="s">
        <v>10</v>
      </c>
      <c r="C47" s="65">
        <f>C35</f>
        <v>2004</v>
      </c>
      <c r="D47" s="87"/>
      <c r="E47" s="153">
        <f>E35</f>
        <v>2006</v>
      </c>
      <c r="H47" s="86"/>
    </row>
    <row r="48" spans="1:8" ht="12.75">
      <c r="A48" s="86"/>
      <c r="B48" s="61" t="s">
        <v>252</v>
      </c>
      <c r="C48" s="97">
        <f>C30</f>
        <v>0</v>
      </c>
      <c r="D48" s="98"/>
      <c r="E48" s="99">
        <f>E30</f>
        <v>0</v>
      </c>
      <c r="F48" s="61"/>
      <c r="G48" s="61"/>
      <c r="H48" s="61"/>
    </row>
    <row r="49" spans="1:8" ht="12.75">
      <c r="A49" s="86"/>
      <c r="B49" s="61" t="s">
        <v>254</v>
      </c>
      <c r="C49" s="146">
        <v>0</v>
      </c>
      <c r="D49" s="98"/>
      <c r="E49" s="146">
        <v>0</v>
      </c>
      <c r="F49" s="61"/>
      <c r="G49" s="61"/>
      <c r="H49" s="61"/>
    </row>
    <row r="50" spans="1:8" ht="12.75">
      <c r="A50" s="86"/>
      <c r="B50" s="61" t="s">
        <v>255</v>
      </c>
      <c r="C50" s="100"/>
      <c r="D50" s="98"/>
      <c r="E50" s="101">
        <f>IF(E44&gt;0,(E44*W18)+U18,0)</f>
        <v>0</v>
      </c>
      <c r="F50" s="61"/>
      <c r="G50" s="61"/>
      <c r="H50" s="61"/>
    </row>
    <row r="51" spans="1:8" ht="12.75">
      <c r="A51" s="86"/>
      <c r="B51" s="61" t="s">
        <v>256</v>
      </c>
      <c r="C51" s="97">
        <f>IF(C7=0,O20,O31)</f>
        <v>27600</v>
      </c>
      <c r="D51" s="98"/>
      <c r="E51" s="99">
        <f>IF(C7=0,U20,U31)</f>
        <v>28000</v>
      </c>
      <c r="F51" s="61"/>
      <c r="G51" s="61"/>
      <c r="H51" s="61"/>
    </row>
    <row r="52" spans="1:8" ht="12.75">
      <c r="A52" s="86"/>
      <c r="B52" s="61" t="s">
        <v>257</v>
      </c>
      <c r="C52" s="97">
        <f>IF(C48-C49&gt;C51,C51,C48-C49)</f>
        <v>0</v>
      </c>
      <c r="D52" s="98"/>
      <c r="E52" s="97">
        <f>IF((E48-E49)&gt;(E50+E51),(E50+E51),(E48-E49))</f>
        <v>0</v>
      </c>
      <c r="F52" s="61"/>
      <c r="G52" s="61"/>
      <c r="H52" s="61"/>
    </row>
    <row r="54" spans="1:8" ht="12.75">
      <c r="A54" s="86"/>
      <c r="B54" s="61" t="s">
        <v>258</v>
      </c>
      <c r="C54" s="99">
        <f>C13+C14+SUM(C17:C22)-(C23-C49)+C29</f>
        <v>0</v>
      </c>
      <c r="D54" s="98"/>
      <c r="E54" s="99">
        <f>E13+E14+SUM(E17:E22)-(E23-E49)+E29</f>
        <v>0</v>
      </c>
      <c r="F54" s="102"/>
      <c r="G54" s="103"/>
      <c r="H54" s="103"/>
    </row>
    <row r="55" ht="12.75">
      <c r="B55" s="132" t="s">
        <v>253</v>
      </c>
    </row>
    <row r="57" spans="1:8" ht="12.75">
      <c r="A57" s="86"/>
      <c r="B57" s="75" t="s">
        <v>259</v>
      </c>
      <c r="C57" s="99">
        <f>C52+C54</f>
        <v>0</v>
      </c>
      <c r="D57" s="104"/>
      <c r="E57" s="99">
        <f>E52+E54</f>
        <v>0</v>
      </c>
      <c r="F57" s="95" t="s">
        <v>65</v>
      </c>
      <c r="G57" s="95"/>
      <c r="H57" s="86"/>
    </row>
    <row r="58" spans="1:8" ht="12.75">
      <c r="A58" s="86"/>
      <c r="E58" s="96"/>
      <c r="F58" s="86"/>
      <c r="G58" s="86"/>
      <c r="H58" s="86"/>
    </row>
    <row r="59" spans="1:8" ht="12.75">
      <c r="A59" s="86"/>
      <c r="E59" s="96"/>
      <c r="F59" s="86"/>
      <c r="G59" s="86"/>
      <c r="H59" s="86"/>
    </row>
    <row r="60" spans="1:8" ht="12.75">
      <c r="A60" s="151">
        <v>4</v>
      </c>
      <c r="B60" s="75" t="s">
        <v>237</v>
      </c>
      <c r="E60" s="96"/>
      <c r="F60" s="86"/>
      <c r="G60" s="86"/>
      <c r="H60" s="86"/>
    </row>
    <row r="61" spans="2:6" ht="12.75">
      <c r="B61" s="98" t="s">
        <v>245</v>
      </c>
      <c r="D61" s="105" t="s">
        <v>272</v>
      </c>
      <c r="E61" s="99">
        <f>IF(F42=0,0,ROUND(E57/F42,0))</f>
        <v>0</v>
      </c>
      <c r="F61" s="95"/>
    </row>
    <row r="62" spans="1:8" ht="12.75">
      <c r="A62" s="86"/>
      <c r="B62" s="86"/>
      <c r="D62" s="106"/>
      <c r="E62" s="106"/>
      <c r="F62" s="103"/>
      <c r="G62" s="103"/>
      <c r="H62" s="86"/>
    </row>
    <row r="63" spans="1:8" ht="12.75">
      <c r="A63" s="151">
        <v>5</v>
      </c>
      <c r="B63" s="73" t="s">
        <v>273</v>
      </c>
      <c r="D63" s="106"/>
      <c r="E63" s="106"/>
      <c r="F63" s="103"/>
      <c r="G63" s="103"/>
      <c r="H63" s="86"/>
    </row>
    <row r="64" spans="1:8" ht="12.75">
      <c r="A64" s="86"/>
      <c r="B64" s="61" t="s">
        <v>260</v>
      </c>
      <c r="C64" s="99">
        <f>C26-C25</f>
        <v>0</v>
      </c>
      <c r="D64" s="99">
        <f>D26-D25</f>
        <v>0</v>
      </c>
      <c r="E64" s="87"/>
      <c r="F64" s="86"/>
      <c r="G64" s="86"/>
      <c r="H64" s="86"/>
    </row>
    <row r="65" spans="1:8" ht="12.75">
      <c r="A65" s="86"/>
      <c r="B65" s="61" t="s">
        <v>261</v>
      </c>
      <c r="C65" s="99">
        <f>C57</f>
        <v>0</v>
      </c>
      <c r="D65" s="99">
        <f>D24</f>
        <v>0</v>
      </c>
      <c r="E65" s="87"/>
      <c r="F65" s="86"/>
      <c r="G65" s="86"/>
      <c r="H65" s="86"/>
    </row>
    <row r="66" spans="1:8" ht="12.75">
      <c r="A66" s="86"/>
      <c r="B66" s="108" t="s">
        <v>262</v>
      </c>
      <c r="C66" s="99">
        <f>C65-C64</f>
        <v>0</v>
      </c>
      <c r="D66" s="107">
        <f>D65-D64</f>
        <v>0</v>
      </c>
      <c r="E66" s="95"/>
      <c r="F66" s="86"/>
      <c r="G66" s="86"/>
      <c r="H66" s="61"/>
    </row>
    <row r="67" spans="1:8" ht="12.75">
      <c r="A67" s="86"/>
      <c r="B67" s="86"/>
      <c r="C67" s="86"/>
      <c r="D67" s="87"/>
      <c r="E67" s="87"/>
      <c r="F67" s="86"/>
      <c r="G67" s="86"/>
      <c r="H67" s="86"/>
    </row>
    <row r="68" spans="2:3" ht="12.75">
      <c r="B68" s="74" t="s">
        <v>264</v>
      </c>
      <c r="C68" s="109">
        <f>'1. Voorblad'!E12</f>
        <v>0</v>
      </c>
    </row>
    <row r="69" spans="2:3" ht="12.75">
      <c r="B69" s="74" t="s">
        <v>265</v>
      </c>
      <c r="C69" s="53"/>
    </row>
    <row r="70" spans="2:6" ht="12.75">
      <c r="B70" s="74" t="s">
        <v>263</v>
      </c>
      <c r="C70" s="61"/>
      <c r="E70" s="110">
        <f>IF(F42=0,0,ROUND(((C66+D66)/F42)/((C69-C68)/365),0))</f>
        <v>0</v>
      </c>
      <c r="F70" s="111"/>
    </row>
    <row r="71" ht="12.75">
      <c r="F71" s="111"/>
    </row>
    <row r="73" ht="12.75">
      <c r="B73" s="73"/>
    </row>
    <row r="74" spans="1:2" ht="12.75">
      <c r="A74" s="151">
        <v>6</v>
      </c>
      <c r="B74" s="73" t="s">
        <v>239</v>
      </c>
    </row>
    <row r="75" spans="2:4" ht="12.75">
      <c r="B75" s="74" t="s">
        <v>266</v>
      </c>
      <c r="D75" s="130"/>
    </row>
    <row r="76" spans="2:6" ht="12.75">
      <c r="B76" s="74" t="s">
        <v>267</v>
      </c>
      <c r="E76" s="110">
        <f>IF(F42=0,0,ROUND((((C68-38718)/365)*((E61-D75)*F42))/F42/((C69-C68)/365),0))</f>
        <v>0</v>
      </c>
      <c r="F76" s="113"/>
    </row>
    <row r="77" spans="2:6" ht="12.75">
      <c r="B77" s="74" t="str">
        <f>CONCATENATE("Eventueel nog doorlopende toeslagen uit ",'1. Voorblad'!E15-1,"**")</f>
        <v>Eventueel nog doorlopende toeslagen uit 2005**</v>
      </c>
      <c r="C77" s="58" t="s">
        <v>240</v>
      </c>
      <c r="D77" s="58" t="s">
        <v>238</v>
      </c>
      <c r="E77" s="114"/>
      <c r="F77" s="113"/>
    </row>
    <row r="78" spans="2:6" ht="12.75">
      <c r="B78" s="131" t="s">
        <v>283</v>
      </c>
      <c r="C78" s="53"/>
      <c r="D78" s="53"/>
      <c r="E78" s="130"/>
      <c r="F78" s="113" t="s">
        <v>138</v>
      </c>
    </row>
    <row r="79" ht="13.5" thickBot="1">
      <c r="B79" s="108" t="s">
        <v>269</v>
      </c>
    </row>
    <row r="80" spans="2:5" ht="13.5" thickBot="1">
      <c r="B80" s="73" t="s">
        <v>268</v>
      </c>
      <c r="E80" s="115">
        <f>E61+E70+E76+E78</f>
        <v>0</v>
      </c>
    </row>
    <row r="81" ht="12.75">
      <c r="B81" s="73"/>
    </row>
    <row r="85" spans="1:5" s="98" customFormat="1" ht="12.75">
      <c r="A85" s="152">
        <v>7</v>
      </c>
      <c r="B85" s="73" t="s">
        <v>146</v>
      </c>
      <c r="E85" s="116" t="s">
        <v>246</v>
      </c>
    </row>
    <row r="86" spans="4:7" s="98" customFormat="1" ht="12.75" hidden="1">
      <c r="D86" s="117">
        <f>C68</f>
        <v>0</v>
      </c>
      <c r="E86" s="117">
        <f>IF(D78&gt;C68,IF(D78&lt;C69,D78,C69),C69)</f>
        <v>0</v>
      </c>
      <c r="F86" s="117">
        <f>IF(E86=C69,"",C69)</f>
      </c>
      <c r="G86" s="117"/>
    </row>
    <row r="87" spans="4:7" s="98" customFormat="1" ht="12.75" hidden="1">
      <c r="D87" s="118">
        <f>E80</f>
        <v>0</v>
      </c>
      <c r="E87" s="118">
        <f>IF(E86=D78,E80-E78,E61)</f>
        <v>0</v>
      </c>
      <c r="F87" s="98">
        <f>IF(F86=C69,E61,"")</f>
        <v>0</v>
      </c>
      <c r="G87" s="119"/>
    </row>
    <row r="88" s="98" customFormat="1" ht="12.75"/>
    <row r="89" spans="2:3" s="98" customFormat="1" ht="12.75">
      <c r="B89" s="98" t="s">
        <v>68</v>
      </c>
      <c r="C89" s="98" t="s">
        <v>69</v>
      </c>
    </row>
    <row r="90" spans="2:5" s="98" customFormat="1" ht="12.75">
      <c r="B90" s="73"/>
      <c r="C90" s="120" t="s">
        <v>241</v>
      </c>
      <c r="D90" s="121">
        <f>$D$86</f>
        <v>0</v>
      </c>
      <c r="E90" s="122">
        <f>$D$87</f>
        <v>0</v>
      </c>
    </row>
    <row r="91" spans="2:5" s="98" customFormat="1" ht="12.75">
      <c r="B91" s="73"/>
      <c r="C91" s="123" t="str">
        <f>IF(E86="","","met ingang van")</f>
        <v>met ingang van</v>
      </c>
      <c r="D91" s="124">
        <f>IF($E$86="","",$E$86)</f>
        <v>0</v>
      </c>
      <c r="E91" s="125">
        <f>IF($E$86="","",$E$87)</f>
        <v>0</v>
      </c>
    </row>
    <row r="92" spans="2:5" s="98" customFormat="1" ht="12.75">
      <c r="B92" s="73"/>
      <c r="C92" s="126">
        <f>IF($F$86="","","met ingang van")</f>
      </c>
      <c r="D92" s="127">
        <f>IF($F$86="","",$F$86)</f>
      </c>
      <c r="E92" s="128">
        <f>IF($F$86="","",$F$87)</f>
      </c>
    </row>
    <row r="93" spans="2:6" s="98" customFormat="1" ht="12.75">
      <c r="B93" s="73"/>
      <c r="F93" s="73"/>
    </row>
    <row r="94" spans="2:3" s="98" customFormat="1" ht="12.75">
      <c r="B94" s="98" t="s">
        <v>70</v>
      </c>
      <c r="C94" s="98" t="s">
        <v>71</v>
      </c>
    </row>
    <row r="95" spans="3:5" s="98" customFormat="1" ht="12.75">
      <c r="C95" s="120" t="s">
        <v>241</v>
      </c>
      <c r="D95" s="121">
        <f>$D$86</f>
        <v>0</v>
      </c>
      <c r="E95" s="122">
        <f>ROUND($D$87*1.5,0)</f>
        <v>0</v>
      </c>
    </row>
    <row r="96" spans="3:5" s="98" customFormat="1" ht="12.75">
      <c r="C96" s="123" t="str">
        <f>IF(E91="","","met ingang van")</f>
        <v>met ingang van</v>
      </c>
      <c r="D96" s="124">
        <f>IF($E$86="","",$E$86)</f>
        <v>0</v>
      </c>
      <c r="E96" s="125">
        <f>IF($E$86="","",ROUND($E$87*1.5,0))</f>
        <v>0</v>
      </c>
    </row>
    <row r="97" spans="3:5" s="98" customFormat="1" ht="12.75">
      <c r="C97" s="126">
        <f>IF($F$86="","","met ingang van")</f>
      </c>
      <c r="D97" s="127">
        <f>IF($F$86="","",$F$86)</f>
      </c>
      <c r="E97" s="128">
        <f>IF($F$86="","",ROUND($F$87*1.5,0))</f>
      </c>
    </row>
    <row r="98" s="98" customFormat="1" ht="12.75">
      <c r="C98" s="129"/>
    </row>
    <row r="99" spans="2:3" s="98" customFormat="1" ht="12.75">
      <c r="B99" s="98" t="s">
        <v>72</v>
      </c>
      <c r="C99" s="129" t="s">
        <v>73</v>
      </c>
    </row>
    <row r="100" spans="3:5" s="98" customFormat="1" ht="12.75">
      <c r="C100" s="120" t="s">
        <v>241</v>
      </c>
      <c r="D100" s="121">
        <f>$D$86</f>
        <v>0</v>
      </c>
      <c r="E100" s="122">
        <f>ROUND($D$87*0.5,0)</f>
        <v>0</v>
      </c>
    </row>
    <row r="101" spans="3:5" s="98" customFormat="1" ht="12.75">
      <c r="C101" s="123" t="str">
        <f>IF(E96="","","met ingang van")</f>
        <v>met ingang van</v>
      </c>
      <c r="D101" s="124">
        <f>IF($E$86="","",$E$86)</f>
        <v>0</v>
      </c>
      <c r="E101" s="125">
        <f>IF($E$86="","",ROUND($E$87*0.5,0))</f>
        <v>0</v>
      </c>
    </row>
    <row r="102" spans="3:5" s="98" customFormat="1" ht="12.75">
      <c r="C102" s="126">
        <f>IF($F$86="","","met ingang van")</f>
      </c>
      <c r="D102" s="127">
        <f>IF($F$86="","",$F$86)</f>
      </c>
      <c r="E102" s="128">
        <f>IF($F$86="","",ROUND($F$87*0.5,0))</f>
      </c>
    </row>
    <row r="103" s="98" customFormat="1" ht="12.75">
      <c r="C103" s="129"/>
    </row>
    <row r="104" spans="2:3" s="98" customFormat="1" ht="12.75">
      <c r="B104" s="98" t="s">
        <v>74</v>
      </c>
      <c r="C104" s="129" t="s">
        <v>75</v>
      </c>
    </row>
    <row r="105" spans="3:5" s="98" customFormat="1" ht="12.75">
      <c r="C105" s="120" t="s">
        <v>241</v>
      </c>
      <c r="D105" s="121">
        <f>$D$86</f>
        <v>0</v>
      </c>
      <c r="E105" s="122">
        <f>ROUND($D$87*0.75,0)</f>
        <v>0</v>
      </c>
    </row>
    <row r="106" spans="3:5" s="98" customFormat="1" ht="12.75">
      <c r="C106" s="123" t="str">
        <f>IF(E101="","","met ingang van")</f>
        <v>met ingang van</v>
      </c>
      <c r="D106" s="124">
        <f>IF($E$86="","",$E$86)</f>
        <v>0</v>
      </c>
      <c r="E106" s="125">
        <f>IF($E$86="","",ROUND($E$87*0.75,0))</f>
        <v>0</v>
      </c>
    </row>
    <row r="107" spans="3:5" s="98" customFormat="1" ht="12.75">
      <c r="C107" s="126">
        <f>IF($F$86="","","met ingang van")</f>
      </c>
      <c r="D107" s="127">
        <f>IF($F$86="","",$F$86)</f>
      </c>
      <c r="E107" s="128">
        <f>IF($F$86="","",ROUND($F$87*0.75,0))</f>
      </c>
    </row>
    <row r="108" s="98" customFormat="1" ht="12.75"/>
    <row r="109" spans="2:3" s="98" customFormat="1" ht="12.75">
      <c r="B109" s="98" t="s">
        <v>76</v>
      </c>
      <c r="C109" s="98" t="s">
        <v>77</v>
      </c>
    </row>
    <row r="110" spans="3:5" s="98" customFormat="1" ht="12.75">
      <c r="C110" s="120" t="s">
        <v>241</v>
      </c>
      <c r="D110" s="121">
        <f>$D$86</f>
        <v>0</v>
      </c>
      <c r="E110" s="122">
        <f>ROUND($D$87*0.25,0)</f>
        <v>0</v>
      </c>
    </row>
    <row r="111" spans="3:5" s="98" customFormat="1" ht="12.75">
      <c r="C111" s="123" t="str">
        <f>IF(E106="","","met ingang van")</f>
        <v>met ingang van</v>
      </c>
      <c r="D111" s="124">
        <f>IF($E$86="","",$E$86)</f>
        <v>0</v>
      </c>
      <c r="E111" s="125">
        <f>IF($E$86="","",ROUND($E$87*0.25,0))</f>
        <v>0</v>
      </c>
    </row>
    <row r="112" spans="3:5" s="98" customFormat="1" ht="12.75">
      <c r="C112" s="126">
        <f>IF($F$86="","","met ingang van")</f>
      </c>
      <c r="D112" s="127">
        <f>IF($F$86="","",$F$86)</f>
      </c>
      <c r="E112" s="128">
        <f>IF($F$86="","",ROUND($F$87*0.25,0))</f>
      </c>
    </row>
    <row r="113" s="98" customFormat="1" ht="12.75"/>
    <row r="114" spans="2:3" s="98" customFormat="1" ht="12.75">
      <c r="B114" s="129" t="s">
        <v>78</v>
      </c>
      <c r="C114" s="98" t="s">
        <v>79</v>
      </c>
    </row>
    <row r="115" spans="2:10" ht="12.75">
      <c r="B115" s="98"/>
      <c r="C115" s="120" t="s">
        <v>241</v>
      </c>
      <c r="D115" s="121">
        <f>$D$86</f>
        <v>0</v>
      </c>
      <c r="E115" s="122">
        <f>ROUND($D$87*0.375,0)</f>
        <v>0</v>
      </c>
      <c r="J115" s="98"/>
    </row>
    <row r="116" spans="2:10" ht="12.75">
      <c r="B116" s="98"/>
      <c r="C116" s="123" t="str">
        <f>IF(E111="","","met ingang van")</f>
        <v>met ingang van</v>
      </c>
      <c r="D116" s="124">
        <f>IF($E$86="","",$E$86)</f>
        <v>0</v>
      </c>
      <c r="E116" s="125">
        <f>IF($E$86="","",ROUND($E$87*0.375,0))</f>
        <v>0</v>
      </c>
      <c r="J116" s="98"/>
    </row>
    <row r="117" spans="2:10" ht="12.75">
      <c r="B117" s="98"/>
      <c r="C117" s="126">
        <f>IF($F$86="","","met ingang van")</f>
      </c>
      <c r="D117" s="127">
        <f>IF($F$86="","",$F$86)</f>
      </c>
      <c r="E117" s="128">
        <f>IF($F$86="","",ROUND($F$87*0.375,0))</f>
      </c>
      <c r="J117" s="98"/>
    </row>
    <row r="118" ht="12.75">
      <c r="J118" s="98"/>
    </row>
    <row r="119" ht="12.75">
      <c r="J119" s="98"/>
    </row>
    <row r="120" spans="2:10" ht="12.75" hidden="1">
      <c r="B120" s="75" t="s">
        <v>80</v>
      </c>
      <c r="J120" s="98"/>
    </row>
    <row r="121" ht="12.75" hidden="1">
      <c r="B121" s="58" t="s">
        <v>81</v>
      </c>
    </row>
    <row r="122" ht="12.75" hidden="1">
      <c r="B122" s="133" t="s">
        <v>270</v>
      </c>
    </row>
    <row r="130" ht="12.75">
      <c r="B130" s="98"/>
    </row>
    <row r="131" ht="12.75">
      <c r="B131" s="98"/>
    </row>
    <row r="132" ht="12.75">
      <c r="B132" s="98"/>
    </row>
    <row r="133" ht="12.75">
      <c r="B133" s="98"/>
    </row>
  </sheetData>
  <sheetProtection/>
  <conditionalFormatting sqref="C23:E23 C49 E49">
    <cfRule type="expression" priority="1" dxfId="0" stopIfTrue="1">
      <formula>#REF!=TRUE</formula>
    </cfRule>
  </conditionalFormatting>
  <printOptions/>
  <pageMargins left="0.75" right="0.75" top="1" bottom="1" header="0.5" footer="0.5"/>
  <pageSetup fitToHeight="3" horizontalDpi="600" verticalDpi="600" orientation="landscape" paperSize="9" scale="80" r:id="rId2"/>
  <headerFooter alignWithMargins="0">
    <oddFooter>&amp;R&amp;P</oddFooter>
  </headerFooter>
  <rowBreaks count="2" manualBreakCount="2">
    <brk id="45" max="5" man="1"/>
    <brk id="83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F58"/>
  <sheetViews>
    <sheetView showGridLines="0" showZeros="0"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5.140625" style="25" customWidth="1"/>
    <col min="2" max="2" width="37.00390625" style="0" customWidth="1"/>
    <col min="3" max="3" width="18.28125" style="0" customWidth="1"/>
    <col min="4" max="6" width="25.7109375" style="0" customWidth="1"/>
  </cols>
  <sheetData>
    <row r="1" s="58" customFormat="1" ht="12.75"/>
    <row r="2" spans="2:3" s="58" customFormat="1" ht="12.75">
      <c r="B2" s="149" t="s">
        <v>284</v>
      </c>
      <c r="C2" s="93"/>
    </row>
    <row r="3" s="58" customFormat="1" ht="15.75">
      <c r="B3" s="57"/>
    </row>
    <row r="4" s="58" customFormat="1" ht="15.75">
      <c r="B4" s="57"/>
    </row>
    <row r="5" spans="2:6" s="58" customFormat="1" ht="12.75">
      <c r="B5" s="149" t="str">
        <f>CONCATENATE("Formulier ten behoeve van de tariefaanvraag ",'1. Voorblad'!E15," (begroting) / verrekening exploitatie ",'1. Voorblad'!E15-2," voor zelfstandige audiologische centra")</f>
        <v>Formulier ten behoeve van de tariefaanvraag 2006 (begroting) / verrekening exploitatie 2004 voor zelfstandige audiologische centra</v>
      </c>
      <c r="C5" s="93"/>
      <c r="D5" s="93"/>
      <c r="E5" s="93"/>
      <c r="F5" s="93"/>
    </row>
    <row r="6" ht="15.75">
      <c r="A6" s="43"/>
    </row>
    <row r="7" ht="12.75">
      <c r="A7" s="44" t="s">
        <v>145</v>
      </c>
    </row>
    <row r="9" spans="1:6" s="2" customFormat="1" ht="12.75">
      <c r="A9" s="9" t="s">
        <v>15</v>
      </c>
      <c r="B9" s="6" t="s">
        <v>33</v>
      </c>
      <c r="C9" s="6" t="s">
        <v>99</v>
      </c>
      <c r="D9" s="16" t="str">
        <f>'3. Kostenoverzicht 2004-2006'!C9</f>
        <v>exploitatie 2004</v>
      </c>
      <c r="E9" s="16" t="str">
        <f>'3. Kostenoverzicht 2004-2006'!D9</f>
        <v>bijgestelde begroting 2005</v>
      </c>
      <c r="F9" s="16" t="str">
        <f>'3. Kostenoverzicht 2004-2006'!E9</f>
        <v>begroting 2006</v>
      </c>
    </row>
    <row r="10" spans="1:6" s="2" customFormat="1" ht="12.75">
      <c r="A10" s="45">
        <v>1</v>
      </c>
      <c r="B10" s="17" t="s">
        <v>102</v>
      </c>
      <c r="C10" s="141"/>
      <c r="D10" s="130"/>
      <c r="E10" s="130"/>
      <c r="F10" s="130"/>
    </row>
    <row r="11" spans="1:6" s="2" customFormat="1" ht="12.75">
      <c r="A11" s="45">
        <v>2</v>
      </c>
      <c r="B11" s="17" t="s">
        <v>103</v>
      </c>
      <c r="C11" s="141"/>
      <c r="D11" s="130"/>
      <c r="E11" s="130"/>
      <c r="F11" s="130"/>
    </row>
    <row r="12" spans="1:6" s="2" customFormat="1" ht="12.75">
      <c r="A12" s="45">
        <v>3</v>
      </c>
      <c r="B12" s="17" t="s">
        <v>104</v>
      </c>
      <c r="C12" s="141"/>
      <c r="D12" s="130"/>
      <c r="E12" s="130"/>
      <c r="F12" s="130"/>
    </row>
    <row r="13" spans="1:6" s="2" customFormat="1" ht="12.75">
      <c r="A13" s="45">
        <v>4</v>
      </c>
      <c r="B13" s="17" t="s">
        <v>105</v>
      </c>
      <c r="C13" s="141"/>
      <c r="D13" s="130"/>
      <c r="E13" s="130"/>
      <c r="F13" s="130"/>
    </row>
    <row r="14" spans="1:6" s="2" customFormat="1" ht="12.75">
      <c r="A14" s="45">
        <v>5</v>
      </c>
      <c r="B14" s="17" t="s">
        <v>106</v>
      </c>
      <c r="C14" s="141"/>
      <c r="D14" s="130"/>
      <c r="E14" s="130"/>
      <c r="F14" s="130"/>
    </row>
    <row r="15" spans="1:6" s="2" customFormat="1" ht="12.75">
      <c r="A15" s="45">
        <v>6</v>
      </c>
      <c r="B15" s="17" t="s">
        <v>107</v>
      </c>
      <c r="C15" s="141"/>
      <c r="D15" s="130"/>
      <c r="E15" s="130"/>
      <c r="F15" s="130"/>
    </row>
    <row r="16" spans="1:6" s="2" customFormat="1" ht="12.75">
      <c r="A16" s="45">
        <v>7</v>
      </c>
      <c r="B16" s="17" t="s">
        <v>108</v>
      </c>
      <c r="C16" s="141"/>
      <c r="D16" s="130"/>
      <c r="E16" s="130"/>
      <c r="F16" s="130"/>
    </row>
    <row r="17" spans="1:6" s="2" customFormat="1" ht="12.75">
      <c r="A17" s="45">
        <v>8</v>
      </c>
      <c r="B17" s="17" t="s">
        <v>109</v>
      </c>
      <c r="C17" s="141"/>
      <c r="D17" s="130"/>
      <c r="E17" s="130"/>
      <c r="F17" s="130"/>
    </row>
    <row r="18" spans="1:6" s="2" customFormat="1" ht="12.75">
      <c r="A18" s="45">
        <v>9</v>
      </c>
      <c r="B18" s="17" t="s">
        <v>110</v>
      </c>
      <c r="C18" s="141"/>
      <c r="D18" s="130"/>
      <c r="E18" s="130"/>
      <c r="F18" s="130"/>
    </row>
    <row r="19" spans="1:6" s="2" customFormat="1" ht="12.75">
      <c r="A19" s="45">
        <v>10</v>
      </c>
      <c r="B19" s="17" t="s">
        <v>111</v>
      </c>
      <c r="C19" s="141"/>
      <c r="D19" s="130"/>
      <c r="E19" s="130"/>
      <c r="F19" s="130"/>
    </row>
    <row r="20" spans="1:6" s="2" customFormat="1" ht="12.75">
      <c r="A20" s="45"/>
      <c r="B20" s="7" t="s">
        <v>101</v>
      </c>
      <c r="C20" s="142">
        <f>SUM(C10:C19)</f>
        <v>0</v>
      </c>
      <c r="D20" s="54">
        <f>SUM(D10:D19)</f>
        <v>0</v>
      </c>
      <c r="E20" s="54">
        <f>SUM(E10:E19)</f>
        <v>0</v>
      </c>
      <c r="F20" s="54">
        <f>SUM(F10:F19)</f>
        <v>0</v>
      </c>
    </row>
    <row r="21" spans="1:2" s="3" customFormat="1" ht="12.75">
      <c r="A21" s="46"/>
      <c r="B21" s="10"/>
    </row>
    <row r="22" spans="1:2" s="3" customFormat="1" ht="12.75">
      <c r="A22" s="46"/>
      <c r="B22" s="10"/>
    </row>
    <row r="23" spans="1:6" ht="12.75">
      <c r="A23" s="47" t="s">
        <v>20</v>
      </c>
      <c r="B23" s="18" t="s">
        <v>38</v>
      </c>
      <c r="C23" s="19"/>
      <c r="D23" s="16" t="str">
        <f>D9</f>
        <v>exploitatie 2004</v>
      </c>
      <c r="E23" s="16" t="str">
        <f>E9</f>
        <v>bijgestelde begroting 2005</v>
      </c>
      <c r="F23" s="16" t="str">
        <f>F9</f>
        <v>begroting 2006</v>
      </c>
    </row>
    <row r="24" spans="1:6" s="2" customFormat="1" ht="12.75">
      <c r="A24" s="45">
        <v>1</v>
      </c>
      <c r="B24" s="22" t="s">
        <v>104</v>
      </c>
      <c r="C24" s="14"/>
      <c r="D24" s="130"/>
      <c r="E24" s="130"/>
      <c r="F24" s="130"/>
    </row>
    <row r="25" spans="1:6" s="2" customFormat="1" ht="12.75">
      <c r="A25" s="45">
        <v>2</v>
      </c>
      <c r="B25" s="22" t="s">
        <v>109</v>
      </c>
      <c r="C25" s="14"/>
      <c r="D25" s="130"/>
      <c r="E25" s="130"/>
      <c r="F25" s="130"/>
    </row>
    <row r="26" spans="1:6" s="2" customFormat="1" ht="12.75">
      <c r="A26" s="45">
        <v>3</v>
      </c>
      <c r="B26" s="22" t="s">
        <v>111</v>
      </c>
      <c r="C26" s="15"/>
      <c r="D26" s="130"/>
      <c r="E26" s="130"/>
      <c r="F26" s="130"/>
    </row>
    <row r="27" spans="1:6" s="2" customFormat="1" ht="12.75">
      <c r="A27" s="45"/>
      <c r="B27" s="23" t="s">
        <v>112</v>
      </c>
      <c r="C27" s="14"/>
      <c r="D27" s="54">
        <f>SUM(D24:D26)</f>
        <v>0</v>
      </c>
      <c r="E27" s="54">
        <f>SUM(E24:E26)</f>
        <v>0</v>
      </c>
      <c r="F27" s="54">
        <f>SUM(F24:F26)</f>
        <v>0</v>
      </c>
    </row>
    <row r="28" spans="1:2" s="3" customFormat="1" ht="12.75">
      <c r="A28" s="46"/>
      <c r="B28" s="24"/>
    </row>
    <row r="29" s="3" customFormat="1" ht="12.75">
      <c r="A29" s="46"/>
    </row>
    <row r="30" spans="1:6" ht="12.75">
      <c r="A30" s="47" t="s">
        <v>23</v>
      </c>
      <c r="B30" s="18" t="s">
        <v>41</v>
      </c>
      <c r="C30" s="19"/>
      <c r="D30" s="20" t="str">
        <f>D9</f>
        <v>exploitatie 2004</v>
      </c>
      <c r="E30" s="20" t="str">
        <f>E9</f>
        <v>bijgestelde begroting 2005</v>
      </c>
      <c r="F30" s="20" t="str">
        <f>F9</f>
        <v>begroting 2006</v>
      </c>
    </row>
    <row r="31" spans="1:6" s="2" customFormat="1" ht="12.75">
      <c r="A31" s="45">
        <v>1</v>
      </c>
      <c r="B31" s="22" t="s">
        <v>113</v>
      </c>
      <c r="C31" s="14"/>
      <c r="D31" s="143"/>
      <c r="E31" s="130"/>
      <c r="F31" s="130"/>
    </row>
    <row r="32" spans="1:6" s="2" customFormat="1" ht="12.75">
      <c r="A32" s="45">
        <v>2</v>
      </c>
      <c r="B32" s="22" t="s">
        <v>114</v>
      </c>
      <c r="C32" s="14"/>
      <c r="D32" s="143"/>
      <c r="E32" s="130"/>
      <c r="F32" s="130"/>
    </row>
    <row r="33" spans="1:6" s="2" customFormat="1" ht="12.75">
      <c r="A33" s="45">
        <v>3</v>
      </c>
      <c r="B33" s="22" t="s">
        <v>115</v>
      </c>
      <c r="C33" s="15"/>
      <c r="D33" s="143"/>
      <c r="E33" s="130"/>
      <c r="F33" s="130"/>
    </row>
    <row r="34" spans="1:6" s="2" customFormat="1" ht="12.75">
      <c r="A34" s="45">
        <v>4</v>
      </c>
      <c r="B34" s="22" t="s">
        <v>116</v>
      </c>
      <c r="C34" s="15"/>
      <c r="D34" s="143"/>
      <c r="E34" s="130"/>
      <c r="F34" s="130"/>
    </row>
    <row r="35" spans="1:6" s="2" customFormat="1" ht="12.75">
      <c r="A35" s="45">
        <v>5</v>
      </c>
      <c r="B35" s="22" t="s">
        <v>117</v>
      </c>
      <c r="C35" s="15"/>
      <c r="D35" s="143"/>
      <c r="E35" s="130"/>
      <c r="F35" s="130"/>
    </row>
    <row r="36" spans="1:6" s="2" customFormat="1" ht="12.75">
      <c r="A36" s="45">
        <v>6</v>
      </c>
      <c r="B36" s="22" t="s">
        <v>118</v>
      </c>
      <c r="C36" s="15"/>
      <c r="D36" s="143"/>
      <c r="E36" s="130"/>
      <c r="F36" s="130"/>
    </row>
    <row r="37" spans="1:6" s="2" customFormat="1" ht="12.75">
      <c r="A37" s="45">
        <v>7</v>
      </c>
      <c r="B37" s="22" t="s">
        <v>119</v>
      </c>
      <c r="C37" s="14"/>
      <c r="D37" s="143"/>
      <c r="E37" s="130"/>
      <c r="F37" s="130"/>
    </row>
    <row r="38" spans="1:6" s="2" customFormat="1" ht="12.75">
      <c r="A38" s="28"/>
      <c r="B38" s="23" t="s">
        <v>120</v>
      </c>
      <c r="C38" s="14"/>
      <c r="D38" s="144">
        <f>SUM(D31:D37)</f>
        <v>0</v>
      </c>
      <c r="E38" s="144">
        <f>SUM(E31:E37)</f>
        <v>0</v>
      </c>
      <c r="F38" s="144">
        <f>SUM(F31:F37)</f>
        <v>0</v>
      </c>
    </row>
    <row r="39" ht="12.75">
      <c r="C39" s="8"/>
    </row>
    <row r="41" spans="1:6" ht="12.75">
      <c r="A41" s="47" t="s">
        <v>24</v>
      </c>
      <c r="B41" s="18" t="s">
        <v>42</v>
      </c>
      <c r="C41" s="19"/>
      <c r="D41" s="16" t="str">
        <f>D9</f>
        <v>exploitatie 2004</v>
      </c>
      <c r="E41" s="16" t="str">
        <f>E9</f>
        <v>bijgestelde begroting 2005</v>
      </c>
      <c r="F41" s="16" t="str">
        <f>F9</f>
        <v>begroting 2006</v>
      </c>
    </row>
    <row r="42" spans="1:6" s="2" customFormat="1" ht="12.75">
      <c r="A42" s="45">
        <v>1</v>
      </c>
      <c r="B42" s="22" t="s">
        <v>121</v>
      </c>
      <c r="C42" s="14"/>
      <c r="D42" s="130"/>
      <c r="E42" s="130"/>
      <c r="F42" s="130"/>
    </row>
    <row r="43" spans="1:6" s="2" customFormat="1" ht="12.75">
      <c r="A43" s="45">
        <v>2</v>
      </c>
      <c r="B43" s="22" t="s">
        <v>122</v>
      </c>
      <c r="C43" s="14"/>
      <c r="D43" s="130"/>
      <c r="E43" s="130"/>
      <c r="F43" s="130"/>
    </row>
    <row r="44" spans="1:6" s="2" customFormat="1" ht="12.75">
      <c r="A44" s="45">
        <v>3</v>
      </c>
      <c r="B44" s="22" t="s">
        <v>123</v>
      </c>
      <c r="C44" s="14"/>
      <c r="D44" s="130"/>
      <c r="E44" s="130"/>
      <c r="F44" s="130"/>
    </row>
    <row r="45" spans="1:6" s="2" customFormat="1" ht="12.75">
      <c r="A45" s="45">
        <v>4</v>
      </c>
      <c r="B45" s="22" t="s">
        <v>119</v>
      </c>
      <c r="C45" s="15"/>
      <c r="D45" s="130"/>
      <c r="E45" s="130"/>
      <c r="F45" s="130"/>
    </row>
    <row r="46" spans="1:6" s="2" customFormat="1" ht="12.75">
      <c r="A46" s="45"/>
      <c r="B46" s="23" t="s">
        <v>124</v>
      </c>
      <c r="C46" s="14"/>
      <c r="D46" s="54">
        <f>SUM(D42:D45)</f>
        <v>0</v>
      </c>
      <c r="E46" s="54">
        <f>SUM(E42:E45)</f>
        <v>0</v>
      </c>
      <c r="F46" s="54">
        <f>SUM(F42:F45)</f>
        <v>0</v>
      </c>
    </row>
    <row r="49" spans="1:6" ht="12.75">
      <c r="A49" s="47" t="s">
        <v>25</v>
      </c>
      <c r="B49" s="18" t="s">
        <v>43</v>
      </c>
      <c r="C49" s="19"/>
      <c r="D49" s="20" t="str">
        <f>D9</f>
        <v>exploitatie 2004</v>
      </c>
      <c r="E49" s="20" t="str">
        <f>E9</f>
        <v>bijgestelde begroting 2005</v>
      </c>
      <c r="F49" s="20" t="str">
        <f>F9</f>
        <v>begroting 2006</v>
      </c>
    </row>
    <row r="50" spans="1:6" s="2" customFormat="1" ht="12.75">
      <c r="A50" s="45">
        <v>1</v>
      </c>
      <c r="B50" s="22" t="s">
        <v>126</v>
      </c>
      <c r="C50" s="14"/>
      <c r="D50" s="143"/>
      <c r="E50" s="130"/>
      <c r="F50" s="130"/>
    </row>
    <row r="51" spans="1:6" s="2" customFormat="1" ht="12.75">
      <c r="A51" s="45">
        <v>2</v>
      </c>
      <c r="B51" s="22" t="s">
        <v>127</v>
      </c>
      <c r="C51" s="14"/>
      <c r="D51" s="143"/>
      <c r="E51" s="130"/>
      <c r="F51" s="130"/>
    </row>
    <row r="52" spans="1:6" s="2" customFormat="1" ht="12.75">
      <c r="A52" s="45">
        <v>3</v>
      </c>
      <c r="B52" s="22" t="s">
        <v>128</v>
      </c>
      <c r="C52" s="15"/>
      <c r="D52" s="143"/>
      <c r="E52" s="130"/>
      <c r="F52" s="130"/>
    </row>
    <row r="53" spans="1:6" s="2" customFormat="1" ht="12.75">
      <c r="A53" s="45">
        <v>4</v>
      </c>
      <c r="B53" s="22" t="s">
        <v>129</v>
      </c>
      <c r="C53" s="15"/>
      <c r="D53" s="143"/>
      <c r="E53" s="143"/>
      <c r="F53" s="143"/>
    </row>
    <row r="54" spans="1:6" s="2" customFormat="1" ht="12.75">
      <c r="A54" s="45">
        <v>5</v>
      </c>
      <c r="B54" s="22" t="s">
        <v>130</v>
      </c>
      <c r="C54" s="15"/>
      <c r="D54" s="143"/>
      <c r="E54" s="130"/>
      <c r="F54" s="130"/>
    </row>
    <row r="55" spans="1:6" s="2" customFormat="1" ht="12.75">
      <c r="A55" s="45">
        <v>6</v>
      </c>
      <c r="B55" s="22" t="s">
        <v>131</v>
      </c>
      <c r="C55" s="15"/>
      <c r="D55" s="143"/>
      <c r="E55" s="130"/>
      <c r="F55" s="130"/>
    </row>
    <row r="56" spans="1:6" s="2" customFormat="1" ht="12.75">
      <c r="A56" s="45">
        <v>7</v>
      </c>
      <c r="B56" s="22" t="s">
        <v>132</v>
      </c>
      <c r="C56" s="15"/>
      <c r="D56" s="143"/>
      <c r="E56" s="130"/>
      <c r="F56" s="130"/>
    </row>
    <row r="57" spans="1:6" s="2" customFormat="1" ht="12.75">
      <c r="A57" s="45">
        <v>8</v>
      </c>
      <c r="B57" s="22" t="s">
        <v>119</v>
      </c>
      <c r="C57" s="14"/>
      <c r="D57" s="143"/>
      <c r="E57" s="130"/>
      <c r="F57" s="130"/>
    </row>
    <row r="58" spans="1:6" s="2" customFormat="1" ht="12.75">
      <c r="A58" s="28"/>
      <c r="B58" s="23" t="s">
        <v>125</v>
      </c>
      <c r="C58" s="14"/>
      <c r="D58" s="144">
        <f>SUM(D50:D57)</f>
        <v>0</v>
      </c>
      <c r="E58" s="144">
        <f>SUM(E50:E57)</f>
        <v>0</v>
      </c>
      <c r="F58" s="144">
        <f>SUM(F50:F57)</f>
        <v>0</v>
      </c>
    </row>
  </sheetData>
  <sheetProtection password="D00A" sheet="1" objects="1" scenarios="1"/>
  <printOptions/>
  <pageMargins left="0.75" right="0.75" top="1" bottom="1" header="0.5" footer="0.5"/>
  <pageSetup fitToHeight="2" horizontalDpi="600" verticalDpi="600" orientation="landscape" paperSize="9" scale="78" r:id="rId2"/>
  <headerFooter alignWithMargins="0">
    <oddFooter>&amp;R&amp;P</oddFooter>
  </headerFooter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H27"/>
  <sheetViews>
    <sheetView showGridLines="0" showZeros="0" tabSelected="1" view="pageBreakPreview" zoomScaleSheetLayoutView="100" workbookViewId="0" topLeftCell="A4">
      <selection activeCell="B2" sqref="B2"/>
    </sheetView>
  </sheetViews>
  <sheetFormatPr defaultColWidth="9.140625" defaultRowHeight="12.75"/>
  <cols>
    <col min="1" max="1" width="5.140625" style="0" customWidth="1"/>
    <col min="2" max="2" width="33.421875" style="0" bestFit="1" customWidth="1"/>
    <col min="3" max="3" width="17.8515625" style="0" bestFit="1" customWidth="1"/>
    <col min="4" max="4" width="16.28125" style="0" bestFit="1" customWidth="1"/>
    <col min="5" max="5" width="23.140625" style="0" bestFit="1" customWidth="1"/>
    <col min="6" max="6" width="22.57421875" style="0" bestFit="1" customWidth="1"/>
    <col min="7" max="7" width="18.7109375" style="0" bestFit="1" customWidth="1"/>
    <col min="8" max="8" width="22.57421875" style="0" bestFit="1" customWidth="1"/>
  </cols>
  <sheetData>
    <row r="1" s="58" customFormat="1" ht="12.75"/>
    <row r="2" spans="2:3" s="58" customFormat="1" ht="12.75">
      <c r="B2" s="149" t="s">
        <v>284</v>
      </c>
      <c r="C2" s="93"/>
    </row>
    <row r="3" s="58" customFormat="1" ht="15.75">
      <c r="B3" s="57"/>
    </row>
    <row r="4" s="58" customFormat="1" ht="15.75">
      <c r="B4" s="57"/>
    </row>
    <row r="5" spans="2:8" s="58" customFormat="1" ht="12.75">
      <c r="B5" s="149" t="str">
        <f>CONCATENATE("Formulier ten behoeve van de tariefaanvraag ",'1. Voorblad'!E15," (begroting) / verrekening exploitatie ",'1. Voorblad'!E15-2," voor zelfstandige audiologische centra")</f>
        <v>Formulier ten behoeve van de tariefaanvraag 2006 (begroting) / verrekening exploitatie 2004 voor zelfstandige audiologische centra</v>
      </c>
      <c r="C5" s="93"/>
      <c r="D5" s="93"/>
      <c r="E5" s="93"/>
      <c r="F5" s="93"/>
      <c r="G5" s="93"/>
      <c r="H5" s="93"/>
    </row>
    <row r="6" ht="15.75">
      <c r="A6" s="43"/>
    </row>
    <row r="7" ht="12.75">
      <c r="B7" s="5" t="s">
        <v>133</v>
      </c>
    </row>
    <row r="8" spans="2:8" ht="12.75">
      <c r="B8" s="2"/>
      <c r="C8" s="26" t="s">
        <v>134</v>
      </c>
      <c r="D8" s="26" t="s">
        <v>135</v>
      </c>
      <c r="E8" s="26" t="s">
        <v>136</v>
      </c>
      <c r="F8" s="26" t="str">
        <f>CONCATENATE("Boekwaarde 01-01-",'1. Voorblad'!E15-1)</f>
        <v>Boekwaarde 01-01-2005</v>
      </c>
      <c r="G8" s="26" t="str">
        <f>CONCATENATE("Afschrijvingen ",'1. Voorblad'!E15)</f>
        <v>Afschrijvingen 2006</v>
      </c>
      <c r="H8" s="26" t="str">
        <f>CONCATENATE("Boekwaarde 31-12-",'1. Voorblad'!E15)</f>
        <v>Boekwaarde 31-12-2006</v>
      </c>
    </row>
    <row r="9" spans="2:8" ht="12.75">
      <c r="B9" s="2"/>
      <c r="C9" s="27"/>
      <c r="D9" s="27" t="s">
        <v>138</v>
      </c>
      <c r="E9" s="27" t="s">
        <v>138</v>
      </c>
      <c r="F9" s="27" t="s">
        <v>138</v>
      </c>
      <c r="G9" s="27" t="s">
        <v>138</v>
      </c>
      <c r="H9" s="27" t="s">
        <v>138</v>
      </c>
    </row>
    <row r="10" spans="1:8" ht="12.75">
      <c r="A10">
        <v>1</v>
      </c>
      <c r="B10" s="28" t="s">
        <v>140</v>
      </c>
      <c r="C10" s="51"/>
      <c r="D10" s="130"/>
      <c r="E10" s="130"/>
      <c r="F10" s="130"/>
      <c r="G10" s="130"/>
      <c r="H10" s="130"/>
    </row>
    <row r="11" spans="2:8" ht="12.75">
      <c r="B11" s="11" t="s">
        <v>139</v>
      </c>
      <c r="C11" s="52"/>
      <c r="D11" s="145"/>
      <c r="E11" s="145"/>
      <c r="F11" s="145"/>
      <c r="G11" s="145"/>
      <c r="H11" s="145"/>
    </row>
    <row r="13" spans="1:2" ht="12.75">
      <c r="A13">
        <v>2</v>
      </c>
      <c r="B13" t="s">
        <v>141</v>
      </c>
    </row>
    <row r="15" ht="12.75">
      <c r="B15" t="s">
        <v>142</v>
      </c>
    </row>
    <row r="16" spans="2:8" ht="12.75">
      <c r="B16" s="48"/>
      <c r="C16" s="51"/>
      <c r="D16" s="130"/>
      <c r="E16" s="130"/>
      <c r="F16" s="130"/>
      <c r="G16" s="130"/>
      <c r="H16" s="130"/>
    </row>
    <row r="17" spans="2:8" ht="12.75">
      <c r="B17" s="48"/>
      <c r="C17" s="51"/>
      <c r="D17" s="130"/>
      <c r="E17" s="130"/>
      <c r="F17" s="130"/>
      <c r="G17" s="130"/>
      <c r="H17" s="130"/>
    </row>
    <row r="18" spans="2:8" ht="12.75">
      <c r="B18" s="48"/>
      <c r="C18" s="51"/>
      <c r="D18" s="130"/>
      <c r="E18" s="130"/>
      <c r="F18" s="130"/>
      <c r="G18" s="130"/>
      <c r="H18" s="130"/>
    </row>
    <row r="19" spans="2:8" ht="12.75">
      <c r="B19" s="48"/>
      <c r="C19" s="51"/>
      <c r="D19" s="130"/>
      <c r="E19" s="130"/>
      <c r="F19" s="130"/>
      <c r="G19" s="130"/>
      <c r="H19" s="130"/>
    </row>
    <row r="20" spans="2:8" ht="12.75">
      <c r="B20" s="55"/>
      <c r="C20" s="51"/>
      <c r="D20" s="145"/>
      <c r="E20" s="145"/>
      <c r="F20" s="145"/>
      <c r="G20" s="145"/>
      <c r="H20" s="145"/>
    </row>
    <row r="21" spans="2:8" ht="12.75">
      <c r="B21" s="48"/>
      <c r="C21" s="51"/>
      <c r="D21" s="130"/>
      <c r="E21" s="130"/>
      <c r="F21" s="130"/>
      <c r="G21" s="130"/>
      <c r="H21" s="130"/>
    </row>
    <row r="22" spans="2:8" ht="12.75">
      <c r="B22" s="55"/>
      <c r="C22" s="51"/>
      <c r="D22" s="145"/>
      <c r="E22" s="145"/>
      <c r="F22" s="145"/>
      <c r="G22" s="145"/>
      <c r="H22" s="145"/>
    </row>
    <row r="25" spans="1:8" ht="12.75">
      <c r="A25">
        <v>3</v>
      </c>
      <c r="B25" s="1" t="s">
        <v>143</v>
      </c>
      <c r="C25" s="51"/>
      <c r="D25" s="130"/>
      <c r="E25" s="130"/>
      <c r="F25" s="130"/>
      <c r="G25" s="130"/>
      <c r="H25" s="130"/>
    </row>
    <row r="27" spans="1:8" ht="12.75">
      <c r="A27">
        <v>4</v>
      </c>
      <c r="B27" s="1" t="s">
        <v>144</v>
      </c>
      <c r="C27" s="51"/>
      <c r="D27" s="130"/>
      <c r="E27" s="130"/>
      <c r="F27" s="130"/>
      <c r="G27" s="130"/>
      <c r="H27" s="130"/>
    </row>
  </sheetData>
  <sheetProtection password="D00A" sheet="1" objects="1" scenarios="1"/>
  <printOptions/>
  <pageMargins left="0.75" right="0.75" top="1" bottom="1" header="0.5" footer="0.5"/>
  <pageSetup fitToHeight="1" fitToWidth="1" horizontalDpi="600" verticalDpi="600" orientation="landscape" paperSize="9" scale="80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O78"/>
  <sheetViews>
    <sheetView showGridLines="0" showZeros="0" tabSelected="1" view="pageBreakPreview" zoomScaleSheetLayoutView="100" workbookViewId="0" topLeftCell="A61">
      <selection activeCell="B2" sqref="B2"/>
    </sheetView>
  </sheetViews>
  <sheetFormatPr defaultColWidth="9.140625" defaultRowHeight="12.75"/>
  <cols>
    <col min="1" max="1" width="5.140625" style="0" customWidth="1"/>
    <col min="2" max="2" width="67.7109375" style="0" bestFit="1" customWidth="1"/>
    <col min="3" max="5" width="11.7109375" style="0" customWidth="1"/>
    <col min="6" max="6" width="62.7109375" style="0" customWidth="1"/>
  </cols>
  <sheetData>
    <row r="1" s="58" customFormat="1" ht="12.75"/>
    <row r="2" spans="2:3" s="58" customFormat="1" ht="12.75">
      <c r="B2" s="149" t="s">
        <v>284</v>
      </c>
      <c r="C2" s="93"/>
    </row>
    <row r="3" s="58" customFormat="1" ht="15.75">
      <c r="B3" s="57"/>
    </row>
    <row r="4" s="58" customFormat="1" ht="15.75">
      <c r="B4" s="57"/>
    </row>
    <row r="5" spans="2:6" s="58" customFormat="1" ht="12.75">
      <c r="B5" s="149" t="str">
        <f>CONCATENATE("Formulier ten behoeve van de tariefaanvraag ",'1. Voorblad'!E15," (begroting) / verrekening exploitatie ",'1. Voorblad'!E15-2," voor zelfstandige audiologische centra")</f>
        <v>Formulier ten behoeve van de tariefaanvraag 2006 (begroting) / verrekening exploitatie 2004 voor zelfstandige audiologische centra</v>
      </c>
      <c r="C5" s="93"/>
      <c r="D5" s="93"/>
      <c r="E5" s="93"/>
      <c r="F5" s="93"/>
    </row>
    <row r="6" ht="15.75">
      <c r="A6" s="43"/>
    </row>
    <row r="7" ht="12.75">
      <c r="A7" t="str">
        <f>CONCATENATE("Onderdeel rente in verband met afrekening exploitatie ",'1. Voorblad'!E15-2)</f>
        <v>Onderdeel rente in verband met afrekening exploitatie 2004</v>
      </c>
    </row>
    <row r="9" ht="12" customHeight="1">
      <c r="A9" s="29"/>
    </row>
    <row r="10" ht="12.75">
      <c r="A10" s="30" t="s">
        <v>147</v>
      </c>
    </row>
    <row r="11" ht="12.75">
      <c r="A11" t="s">
        <v>148</v>
      </c>
    </row>
    <row r="12" ht="12.75">
      <c r="A12" t="str">
        <f>CONCATENATE("Wij raden u aan om van deze circulaires kennis te nemen, alvorens u het onderdeel rente van de afrekening ",'1. Voorblad'!E15-2," invult.")</f>
        <v>Wij raden u aan om van deze circulaires kennis te nemen, alvorens u het onderdeel rente van de afrekening 2004 invult.</v>
      </c>
    </row>
    <row r="14" spans="1:8" ht="12.75">
      <c r="A14" s="5" t="s">
        <v>149</v>
      </c>
      <c r="B14" s="5"/>
      <c r="C14" s="5"/>
      <c r="D14" s="5"/>
      <c r="E14" s="5"/>
      <c r="F14" s="5"/>
      <c r="G14" s="5"/>
      <c r="H14" s="5"/>
    </row>
    <row r="15" spans="1:9" ht="12.75">
      <c r="A15" s="28">
        <v>1</v>
      </c>
      <c r="B15" s="13" t="s">
        <v>165</v>
      </c>
      <c r="C15" s="51"/>
      <c r="D15" t="s">
        <v>172</v>
      </c>
      <c r="E15" t="s">
        <v>171</v>
      </c>
      <c r="I15" s="8"/>
    </row>
    <row r="16" spans="1:5" ht="12.75">
      <c r="A16" s="28">
        <v>2</v>
      </c>
      <c r="B16" s="13" t="s">
        <v>152</v>
      </c>
      <c r="C16" s="51"/>
      <c r="D16" t="s">
        <v>174</v>
      </c>
      <c r="E16" t="s">
        <v>173</v>
      </c>
    </row>
    <row r="17" spans="1:15" ht="25.5">
      <c r="A17" s="28">
        <v>3</v>
      </c>
      <c r="B17" s="13" t="s">
        <v>166</v>
      </c>
      <c r="C17" s="51"/>
      <c r="D17" t="s">
        <v>172</v>
      </c>
      <c r="E17" s="29" t="s">
        <v>175</v>
      </c>
      <c r="O17" s="31"/>
    </row>
    <row r="18" spans="1:9" ht="12.75">
      <c r="A18" s="28">
        <v>4</v>
      </c>
      <c r="B18" s="13" t="s">
        <v>167</v>
      </c>
      <c r="C18" s="51"/>
      <c r="E18" s="31" t="s">
        <v>155</v>
      </c>
      <c r="I18" s="8"/>
    </row>
    <row r="19" spans="1:9" ht="12.75">
      <c r="A19" s="28">
        <v>5</v>
      </c>
      <c r="B19" s="13" t="s">
        <v>168</v>
      </c>
      <c r="C19" s="51"/>
      <c r="D19" t="s">
        <v>172</v>
      </c>
      <c r="I19" s="8"/>
    </row>
    <row r="20" spans="1:9" ht="12.75">
      <c r="A20" s="28">
        <v>6</v>
      </c>
      <c r="B20" s="13" t="s">
        <v>169</v>
      </c>
      <c r="C20" s="51"/>
      <c r="D20" t="s">
        <v>172</v>
      </c>
      <c r="I20" s="8"/>
    </row>
    <row r="21" spans="1:9" ht="12.75">
      <c r="A21" s="28" t="s">
        <v>162</v>
      </c>
      <c r="B21" s="13" t="s">
        <v>158</v>
      </c>
      <c r="C21" s="51"/>
      <c r="D21" t="s">
        <v>137</v>
      </c>
      <c r="I21" s="8"/>
    </row>
    <row r="22" spans="1:9" ht="12.75">
      <c r="A22" s="28" t="s">
        <v>163</v>
      </c>
      <c r="B22" s="13" t="s">
        <v>170</v>
      </c>
      <c r="C22" s="51"/>
      <c r="D22" t="s">
        <v>137</v>
      </c>
      <c r="I22" s="8"/>
    </row>
    <row r="23" spans="1:9" ht="12.75">
      <c r="A23" s="28" t="s">
        <v>164</v>
      </c>
      <c r="B23" s="13" t="s">
        <v>159</v>
      </c>
      <c r="C23" s="51"/>
      <c r="D23" t="s">
        <v>137</v>
      </c>
      <c r="I23" s="8"/>
    </row>
    <row r="24" ht="12.75">
      <c r="I24" s="8"/>
    </row>
    <row r="25" ht="12.75">
      <c r="A25" t="s">
        <v>180</v>
      </c>
    </row>
    <row r="26" ht="12.75">
      <c r="A26" t="s">
        <v>181</v>
      </c>
    </row>
    <row r="28" spans="1:6" ht="12.75">
      <c r="A28" s="1"/>
      <c r="B28" s="1"/>
      <c r="C28" s="38" t="s">
        <v>176</v>
      </c>
      <c r="D28" s="38" t="s">
        <v>177</v>
      </c>
      <c r="E28" s="38" t="s">
        <v>178</v>
      </c>
      <c r="F28" s="6" t="s">
        <v>179</v>
      </c>
    </row>
    <row r="29" spans="1:6" ht="12.75">
      <c r="A29" s="6" t="s">
        <v>23</v>
      </c>
      <c r="B29" s="6" t="s">
        <v>182</v>
      </c>
      <c r="C29" s="56"/>
      <c r="D29" s="56"/>
      <c r="E29" s="56"/>
      <c r="F29" s="51"/>
    </row>
    <row r="30" spans="1:6" ht="12.75">
      <c r="A30" s="13" t="s">
        <v>150</v>
      </c>
      <c r="B30" s="13" t="s">
        <v>183</v>
      </c>
      <c r="C30" s="56"/>
      <c r="D30" s="56"/>
      <c r="E30" s="56"/>
      <c r="F30" s="51"/>
    </row>
    <row r="31" spans="1:6" ht="12.75">
      <c r="A31" s="32" t="s">
        <v>151</v>
      </c>
      <c r="B31" s="32" t="s">
        <v>233</v>
      </c>
      <c r="C31" s="56"/>
      <c r="D31" s="56"/>
      <c r="E31" s="56"/>
      <c r="F31" s="51"/>
    </row>
    <row r="32" spans="1:6" ht="38.25">
      <c r="A32" s="33" t="s">
        <v>153</v>
      </c>
      <c r="B32" s="17" t="s">
        <v>184</v>
      </c>
      <c r="C32" s="56"/>
      <c r="D32" s="56"/>
      <c r="E32" s="56"/>
      <c r="F32" s="51"/>
    </row>
    <row r="33" spans="1:6" ht="12.75">
      <c r="A33" s="32" t="s">
        <v>154</v>
      </c>
      <c r="B33" s="32" t="s">
        <v>185</v>
      </c>
      <c r="C33" s="56"/>
      <c r="D33" s="56"/>
      <c r="E33" s="56"/>
      <c r="F33" s="51"/>
    </row>
    <row r="34" spans="3:5" s="2" customFormat="1" ht="12.75">
      <c r="C34" s="40"/>
      <c r="D34" s="40"/>
      <c r="E34" s="40"/>
    </row>
    <row r="35" spans="1:6" ht="12.75">
      <c r="A35" s="34" t="s">
        <v>186</v>
      </c>
      <c r="B35" s="34" t="s">
        <v>187</v>
      </c>
      <c r="C35" s="39"/>
      <c r="D35" s="39"/>
      <c r="E35" s="39"/>
      <c r="F35" s="1"/>
    </row>
    <row r="36" spans="1:6" ht="12.75">
      <c r="A36" s="32" t="s">
        <v>150</v>
      </c>
      <c r="B36" s="32" t="s">
        <v>234</v>
      </c>
      <c r="C36" s="56"/>
      <c r="D36" s="56"/>
      <c r="E36" s="56"/>
      <c r="F36" s="51"/>
    </row>
    <row r="37" spans="1:6" ht="12.75">
      <c r="A37" s="32" t="s">
        <v>151</v>
      </c>
      <c r="B37" s="32" t="s">
        <v>188</v>
      </c>
      <c r="C37" s="56"/>
      <c r="D37" s="56"/>
      <c r="E37" s="56"/>
      <c r="F37" s="51"/>
    </row>
    <row r="38" spans="3:5" s="2" customFormat="1" ht="12.75">
      <c r="C38" s="40"/>
      <c r="D38" s="40"/>
      <c r="E38" s="40"/>
    </row>
    <row r="39" spans="1:6" ht="12.75">
      <c r="A39" s="34" t="s">
        <v>189</v>
      </c>
      <c r="B39" s="34" t="s">
        <v>190</v>
      </c>
      <c r="C39" s="39"/>
      <c r="D39" s="39"/>
      <c r="E39" s="39"/>
      <c r="F39" s="1"/>
    </row>
    <row r="40" spans="1:6" ht="25.5">
      <c r="A40" s="33" t="s">
        <v>150</v>
      </c>
      <c r="B40" s="32" t="s">
        <v>235</v>
      </c>
      <c r="C40" s="56"/>
      <c r="D40" s="56"/>
      <c r="E40" s="56"/>
      <c r="F40" s="51"/>
    </row>
    <row r="41" spans="3:5" s="2" customFormat="1" ht="12.75">
      <c r="C41" s="40"/>
      <c r="D41" s="40"/>
      <c r="E41" s="40"/>
    </row>
    <row r="42" spans="1:6" ht="12.75">
      <c r="A42" s="34" t="s">
        <v>191</v>
      </c>
      <c r="B42" s="34" t="s">
        <v>192</v>
      </c>
      <c r="C42" s="39"/>
      <c r="D42" s="39"/>
      <c r="E42" s="39"/>
      <c r="F42" s="1"/>
    </row>
    <row r="43" spans="1:6" ht="25.5">
      <c r="A43" s="33" t="s">
        <v>150</v>
      </c>
      <c r="B43" s="32" t="s">
        <v>193</v>
      </c>
      <c r="C43" s="56"/>
      <c r="D43" s="56"/>
      <c r="E43" s="56"/>
      <c r="F43" s="51"/>
    </row>
    <row r="44" spans="1:6" ht="25.5">
      <c r="A44" s="33" t="s">
        <v>151</v>
      </c>
      <c r="B44" s="32" t="s">
        <v>194</v>
      </c>
      <c r="C44" s="56"/>
      <c r="D44" s="56"/>
      <c r="E44" s="56"/>
      <c r="F44" s="51"/>
    </row>
    <row r="45" spans="1:6" ht="12.75">
      <c r="A45" s="32" t="s">
        <v>153</v>
      </c>
      <c r="B45" s="32" t="s">
        <v>195</v>
      </c>
      <c r="C45" s="56"/>
      <c r="D45" s="56"/>
      <c r="E45" s="56"/>
      <c r="F45" s="51"/>
    </row>
    <row r="46" spans="3:5" s="2" customFormat="1" ht="12.75">
      <c r="C46" s="40"/>
      <c r="D46" s="40"/>
      <c r="E46" s="40"/>
    </row>
    <row r="47" spans="1:6" ht="12.75">
      <c r="A47" s="34" t="s">
        <v>196</v>
      </c>
      <c r="B47" s="34" t="s">
        <v>197</v>
      </c>
      <c r="C47" s="39"/>
      <c r="D47" s="39"/>
      <c r="E47" s="39"/>
      <c r="F47" s="1"/>
    </row>
    <row r="48" spans="1:6" ht="12.75" customHeight="1">
      <c r="A48" s="33" t="s">
        <v>150</v>
      </c>
      <c r="B48" s="21" t="s">
        <v>282</v>
      </c>
      <c r="C48" s="41"/>
      <c r="D48" s="41"/>
      <c r="E48" s="41"/>
      <c r="F48" s="42"/>
    </row>
    <row r="49" spans="1:6" ht="12.75">
      <c r="A49" s="13" t="s">
        <v>198</v>
      </c>
      <c r="B49" s="13" t="s">
        <v>199</v>
      </c>
      <c r="C49" s="41"/>
      <c r="D49" s="41"/>
      <c r="E49" s="41" t="s">
        <v>204</v>
      </c>
      <c r="F49" s="42"/>
    </row>
    <row r="50" spans="1:6" ht="12.75">
      <c r="A50" s="13" t="s">
        <v>200</v>
      </c>
      <c r="B50" s="13" t="s">
        <v>201</v>
      </c>
      <c r="C50" s="41"/>
      <c r="D50" s="41"/>
      <c r="E50" s="41" t="s">
        <v>204</v>
      </c>
      <c r="F50" s="42"/>
    </row>
    <row r="51" spans="1:6" ht="12.75">
      <c r="A51" s="32" t="s">
        <v>202</v>
      </c>
      <c r="B51" s="32" t="s">
        <v>203</v>
      </c>
      <c r="C51" s="41"/>
      <c r="D51" s="41"/>
      <c r="E51" s="41" t="s">
        <v>204</v>
      </c>
      <c r="F51" s="42"/>
    </row>
    <row r="52" spans="3:5" s="2" customFormat="1" ht="12.75">
      <c r="C52" s="40"/>
      <c r="D52" s="40"/>
      <c r="E52" s="40"/>
    </row>
    <row r="53" spans="1:6" ht="12.75">
      <c r="A53" s="34" t="s">
        <v>205</v>
      </c>
      <c r="B53" s="34" t="s">
        <v>206</v>
      </c>
      <c r="C53" s="39"/>
      <c r="D53" s="39"/>
      <c r="E53" s="39"/>
      <c r="F53" s="1"/>
    </row>
    <row r="54" spans="1:6" ht="25.5">
      <c r="A54" s="35" t="s">
        <v>150</v>
      </c>
      <c r="B54" s="36" t="s">
        <v>228</v>
      </c>
      <c r="C54" s="56"/>
      <c r="D54" s="56"/>
      <c r="E54" s="56"/>
      <c r="F54" s="51"/>
    </row>
    <row r="55" spans="1:6" ht="12.75">
      <c r="A55" s="32" t="s">
        <v>151</v>
      </c>
      <c r="B55" s="32" t="s">
        <v>227</v>
      </c>
      <c r="C55" s="56"/>
      <c r="D55" s="56"/>
      <c r="E55" s="56"/>
      <c r="F55" s="51"/>
    </row>
    <row r="56" spans="1:6" ht="12.75">
      <c r="A56" s="13" t="s">
        <v>153</v>
      </c>
      <c r="B56" s="13" t="s">
        <v>207</v>
      </c>
      <c r="C56" s="56"/>
      <c r="D56" s="56"/>
      <c r="E56" s="56"/>
      <c r="F56" s="51"/>
    </row>
    <row r="57" spans="3:5" s="2" customFormat="1" ht="12.75">
      <c r="C57" s="40"/>
      <c r="D57" s="40"/>
      <c r="E57" s="40"/>
    </row>
    <row r="58" spans="1:6" ht="12.75">
      <c r="A58" s="34" t="s">
        <v>208</v>
      </c>
      <c r="B58" s="34" t="s">
        <v>209</v>
      </c>
      <c r="C58" s="39"/>
      <c r="D58" s="39"/>
      <c r="E58" s="39"/>
      <c r="F58" s="1"/>
    </row>
    <row r="59" spans="1:6" ht="25.5">
      <c r="A59" s="35" t="s">
        <v>150</v>
      </c>
      <c r="B59" s="36" t="s">
        <v>210</v>
      </c>
      <c r="C59" s="56"/>
      <c r="D59" s="56"/>
      <c r="E59" s="56"/>
      <c r="F59" s="51"/>
    </row>
    <row r="60" spans="1:6" ht="25.5">
      <c r="A60" s="33" t="s">
        <v>151</v>
      </c>
      <c r="B60" s="37" t="s">
        <v>211</v>
      </c>
      <c r="C60" s="56"/>
      <c r="D60" s="56"/>
      <c r="E60" s="56"/>
      <c r="F60" s="51"/>
    </row>
    <row r="61" spans="1:6" ht="25.5">
      <c r="A61" s="35" t="s">
        <v>153</v>
      </c>
      <c r="B61" s="36" t="s">
        <v>212</v>
      </c>
      <c r="C61" s="56"/>
      <c r="D61" s="56"/>
      <c r="E61" s="56"/>
      <c r="F61" s="51"/>
    </row>
    <row r="62" spans="1:6" ht="25.5">
      <c r="A62" s="33" t="s">
        <v>154</v>
      </c>
      <c r="B62" s="37" t="s">
        <v>226</v>
      </c>
      <c r="C62" s="56"/>
      <c r="D62" s="56"/>
      <c r="E62" s="56"/>
      <c r="F62" s="51"/>
    </row>
    <row r="63" spans="1:6" ht="25.5">
      <c r="A63" s="35" t="s">
        <v>156</v>
      </c>
      <c r="B63" s="36" t="s">
        <v>213</v>
      </c>
      <c r="C63" s="56"/>
      <c r="D63" s="56"/>
      <c r="E63" s="56"/>
      <c r="F63" s="51"/>
    </row>
    <row r="64" spans="1:6" ht="25.5">
      <c r="A64" s="33" t="s">
        <v>157</v>
      </c>
      <c r="B64" s="37" t="s">
        <v>214</v>
      </c>
      <c r="C64" s="56"/>
      <c r="D64" s="56"/>
      <c r="E64" s="56"/>
      <c r="F64" s="51"/>
    </row>
    <row r="65" spans="1:6" ht="25.5">
      <c r="A65" s="35" t="s">
        <v>215</v>
      </c>
      <c r="B65" s="36" t="s">
        <v>216</v>
      </c>
      <c r="C65" s="56"/>
      <c r="D65" s="56"/>
      <c r="E65" s="56"/>
      <c r="F65" s="51"/>
    </row>
    <row r="66" spans="3:5" s="2" customFormat="1" ht="12.75">
      <c r="C66" s="40"/>
      <c r="D66" s="40"/>
      <c r="E66" s="40"/>
    </row>
    <row r="67" spans="1:6" ht="12.75">
      <c r="A67" s="6" t="s">
        <v>217</v>
      </c>
      <c r="B67" s="6" t="s">
        <v>218</v>
      </c>
      <c r="C67" s="39"/>
      <c r="D67" s="39"/>
      <c r="E67" s="39"/>
      <c r="F67" s="1"/>
    </row>
    <row r="68" spans="1:6" ht="12.75">
      <c r="A68" s="13" t="s">
        <v>150</v>
      </c>
      <c r="B68" s="13" t="s">
        <v>219</v>
      </c>
      <c r="C68" s="56"/>
      <c r="D68" s="56"/>
      <c r="E68" s="56"/>
      <c r="F68" s="51"/>
    </row>
    <row r="69" spans="1:6" ht="25.5">
      <c r="A69" s="32" t="s">
        <v>151</v>
      </c>
      <c r="B69" s="32" t="s">
        <v>220</v>
      </c>
      <c r="C69" s="56"/>
      <c r="D69" s="56"/>
      <c r="E69" s="56"/>
      <c r="F69" s="51"/>
    </row>
    <row r="70" spans="1:6" ht="25.5">
      <c r="A70" s="32" t="s">
        <v>153</v>
      </c>
      <c r="B70" s="32" t="s">
        <v>224</v>
      </c>
      <c r="C70" s="56"/>
      <c r="D70" s="56"/>
      <c r="E70" s="56"/>
      <c r="F70" s="51"/>
    </row>
    <row r="71" spans="1:6" ht="12.75">
      <c r="A71" s="32" t="s">
        <v>154</v>
      </c>
      <c r="B71" s="32" t="s">
        <v>225</v>
      </c>
      <c r="C71" s="56"/>
      <c r="D71" s="56"/>
      <c r="E71" s="56"/>
      <c r="F71" s="51"/>
    </row>
    <row r="72" spans="1:5" s="2" customFormat="1" ht="12.75">
      <c r="A72" s="150"/>
      <c r="C72" s="40"/>
      <c r="D72" s="40"/>
      <c r="E72" s="40"/>
    </row>
    <row r="73" spans="1:6" ht="12.75">
      <c r="A73" s="34" t="s">
        <v>221</v>
      </c>
      <c r="B73" s="34" t="s">
        <v>222</v>
      </c>
      <c r="C73" s="39"/>
      <c r="D73" s="39"/>
      <c r="E73" s="39"/>
      <c r="F73" s="1"/>
    </row>
    <row r="74" spans="1:6" ht="25.5">
      <c r="A74" s="35" t="s">
        <v>150</v>
      </c>
      <c r="B74" s="36" t="s">
        <v>223</v>
      </c>
      <c r="C74" s="56"/>
      <c r="D74" s="56"/>
      <c r="E74" s="56"/>
      <c r="F74" s="51"/>
    </row>
    <row r="75" spans="1:6" ht="12.75">
      <c r="A75" s="33" t="s">
        <v>198</v>
      </c>
      <c r="B75" s="37" t="s">
        <v>229</v>
      </c>
      <c r="C75" s="56"/>
      <c r="D75" s="56"/>
      <c r="E75" s="56"/>
      <c r="F75" s="51"/>
    </row>
    <row r="76" spans="1:6" ht="25.5">
      <c r="A76" s="33" t="s">
        <v>200</v>
      </c>
      <c r="B76" s="37" t="s">
        <v>230</v>
      </c>
      <c r="C76" s="56"/>
      <c r="D76" s="56"/>
      <c r="E76" s="56"/>
      <c r="F76" s="51"/>
    </row>
    <row r="77" spans="1:6" ht="25.5">
      <c r="A77" s="35" t="s">
        <v>202</v>
      </c>
      <c r="B77" s="36" t="s">
        <v>231</v>
      </c>
      <c r="C77" s="56"/>
      <c r="D77" s="56"/>
      <c r="E77" s="56"/>
      <c r="F77" s="51"/>
    </row>
    <row r="78" spans="1:6" ht="25.5">
      <c r="A78" s="35" t="s">
        <v>151</v>
      </c>
      <c r="B78" s="36" t="s">
        <v>232</v>
      </c>
      <c r="C78" s="56"/>
      <c r="D78" s="56"/>
      <c r="E78" s="56"/>
      <c r="F78" s="51"/>
    </row>
  </sheetData>
  <sheetProtection password="D00A" sheet="1" objects="1" scenarios="1"/>
  <printOptions/>
  <pageMargins left="0.75" right="0.75" top="1" bottom="1" header="0.5" footer="0.5"/>
  <pageSetup fitToHeight="3" horizontalDpi="600" verticalDpi="600" orientation="landscape" paperSize="9" scale="76" r:id="rId2"/>
  <headerFooter alignWithMargins="0">
    <oddFooter>&amp;R&amp;P</oddFooter>
  </headerFooter>
  <rowBreaks count="2" manualBreakCount="2">
    <brk id="40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Jeen van Hijum</dc:creator>
  <cp:keywords/>
  <dc:description/>
  <cp:lastModifiedBy>E.A. Rutting</cp:lastModifiedBy>
  <cp:lastPrinted>2006-01-10T09:46:02Z</cp:lastPrinted>
  <dcterms:created xsi:type="dcterms:W3CDTF">2005-05-04T14:20:46Z</dcterms:created>
  <dcterms:modified xsi:type="dcterms:W3CDTF">2006-01-13T09:56:29Z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584675510</vt:i4>
  </property>
  <property fmtid="{D5CDD505-2E9C-101B-9397-08002B2CF9AE}" pid="3" name="_EmailSubject">
    <vt:lpwstr>beoordelingsformulier 2005.xls</vt:lpwstr>
  </property>
  <property fmtid="{D5CDD505-2E9C-101B-9397-08002B2CF9AE}" pid="4" name="_AuthorEmail">
    <vt:lpwstr>jvhijum@ctg-zaio.nl</vt:lpwstr>
  </property>
  <property fmtid="{D5CDD505-2E9C-101B-9397-08002B2CF9AE}" pid="5" name="_AuthorEmailDisplayName">
    <vt:lpwstr>Hijum, Jeen van</vt:lpwstr>
  </property>
  <property fmtid="{D5CDD505-2E9C-101B-9397-08002B2CF9AE}" pid="6" name="_ReviewingToolsShownOnce">
    <vt:lpwstr/>
  </property>
  <property fmtid="{D5CDD505-2E9C-101B-9397-08002B2CF9AE}" pid="7" name="_dlc_DocId">
    <vt:lpwstr>THRFR6N5WDQ4-19-11318</vt:lpwstr>
  </property>
  <property fmtid="{D5CDD505-2E9C-101B-9397-08002B2CF9AE}" pid="8" name="_dlc_DocIdItemGuid">
    <vt:lpwstr>2ad0013f-28dd-489e-91b4-f6b01081562e</vt:lpwstr>
  </property>
  <property fmtid="{D5CDD505-2E9C-101B-9397-08002B2CF9AE}" pid="9" name="_dlc_DocIdUrl">
    <vt:lpwstr>http://kennisnet.nza.nl/publicaties/Aanleveren/_layouts/DocIdRedir.aspx?ID=THRFR6N5WDQ4-19-11318, THRFR6N5WDQ4-19-11318</vt:lpwstr>
  </property>
  <property fmtid="{D5CDD505-2E9C-101B-9397-08002B2CF9AE}" pid="10" name="WorkflowChangePath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11" name="NZa-zoekwoordenMetadata">
    <vt:lpwstr/>
  </property>
  <property fmtid="{D5CDD505-2E9C-101B-9397-08002B2CF9AE}" pid="12" name="VerzondenAanMetadata">
    <vt:lpwstr/>
  </property>
  <property fmtid="{D5CDD505-2E9C-101B-9397-08002B2CF9AE}" pid="13" name="Sector(en)Metadata">
    <vt:lpwstr/>
  </property>
  <property fmtid="{D5CDD505-2E9C-101B-9397-08002B2CF9AE}" pid="14" name="DocumentTypeMetadata">
    <vt:lpwstr>Bijlage|5bf77c6e-b0b2-45e1-a13a-aadc6364942c</vt:lpwstr>
  </property>
  <property fmtid="{D5CDD505-2E9C-101B-9397-08002B2CF9AE}" pid="15" name="ExtraZoekwoordenMetadata">
    <vt:lpwstr/>
  </property>
</Properties>
</file>