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firstSheet="1" activeTab="1"/>
  </bookViews>
  <sheets>
    <sheet name="Uitvoer" sheetId="1" state="hidden" r:id="rId1"/>
    <sheet name="Voorblad" sheetId="2" r:id="rId2"/>
    <sheet name="Inhoud" sheetId="3" r:id="rId3"/>
    <sheet name="instructie" sheetId="4" r:id="rId4"/>
    <sheet name="Productie" sheetId="5" r:id="rId5"/>
    <sheet name="Opbrengsten" sheetId="6" r:id="rId6"/>
    <sheet name="Afschrijvingen" sheetId="7" r:id="rId7"/>
    <sheet name="WZV" sheetId="8" r:id="rId8"/>
    <sheet name="Instandhouding" sheetId="9" r:id="rId9"/>
    <sheet name="Overige kap.lasten " sheetId="10" r:id="rId10"/>
    <sheet name="Mutaties" sheetId="11" r:id="rId11"/>
    <sheet name="Rentecalc." sheetId="12" r:id="rId12"/>
    <sheet name="A-E" sheetId="13" r:id="rId13"/>
    <sheet name="F" sheetId="14" r:id="rId14"/>
    <sheet name="G-H" sheetId="15" r:id="rId15"/>
    <sheet name="Vragen" sheetId="16" r:id="rId16"/>
    <sheet name="Aanv.vragen" sheetId="17" r:id="rId17"/>
    <sheet name="controleprotocol" sheetId="18" r:id="rId18"/>
    <sheet name="Uitvoerbestand" sheetId="19" state="hidden" r:id="rId19"/>
    <sheet name="Beleidsregel loon 2005" sheetId="20" state="hidden" r:id="rId20"/>
    <sheet name="Beleidsregel materieel 2005" sheetId="21" state="hidden" r:id="rId21"/>
    <sheet name="Opbrengstenregistratie 2005" sheetId="22" state="hidden" r:id="rId22"/>
  </sheets>
  <externalReferences>
    <externalReference r:id="rId25"/>
  </externalReferences>
  <definedNames>
    <definedName name="__123Graph_C" hidden="1">'[1]I_03007'!#REF!</definedName>
    <definedName name="__123Graph_D" hidden="1">'[1]I_03007'!#REF!</definedName>
    <definedName name="__123Graph_E" hidden="1">'[1]I_03007'!#REF!</definedName>
    <definedName name="__123Graph_Z" hidden="1">'[1]I_03007'!#REF!</definedName>
    <definedName name="_Order1" hidden="1">255</definedName>
    <definedName name="_Order2" hidden="1">255</definedName>
    <definedName name="_xlnm.Print_Area" localSheetId="16">'Aanv.vragen'!$A$1:$H$87</definedName>
    <definedName name="_xlnm.Print_Area" localSheetId="12">'A-E'!$A$1:$G$137</definedName>
    <definedName name="_xlnm.Print_Area" localSheetId="6">'Afschrijvingen'!$A$1:$K$38</definedName>
    <definedName name="_xlnm.Print_Area" localSheetId="19">'Beleidsregel loon 2005'!$A$1:$G$183</definedName>
    <definedName name="_xlnm.Print_Area" localSheetId="17">'controleprotocol'!$A$1:$G$66</definedName>
    <definedName name="_xlnm.Print_Area" localSheetId="14">'G-H'!$A$1:$E$41</definedName>
    <definedName name="_xlnm.Print_Area" localSheetId="2">'Inhoud'!$A$1:$I$41</definedName>
    <definedName name="_xlnm.Print_Area" localSheetId="8">'Instandhouding'!$A$1:$M$88</definedName>
    <definedName name="_xlnm.Print_Area" localSheetId="3">'instructie'!$A$1:$E$120</definedName>
    <definedName name="_xlnm.Print_Area" localSheetId="10">'Mutaties'!$A$1:$I$47</definedName>
    <definedName name="_xlnm.Print_Area" localSheetId="5">'Opbrengsten'!$A$1:$M$87</definedName>
    <definedName name="_xlnm.Print_Area" localSheetId="21">'Opbrengstenregistratie 2005'!$A$1:$D$53</definedName>
    <definedName name="_xlnm.Print_Area" localSheetId="9">'Overige kap.lasten '!$A$1:$M$128</definedName>
    <definedName name="_xlnm.Print_Area" localSheetId="4">'Productie'!$A$1:$M$165</definedName>
    <definedName name="_xlnm.Print_Area" localSheetId="11">'Rentecalc.'!$A$1:$H$39</definedName>
    <definedName name="_xlnm.Print_Area" localSheetId="1">'Voorblad'!$A$29:$O$54</definedName>
    <definedName name="_xlnm.Print_Area" localSheetId="15">'Vragen'!$A$1:$G$132</definedName>
    <definedName name="_xlnm.Print_Area" localSheetId="7">'WZV'!$A$1:$M$122</definedName>
    <definedName name="_xlnm.Print_Titles" localSheetId="10">'Mutaties'!$2:$2</definedName>
    <definedName name="_xlnm.Print_Titles" localSheetId="11">'Rentecalc.'!$2:$2</definedName>
    <definedName name="_xlnm.Print_Titles" localSheetId="1">'Voorblad'!$1:$13</definedName>
    <definedName name="Afdruktitels_MI">'[1]I_03007'!$1:$5</definedName>
    <definedName name="Expl_">'[1]I_03007'!#REF!</definedName>
    <definedName name="Expl_522">'[1]I_03007'!#REF!</definedName>
    <definedName name="Expl_523">'[1]I_03007'!#REF!</definedName>
    <definedName name="Expl_524">'[1]I_03007'!#REF!</definedName>
    <definedName name="Expl_525">'[1]I_03007'!#REF!</definedName>
    <definedName name="Expl_526">'[1]I_03007'!#REF!</definedName>
    <definedName name="getal_data">#REF!</definedName>
    <definedName name="kolom_data">#REF!</definedName>
    <definedName name="naam">#REF!</definedName>
    <definedName name="tabblad">#REF!</definedName>
    <definedName name="totaal1996">'[1]I_03007'!$A$4:$D$43</definedName>
    <definedName name="totaal1997">'[1]I_03007'!$A$46:$D$85</definedName>
    <definedName name="totaal1998">'[1]I_03007'!$A$88:$D$127</definedName>
    <definedName name="totaal1999">'[1]I_03007'!$A$130:$D$169</definedName>
    <definedName name="totaal2000">'[1]I_03007'!$A$172:$D$211</definedName>
    <definedName name="Z_60683067_AF12_11D4_9642_08005ACCD915_.wvu.PrintArea" localSheetId="12" hidden="1">'A-E'!$A:$XFD</definedName>
    <definedName name="Z_60683067_AF12_11D4_9642_08005ACCD915_.wvu.PrintArea" localSheetId="13" hidden="1">'F'!$A:$XFD</definedName>
    <definedName name="Z_60683067_AF12_11D4_9642_08005ACCD915_.wvu.PrintArea" localSheetId="14" hidden="1">'G-H'!$A:$XFD</definedName>
    <definedName name="Z_60683067_AF12_11D4_9642_08005ACCD915_.wvu.PrintArea" localSheetId="8" hidden="1">'Instandhouding'!$A:$XFD</definedName>
    <definedName name="Z_60683067_AF12_11D4_9642_08005ACCD915_.wvu.PrintArea" localSheetId="5" hidden="1">'Opbrengsten'!$A:$XFD</definedName>
    <definedName name="Z_60683067_AF12_11D4_9642_08005ACCD915_.wvu.PrintArea" localSheetId="9" hidden="1">'Overige kap.lasten '!$A:$XFD</definedName>
    <definedName name="Z_60683067_AF12_11D4_9642_08005ACCD915_.wvu.PrintArea" localSheetId="4" hidden="1">'Productie'!$A:$XFD</definedName>
    <definedName name="Z_60683067_AF12_11D4_9642_08005ACCD915_.wvu.PrintArea" localSheetId="7" hidden="1">'WZV'!$A:$XFD</definedName>
    <definedName name="Z_60683067_AF12_11D4_9642_08005ACCD915_.wvu.PrintTitles" localSheetId="16" hidden="1">'Aanv.vragen'!$2:$2</definedName>
    <definedName name="Z_60683067_AF12_11D4_9642_08005ACCD915_.wvu.PrintTitles" localSheetId="10" hidden="1">'Mutaties'!$2:$2</definedName>
    <definedName name="Z_60683067_AF12_11D4_9642_08005ACCD915_.wvu.PrintTitles" localSheetId="11" hidden="1">'Rentecalc.'!$2:$2</definedName>
    <definedName name="Z_60683068_AF12_11D4_9642_08005ACCD915_.wvu.PrintTitles" localSheetId="16" hidden="1">'Aanv.vragen'!$2:$2</definedName>
    <definedName name="Z_60683068_AF12_11D4_9642_08005ACCD915_.wvu.PrintTitles" localSheetId="12" hidden="1">'A-E'!#REF!</definedName>
    <definedName name="Z_60683068_AF12_11D4_9642_08005ACCD915_.wvu.PrintTitles" localSheetId="6" hidden="1">'Afschrijvingen'!$2:$2</definedName>
    <definedName name="Z_60683068_AF12_11D4_9642_08005ACCD915_.wvu.PrintTitles" localSheetId="13" hidden="1">'F'!#REF!</definedName>
    <definedName name="Z_60683068_AF12_11D4_9642_08005ACCD915_.wvu.PrintTitles" localSheetId="14" hidden="1">'G-H'!#REF!</definedName>
    <definedName name="Z_60683068_AF12_11D4_9642_08005ACCD915_.wvu.PrintTitles" localSheetId="2" hidden="1">'Inhoud'!$2:$2</definedName>
    <definedName name="Z_60683068_AF12_11D4_9642_08005ACCD915_.wvu.PrintTitles" localSheetId="8" hidden="1">'Instandhouding'!#REF!</definedName>
    <definedName name="Z_60683068_AF12_11D4_9642_08005ACCD915_.wvu.PrintTitles" localSheetId="3" hidden="1">'instructie'!$2:$2</definedName>
    <definedName name="Z_60683068_AF12_11D4_9642_08005ACCD915_.wvu.PrintTitles" localSheetId="10" hidden="1">'Mutaties'!$2:$2</definedName>
    <definedName name="Z_60683068_AF12_11D4_9642_08005ACCD915_.wvu.PrintTitles" localSheetId="5" hidden="1">'Opbrengsten'!#REF!</definedName>
    <definedName name="Z_60683068_AF12_11D4_9642_08005ACCD915_.wvu.PrintTitles" localSheetId="9" hidden="1">'Overige kap.lasten '!#REF!</definedName>
    <definedName name="Z_60683068_AF12_11D4_9642_08005ACCD915_.wvu.PrintTitles" localSheetId="4" hidden="1">'Productie'!#REF!</definedName>
    <definedName name="Z_60683068_AF12_11D4_9642_08005ACCD915_.wvu.PrintTitles" localSheetId="11" hidden="1">'Rentecalc.'!$2:$2</definedName>
    <definedName name="Z_60683068_AF12_11D4_9642_08005ACCD915_.wvu.PrintTitles" localSheetId="7" hidden="1">'WZV'!#REF!</definedName>
    <definedName name="Z_60683068_AF12_11D4_9642_08005ACCD915_.wvu.Rows" localSheetId="16" hidden="1">'Aanv.vragen'!#REF!,'Aanv.vragen'!#REF!,'Aanv.vragen'!#REF!,'Aanv.vragen'!#REF!</definedName>
    <definedName name="Z_60683068_AF12_11D4_9642_08005ACCD915_.wvu.Rows" localSheetId="6" hidden="1">'Afschrijvingen'!#REF!,'Afschrijvingen'!#REF!,'Afschrijvingen'!#REF!</definedName>
    <definedName name="Z_60683068_AF12_11D4_9642_08005ACCD915_.wvu.Rows" localSheetId="2" hidden="1">'Inhoud'!#REF!,'Inhoud'!#REF!,'Inhoud'!#REF!</definedName>
    <definedName name="Z_60683068_AF12_11D4_9642_08005ACCD915_.wvu.Rows" localSheetId="3" hidden="1">'instructie'!#REF!,'instructie'!#REF!,'instructie'!#REF!</definedName>
    <definedName name="Z_60683068_AF12_11D4_9642_08005ACCD915_.wvu.Rows" localSheetId="10" hidden="1">'Mutaties'!$31:$31,'Mutaties'!#REF!,'Mutaties'!#REF!,'Mutaties'!#REF!</definedName>
    <definedName name="Z_60683068_AF12_11D4_9642_08005ACCD915_.wvu.Rows" localSheetId="11" hidden="1">'Rentecalc.'!#REF!,'Rentecalc.'!#REF!,'Rentecalc.'!#REF!,'Rentecalc.'!#REF!</definedName>
    <definedName name="Z_60683068_AF12_11D4_9642_08005ACCD915_.wvu.Rows" localSheetId="1" hidden="1">'Voorblad'!#REF!,'Voorblad'!#REF!,'Voorblad'!$33:$33,'Voorblad'!#REF!</definedName>
    <definedName name="Z_FA655883_D50B_11D5_8D1E_0004AC965489_.wvu.PrintArea" localSheetId="17" hidden="1">'controleprotocol'!$A$4:$G$23</definedName>
  </definedNames>
  <calcPr fullCalcOnLoad="1"/>
</workbook>
</file>

<file path=xl/sharedStrings.xml><?xml version="1.0" encoding="utf-8"?>
<sst xmlns="http://schemas.openxmlformats.org/spreadsheetml/2006/main" count="3106" uniqueCount="1442">
  <si>
    <t xml:space="preserve">Zijn in 2005 onroerende zaken (ook door beheersstichtingen en / of -vennootschappen) verkocht (zie Beleidsregel verrekening boekwinsten bij verkoop)? </t>
  </si>
  <si>
    <t>Zijn, voor de berekening van de nacalculeerbare afschrijvingskosten van de in 2005 geactiveerde activa, de afschrijvingspercentages gehanteerd zoals in de Beleidsregel afschrijving opgenomen? Indien in 2005 geen activa zijn geactiveerd, kies dan nvt.</t>
  </si>
  <si>
    <t>Zijn, voor de berekening van de nacalculeerbare afschrijvingskosten van de tot en met 2004 geactiveerde activa, de door CTG/ZAio geaccepteerde afschrijvingspercentages gecontinueerd? Indien tot en met 2004 geen activa zijn geactiveerd, kies dan nvt.</t>
  </si>
  <si>
    <t>Zijn de in onderdeel 3.10 opgevoerde bedragen conform de adviezen van CBZ/VWS, ingevolge de Beleidsregel overgangsregeling kapitaalslasten bij extramurale zorgverlening? Als er geen bedragen zijn opgevoerd, kies dan nvt.</t>
  </si>
  <si>
    <t>Zijn de opgegeven doorberekende kapitaalslasten juist en volledig, conform de Beleidsregel aanvullende inkomsten zorginstellingen? Indien geen doorberekende kapitaalslasten, kies dan nvt.</t>
  </si>
  <si>
    <t>Zijn de aanvaardbare rentekosten berekend conform het door CTG/ZAio opgestelde calculatiemodel rentekosten?</t>
  </si>
  <si>
    <t>Zijn voor in 2005 afgesloten langlopende leningen (nieuwe en bij afloop rentevaste periode) normrentepercentages gehanteerd die  overeenkomen met de  normrentepercentages volgens de CTG/ZAio-website rentenormering? Indien geen langlopende leningen in 2005 zijn afgesloten, kies dan nvt.</t>
  </si>
  <si>
    <t>¹) Indien  gebruik wordt gemaakt van een BTW-constructie voor (een deel van) de nacalculeerbare activa kunt u CTG/ZAio verzoeken om de kapitaalslasten conform de Beleidsregel BTW-constructies vast te stellen. Indien een dergelijk verzoek uitblijft zijn de werkelijke kosten van rente en afschrijving tot maximaal het niveau van de beleidsregels uitgangspunt voor de vaststelling van de aanvaardbare kosten.</t>
  </si>
  <si>
    <t>Met de nacalculatie wordt het definitief budget aanvaardbare kosten bepaald. Dit vindt plaats op basis van de van toepassing zijnde beleidsregels. Het is van belang de beleidsregels voortdurend te toetsen aan feitelijke uitkomsten en omstandigheden. Met ingang van de nacalculatie 2002 zijn om die reden in het formulier een aantal aanvullende vragen opgenomen. Daarnaast zal deze informatie gebruikt worden voor verdere ontwikkeling van de dienstverlening aan instellingen.</t>
  </si>
  <si>
    <t>/PAAZ rekenstaat</t>
  </si>
  <si>
    <t xml:space="preserve">PZ/RIAGG/RIBW </t>
  </si>
  <si>
    <t>RIAGG</t>
  </si>
  <si>
    <t>RIBW</t>
  </si>
  <si>
    <t>PAAZ</t>
  </si>
  <si>
    <t>Aan RIAGG/RIWB /overig toegerekend vermogen</t>
  </si>
  <si>
    <t>De Raad van Bestuur van de instelling is verantwoordelijk voor de juiste en volledige invulling van het nacalculatieformulier.</t>
  </si>
  <si>
    <t>De Raad van Bestuur van de instelling geeft de externe accountant opdracht tot het uitvoeren van een accountantscontrole van het nacalculatieformulier, met inachtneming van het door CTG/ZAio opgestelde controleprotocol.</t>
  </si>
  <si>
    <t>De externe accountant voert de accountantscontrole van het nacalculatieformulier uit met inachtneming van het door CTG/ZAio opgestelde controleprotocol.</t>
  </si>
  <si>
    <t>De Raad van Bestuur van de instelling stuurt het door de externe accountant gewaarmerkte en door directie en zorgkantoor/zorgverzekeraar ondertekende nacalculatieformulier vergezeld van de accountantsverklaring toe aan CTG/ZAio.</t>
  </si>
  <si>
    <t>1. De accountant stelt vast dat het nacalculatieformulier is ondertekend door een bevoegd lid van de Raad van Bestuur.</t>
  </si>
  <si>
    <t>Wij zijn van oordeel dat de in het nacalculatieformulier 2005 van .... (naam instelling) opgenomen cijfermatige gegevens op een juiste wijze zijn ontleend aan de jaarrekening danwel juist zijn berekend en dat bij het opstellen en de controle van het nacalculatieformulier 2005 de aanwijzingen die CTG/ZAio heeft gegeven in het controleprotocol voor het nacalculatieformulier 2005 zijn nageleefd. Tevens hebben wij vastgesteld dat de vragenlijst die deel uitmaakt van het nacalculatieformulier juist is ingevuld. Het in het nacalculatieformulier berekend bedrag aanvaardbare kosten 2005 bedraagt € ......</t>
  </si>
  <si>
    <t xml:space="preserve">Het object van controle is het nacalculatieformulier 2005. Het nacaculatieformulier is opgesteld onder verantwoordelijkheid van de Raad van Bestuur van de instelling. In het nacalculatieformulier is naast cijfermatige informatie tevens aanvullende informatie over het naleven van de beleidsregels opgenomen middels een vragenlijst. In deze vragenlijst zijn ten aanzien van de belangrijkste (artikelen van de) beleidsregels concrete vragen  geformuleerd. Wellicht ten overvloede wordt hierbij opgemerkt dat de vragenlijst een onderdeel vormt van de accountantscontrole. </t>
  </si>
  <si>
    <t>Ultimo jaar incl. kortlopende aflossingen</t>
  </si>
  <si>
    <t xml:space="preserve">Rente lang lopende leningen </t>
  </si>
  <si>
    <t>Werkelijke rente lang lopende leningen</t>
  </si>
  <si>
    <t>Conform jaarrekening</t>
  </si>
  <si>
    <t>Kosten van voeding, ingredienten</t>
  </si>
  <si>
    <t>Schatting bij levering door derden</t>
  </si>
  <si>
    <t>Kosten ozb</t>
  </si>
  <si>
    <t>Kosten milieuheffingen</t>
  </si>
  <si>
    <t>Verontreinigingsheffing oppervlakte water</t>
  </si>
  <si>
    <t>Kosten overige heffingen</t>
  </si>
  <si>
    <t>Kosten vervoer dagbehandeling /dagbesteding</t>
  </si>
  <si>
    <t>Kosten genees- en bestralingsmid.,dialysebenodigdheden</t>
  </si>
  <si>
    <t>Kosten energie en water</t>
  </si>
  <si>
    <t>Salariskosten algemeen en administratief</t>
  </si>
  <si>
    <t>Inclusief loon tijdens ziekte en ORT doch exclusief vakantietoeslag</t>
  </si>
  <si>
    <t xml:space="preserve">Salariskosten hotelfuncties </t>
  </si>
  <si>
    <t>Salariskosten patient cq bewonergebonden functies</t>
  </si>
  <si>
    <t>Salariskosten leerl.verplk.verz. Personeel</t>
  </si>
  <si>
    <t>Salariskosten terrein en gebouwgebonden functies</t>
  </si>
  <si>
    <t>Kosten niet in loondienst verrichte arbeid</t>
  </si>
  <si>
    <t>Totaal van de factuurbedragen incl b.t.w.</t>
  </si>
  <si>
    <t>Totaal loon tijdens ziekte</t>
  </si>
  <si>
    <t>Alle functies</t>
  </si>
  <si>
    <t>-</t>
  </si>
  <si>
    <t>Totaal sociale kosten</t>
  </si>
  <si>
    <t>Incl. vak.toeslag excl.loon tijdens ziekte</t>
  </si>
  <si>
    <t>Totaal andere personeelskosten</t>
  </si>
  <si>
    <t>Totaal kosten van voeding</t>
  </si>
  <si>
    <t xml:space="preserve">Totaal andere hotelmatige kosten  </t>
  </si>
  <si>
    <r>
      <t>3</t>
    </r>
    <r>
      <rPr>
        <sz val="9"/>
        <rFont val="Arial"/>
        <family val="2"/>
      </rPr>
      <t xml:space="preserve"> Specificatie van de verkoopkosten bijvoegen.</t>
    </r>
  </si>
  <si>
    <t>Totaal algemene kosten</t>
  </si>
  <si>
    <t>Totaal patient bewonergebonden kosten</t>
  </si>
  <si>
    <t>Totaal terrein gebouwgebonden kosten</t>
  </si>
  <si>
    <t>Totaal kapitaalslasten afschrijving, huur, leasing en intrest</t>
  </si>
  <si>
    <r>
      <t>2</t>
    </r>
    <r>
      <rPr>
        <sz val="9"/>
        <rFont val="Arial"/>
        <family val="2"/>
      </rPr>
      <t xml:space="preserve"> De inflatievergoeding over het eigen vermogen is gelijk aan de prijsstijging voor de materiële kosten.</t>
    </r>
  </si>
  <si>
    <t>Zijn in 2005 ex WTG gefinancierde vermogensbestanddelen en / of gebouwen uit de WTG-instelling overgebracht naar een andere rechtspersoon?</t>
  </si>
  <si>
    <t>Passen de in 2005 geactiveerde instandhoudingsinvesteringen binnen de meldingsverklaringen die door het CBZ zijn afgegeven voor deze projecten? Als er geen investeringen zijn geactiveerd, kies dan nvt.</t>
  </si>
  <si>
    <t>Is eerst de jaarlijkse investeringsruimte volledig benut (in het onderdeel van het nacalculatieformulier over instandhoudingsinvesteringen), alvorens trekkingsrechten zijn aangesproken voor incidentele instandhoudingsinvesteringen? Indien geen instandhoudingsinvesteringen in 2005, kies dan nvt.</t>
  </si>
  <si>
    <t>Passen de huurkosten behorende bij de in 2005 nieuw aangegane huurovereenkomsten binnen de goedkeuringen die door het CBZ zijn afgegeven? Als er geen kosten van nieuwe huursituaties zijn opgegeven, kies dan nvt.</t>
  </si>
  <si>
    <t>Zijn de rentepercentages van bestaande langlopende leningen gelijk aan de percentages die in de nacalculatie 2004 zijn gehanteerd?</t>
  </si>
  <si>
    <t>MODEL-ACCOUNTANTSVERKLARING BIJ NACALCULATIEFORMULIER 2005</t>
  </si>
  <si>
    <t>Totaal andere opbrengsten en verrichtingen/diensten derden</t>
  </si>
  <si>
    <t>82+83</t>
  </si>
  <si>
    <t>Vrije regel voor annuïteitenleningen conform separate specificatie</t>
  </si>
  <si>
    <t>F124</t>
  </si>
  <si>
    <t xml:space="preserve">De in te vullen gegevens dienen in relatie te staan tot het in dit formulier berekende budget aanvaardbare kosten. </t>
  </si>
  <si>
    <t>Per bezoek per vervoerde cliënt</t>
  </si>
  <si>
    <t>Bijlage 1 bij circulaire EWAE/SKRN/ihot/CARE/AWBZ/06/04c</t>
  </si>
  <si>
    <t>Werkelijke vervoerskosten ten laste van de instelling</t>
  </si>
  <si>
    <t>Verzoek tot nacalculatie meerkosten</t>
  </si>
  <si>
    <t>Vervoerskosten bij begeleiding in de GGZ</t>
  </si>
  <si>
    <t>Toelichting bij elektronisch formulier:</t>
  </si>
  <si>
    <t>definitieve eindafrekening betrekking heeft, vindt plaats (heeft plaatsgevonden) in onderdelen 3.1 en 3.3.</t>
  </si>
  <si>
    <t>F125</t>
  </si>
  <si>
    <t>Niet goedgekeurde investeringen</t>
  </si>
  <si>
    <t>(Fictief) leningbedrag met betrekking tot huur/leasing van inventarissen</t>
  </si>
  <si>
    <r>
      <t>2</t>
    </r>
    <r>
      <rPr>
        <sz val="9"/>
        <rFont val="Arial"/>
        <family val="2"/>
      </rPr>
      <t xml:space="preserve"> Hier de datum van de boekwaarde vermelden op moment van verkoop.</t>
    </r>
  </si>
  <si>
    <t>Procentuele afwijking van de definitieve productie</t>
  </si>
  <si>
    <t>MVBG</t>
  </si>
  <si>
    <t>KHUWIN</t>
  </si>
  <si>
    <t>Totaal overige bedrijfsopbrengsten cf jaarrekening</t>
  </si>
  <si>
    <t xml:space="preserve">Verslavingszorg </t>
  </si>
  <si>
    <t>F452</t>
  </si>
  <si>
    <t>F454</t>
  </si>
  <si>
    <t>F462</t>
  </si>
  <si>
    <t>F464</t>
  </si>
  <si>
    <t>F466</t>
  </si>
  <si>
    <t>F472</t>
  </si>
  <si>
    <t>F474</t>
  </si>
  <si>
    <t>F476</t>
  </si>
  <si>
    <t>F478</t>
  </si>
  <si>
    <t>F482</t>
  </si>
  <si>
    <t>F484</t>
  </si>
  <si>
    <t>F491</t>
  </si>
  <si>
    <t>H125</t>
  </si>
  <si>
    <t>H102</t>
  </si>
  <si>
    <t>H126</t>
  </si>
  <si>
    <t>H104</t>
  </si>
  <si>
    <t>Huishoudelijke verzorging</t>
  </si>
  <si>
    <t>Persoonlijke verzorging</t>
  </si>
  <si>
    <t>Verpleging</t>
  </si>
  <si>
    <t>H121</t>
  </si>
  <si>
    <t>Begeleiding</t>
  </si>
  <si>
    <t>Begeleiding extra</t>
  </si>
  <si>
    <t>H129</t>
  </si>
  <si>
    <t>2.9</t>
  </si>
  <si>
    <t>H130</t>
  </si>
  <si>
    <t>Activerende thuiszorg</t>
  </si>
  <si>
    <t>Sectoroverstijgende productie/opbrengsten</t>
  </si>
  <si>
    <t>Kosten zorgvernieuwing (kasbasis regel 30 rekenstaat)</t>
  </si>
  <si>
    <t>Sectoroverstijgende productie (kasbasis regel 35 rekenstaat)</t>
  </si>
  <si>
    <t>Gegevens vergunning</t>
  </si>
  <si>
    <t>naam/adres</t>
  </si>
  <si>
    <t xml:space="preserve">Kosten huur en erfpacht </t>
  </si>
  <si>
    <t xml:space="preserve">Incidentele </t>
  </si>
  <si>
    <t>ja/nee</t>
  </si>
  <si>
    <t xml:space="preserve">F121 </t>
  </si>
  <si>
    <t>Psychiatrische zorg thuis</t>
  </si>
  <si>
    <t xml:space="preserve">F122 </t>
  </si>
  <si>
    <t xml:space="preserve">F123 </t>
  </si>
  <si>
    <t>Uren gespec.beg. (BZW)</t>
  </si>
  <si>
    <t xml:space="preserve">F124 </t>
  </si>
  <si>
    <t>Uren dienstverl./preventie</t>
  </si>
  <si>
    <t>Aantal *)</t>
  </si>
  <si>
    <t>Tarief **)</t>
  </si>
  <si>
    <t>&lt;--</t>
  </si>
  <si>
    <t>Nummer van de rekenstaat die bij de invulling is gebruikt:</t>
  </si>
  <si>
    <t>*) In rekenstaat te vinden bij onderbouwing van de regel</t>
  </si>
  <si>
    <r>
      <t xml:space="preserve">rentebedrag </t>
    </r>
    <r>
      <rPr>
        <b/>
        <vertAlign val="superscript"/>
        <sz val="8"/>
        <rFont val="Arial"/>
        <family val="2"/>
      </rPr>
      <t>1</t>
    </r>
  </si>
  <si>
    <t>(functie)</t>
  </si>
  <si>
    <t>Jaar van de nacalculatie</t>
  </si>
  <si>
    <t>GGZ-instellingen</t>
  </si>
  <si>
    <t>Zorgvernieuwing</t>
  </si>
  <si>
    <t>Afschrijving *</t>
  </si>
  <si>
    <t>Is bij de leningen (met een rentefixatieperiode van minimaal twee jaar) die vervroegd zijn afgelost en vervangen door nieuwe leningen, het juiste rentepercentage toegepast? Indien er geen vervroegde aflossing en vervanging van leningen heeft plaatsgevonden, kies dan nvt.</t>
  </si>
  <si>
    <t>Verzorgingsdagen Beschermd Wonen</t>
  </si>
  <si>
    <t>VZ2.1</t>
  </si>
  <si>
    <t>VZ2.2</t>
  </si>
  <si>
    <t>VZ2.3</t>
  </si>
  <si>
    <t>VZ2.4</t>
  </si>
  <si>
    <t>Structuur biedend/beperkte begeleiding</t>
  </si>
  <si>
    <t>Structuur biedend/volledige begeleiding</t>
  </si>
  <si>
    <t>Veranderingsgericht/beperkte begeleid.</t>
  </si>
  <si>
    <t>Veranderingsgericht/volledige begeleid.</t>
  </si>
  <si>
    <t>Toeslag contact buiten de instelling</t>
  </si>
  <si>
    <t>Aantal</t>
  </si>
  <si>
    <t xml:space="preserve">Tarief </t>
  </si>
  <si>
    <t>F090</t>
  </si>
  <si>
    <t>Verzorgingsdagen beschermd wonen</t>
  </si>
  <si>
    <t>F101..</t>
  </si>
  <si>
    <t>F102..</t>
  </si>
  <si>
    <t>F103..</t>
  </si>
  <si>
    <t>F104..</t>
  </si>
  <si>
    <t>F105..</t>
  </si>
  <si>
    <t>F106..</t>
  </si>
  <si>
    <r>
      <t>1</t>
    </r>
    <r>
      <rPr>
        <sz val="9"/>
        <rFont val="Arial"/>
        <family val="2"/>
      </rPr>
      <t xml:space="preserve"> In dit onderdeel dient u de activa te vermelden waarvan de verkoopprijs in 2005 is ontvangen.</t>
    </r>
  </si>
  <si>
    <t>F107..</t>
  </si>
  <si>
    <t>F108..</t>
  </si>
  <si>
    <t>F109..</t>
  </si>
  <si>
    <t>F110..</t>
  </si>
  <si>
    <t>Telefonisch behand./begel.contact</t>
  </si>
  <si>
    <t>F221</t>
  </si>
  <si>
    <t>F224</t>
  </si>
  <si>
    <t>F222</t>
  </si>
  <si>
    <t>F223</t>
  </si>
  <si>
    <t>F225</t>
  </si>
  <si>
    <t>F208</t>
  </si>
  <si>
    <t>Uren activerende psychiatrisch thuiszorg</t>
  </si>
  <si>
    <t>Uren psychiatrische intensieve thuiszorg</t>
  </si>
  <si>
    <t>Dienstverlening</t>
  </si>
  <si>
    <t>Preventie</t>
  </si>
  <si>
    <t>Uren inloop p. week (bedrag op jaarbasis)</t>
  </si>
  <si>
    <t>Uren gespecialiseerde beg. (BZW)</t>
  </si>
  <si>
    <t>Cliënten zorgcoörd. i.c.m. casemanagem.</t>
  </si>
  <si>
    <t>LA/D</t>
  </si>
  <si>
    <t>X-AS BAD</t>
  </si>
  <si>
    <t>BAD</t>
  </si>
  <si>
    <t>LKLIN</t>
  </si>
  <si>
    <t>X-AS BFGG</t>
  </si>
  <si>
    <t>BFGG</t>
  </si>
  <si>
    <t>X-AS BFGK</t>
  </si>
  <si>
    <t>BFGK</t>
  </si>
  <si>
    <t>X-AS BFO</t>
  </si>
  <si>
    <t>BFO</t>
  </si>
  <si>
    <t>X-AS BH</t>
  </si>
  <si>
    <t>BH</t>
  </si>
  <si>
    <t>LK/J</t>
  </si>
  <si>
    <t>X-AS BKB</t>
  </si>
  <si>
    <t>BKB</t>
  </si>
  <si>
    <t>X-AS BKL</t>
  </si>
  <si>
    <t>BKL</t>
  </si>
  <si>
    <t>X-AS BKO</t>
  </si>
  <si>
    <t>BKO</t>
  </si>
  <si>
    <t>X-AS BKZ</t>
  </si>
  <si>
    <t>BKZ</t>
  </si>
  <si>
    <t>X-AS BO</t>
  </si>
  <si>
    <t>BO</t>
  </si>
  <si>
    <t>KBSPVP</t>
  </si>
  <si>
    <t>X-AS BPVP</t>
  </si>
  <si>
    <t>BPVP</t>
  </si>
  <si>
    <t>X-AS BSGA</t>
  </si>
  <si>
    <t>BSGA</t>
  </si>
  <si>
    <t>LPKLI</t>
  </si>
  <si>
    <t>X-AS CABEH</t>
  </si>
  <si>
    <t>CABEH</t>
  </si>
  <si>
    <t>X-AS CABUI</t>
  </si>
  <si>
    <t>CABUI</t>
  </si>
  <si>
    <t>X-AS CACBI</t>
  </si>
  <si>
    <t>CACBI</t>
  </si>
  <si>
    <t>X-AS CACBU</t>
  </si>
  <si>
    <t>CACBU</t>
  </si>
  <si>
    <t>X-AS CAGBE</t>
  </si>
  <si>
    <t>CAGBE</t>
  </si>
  <si>
    <t>X-AS CAGPS</t>
  </si>
  <si>
    <t>CAGPS</t>
  </si>
  <si>
    <t>X-AS CAINS</t>
  </si>
  <si>
    <t>CAINS</t>
  </si>
  <si>
    <t>X-AS CAINT</t>
  </si>
  <si>
    <t>CAINT</t>
  </si>
  <si>
    <t>X-AS CAOND</t>
  </si>
  <si>
    <t>CAOND</t>
  </si>
  <si>
    <t>X-AS CAPSY</t>
  </si>
  <si>
    <t>CAPSY</t>
  </si>
  <si>
    <t>X-AS CATBEH</t>
  </si>
  <si>
    <t>CATBEH</t>
  </si>
  <si>
    <t>X-AS CFBEH</t>
  </si>
  <si>
    <t>CFBEH</t>
  </si>
  <si>
    <t>X-AS CFBUI</t>
  </si>
  <si>
    <t>CFBUI</t>
  </si>
  <si>
    <t>X-AS CFGBE</t>
  </si>
  <si>
    <t>CFGBE</t>
  </si>
  <si>
    <t>X-AS CFGPS</t>
  </si>
  <si>
    <t>CFGPS</t>
  </si>
  <si>
    <t>X-AS CFINS</t>
  </si>
  <si>
    <t>CFINS</t>
  </si>
  <si>
    <t>X-AS CFINT</t>
  </si>
  <si>
    <t>CFINT</t>
  </si>
  <si>
    <t>X-AS CFPSY</t>
  </si>
  <si>
    <t>CFPSY</t>
  </si>
  <si>
    <t>X-AS CFTBEH</t>
  </si>
  <si>
    <t>CFTBEH</t>
  </si>
  <si>
    <t>X-AS CJBEH</t>
  </si>
  <si>
    <t>CJBEH</t>
  </si>
  <si>
    <t>X-AS CJBUI</t>
  </si>
  <si>
    <t>CJBUI</t>
  </si>
  <si>
    <t>X-AS CJCBI</t>
  </si>
  <si>
    <t>CJCBI</t>
  </si>
  <si>
    <t>X-AS CJCBU</t>
  </si>
  <si>
    <t>CJCBU</t>
  </si>
  <si>
    <t>X-AS CJGBE</t>
  </si>
  <si>
    <t>CJGBE</t>
  </si>
  <si>
    <t>X-AS CJGPS</t>
  </si>
  <si>
    <t>CJGPS</t>
  </si>
  <si>
    <t>X-AS CJINS</t>
  </si>
  <si>
    <t>CJINS</t>
  </si>
  <si>
    <t>X-AS CJINT</t>
  </si>
  <si>
    <t>CJINT</t>
  </si>
  <si>
    <t>X-AS CJOND</t>
  </si>
  <si>
    <t>CJOND</t>
  </si>
  <si>
    <t>X-AS CJPSY</t>
  </si>
  <si>
    <t>CJPSY</t>
  </si>
  <si>
    <t>X-AS CJTBEH</t>
  </si>
  <si>
    <t>CJTBEH</t>
  </si>
  <si>
    <t>X-AS COBEH</t>
  </si>
  <si>
    <t>COBEH</t>
  </si>
  <si>
    <t>X-AS COBUI</t>
  </si>
  <si>
    <t>COBUI</t>
  </si>
  <si>
    <t>X-AS COCBI</t>
  </si>
  <si>
    <t>COCBI</t>
  </si>
  <si>
    <t>X-AS COCBU</t>
  </si>
  <si>
    <t>COCBU</t>
  </si>
  <si>
    <t>X-AS COGBE</t>
  </si>
  <si>
    <t>COGBE</t>
  </si>
  <si>
    <t>X-AS COGPS</t>
  </si>
  <si>
    <t>COGPS</t>
  </si>
  <si>
    <t>X-AS COINS</t>
  </si>
  <si>
    <t>COINS</t>
  </si>
  <si>
    <t>X-AS COINT</t>
  </si>
  <si>
    <t>COINT</t>
  </si>
  <si>
    <t>X-AS COOND</t>
  </si>
  <si>
    <t>COOND</t>
  </si>
  <si>
    <t>X-AS COPSY</t>
  </si>
  <si>
    <t>COPSY</t>
  </si>
  <si>
    <t>X-AS COTBEH</t>
  </si>
  <si>
    <t>COTBEH</t>
  </si>
  <si>
    <t>X-AS CPCT</t>
  </si>
  <si>
    <t>CPCT</t>
  </si>
  <si>
    <t>X-AS CVBEH</t>
  </si>
  <si>
    <t>CVBEH</t>
  </si>
  <si>
    <t>X-AS CVBUI</t>
  </si>
  <si>
    <t>CVBUI</t>
  </si>
  <si>
    <t>X-AS CVCBI</t>
  </si>
  <si>
    <t>CVCBI</t>
  </si>
  <si>
    <t>X-AS CVCBU</t>
  </si>
  <si>
    <t>CVCBU</t>
  </si>
  <si>
    <t>X-AS CVGBE</t>
  </si>
  <si>
    <t>CVGBE</t>
  </si>
  <si>
    <t>X-AS CVGPS</t>
  </si>
  <si>
    <t>CVGPS</t>
  </si>
  <si>
    <t>X-AS CVINS</t>
  </si>
  <si>
    <t>CVINS</t>
  </si>
  <si>
    <t>X-AS CVINT</t>
  </si>
  <si>
    <t>CVINT</t>
  </si>
  <si>
    <t>X-AS CVOND</t>
  </si>
  <si>
    <t>CVOND</t>
  </si>
  <si>
    <t>X-AS CVPSY</t>
  </si>
  <si>
    <t>CVPSY</t>
  </si>
  <si>
    <t>X-AS CVTBEH</t>
  </si>
  <si>
    <t>CVTBEH</t>
  </si>
  <si>
    <t>LDEEL</t>
  </si>
  <si>
    <t>X-AS D31</t>
  </si>
  <si>
    <t>D31</t>
  </si>
  <si>
    <t>X-AS D32</t>
  </si>
  <si>
    <t>D32</t>
  </si>
  <si>
    <t>Zijn de in bijlage F opgenomen langlopende leningen afgesloten ten behoeve van de financiering van investeringen die vallen onder de WZV (inclusief budgettair bouwen)?</t>
  </si>
  <si>
    <t>X-AS D33</t>
  </si>
  <si>
    <t>D33</t>
  </si>
  <si>
    <t>X-AS D34</t>
  </si>
  <si>
    <t>D34</t>
  </si>
  <si>
    <t>X-AS D41</t>
  </si>
  <si>
    <t>D41</t>
  </si>
  <si>
    <t>X-AS D42</t>
  </si>
  <si>
    <t>D42</t>
  </si>
  <si>
    <t>X-AS DA21</t>
  </si>
  <si>
    <t>DA21</t>
  </si>
  <si>
    <t>X-AS DA22</t>
  </si>
  <si>
    <t>DA22</t>
  </si>
  <si>
    <t>X-AS DBF</t>
  </si>
  <si>
    <t>DBF</t>
  </si>
  <si>
    <t>X-AS DK21</t>
  </si>
  <si>
    <t>DK21</t>
  </si>
  <si>
    <t>X-AS DK22</t>
  </si>
  <si>
    <t>DK22</t>
  </si>
  <si>
    <t>X-AS DK23</t>
  </si>
  <si>
    <t>DK23</t>
  </si>
  <si>
    <t>X-AS DMETH</t>
  </si>
  <si>
    <t>DMETH</t>
  </si>
  <si>
    <t>X-AS EA</t>
  </si>
  <si>
    <t>EA</t>
  </si>
  <si>
    <t>X-AS EFA</t>
  </si>
  <si>
    <t>EFA</t>
  </si>
  <si>
    <t>X-AS EFK</t>
  </si>
  <si>
    <t>EFK</t>
  </si>
  <si>
    <t>X-AS EK</t>
  </si>
  <si>
    <t>EK</t>
  </si>
  <si>
    <t>X-AS EV</t>
  </si>
  <si>
    <t>EV</t>
  </si>
  <si>
    <t>KKC</t>
  </si>
  <si>
    <t>X-AS INWAD</t>
  </si>
  <si>
    <t>INWAD</t>
  </si>
  <si>
    <t>X-AS INWAP</t>
  </si>
  <si>
    <t>INWAP</t>
  </si>
  <si>
    <t>X-AS INWK</t>
  </si>
  <si>
    <t>INWK</t>
  </si>
  <si>
    <t>X-AS INWR</t>
  </si>
  <si>
    <t>INWR</t>
  </si>
  <si>
    <t>KIT05</t>
  </si>
  <si>
    <t>X-AS KIM2</t>
  </si>
  <si>
    <t>KIM2</t>
  </si>
  <si>
    <t>X-AS KIM3</t>
  </si>
  <si>
    <t>KIM3</t>
  </si>
  <si>
    <t>KAFI00</t>
  </si>
  <si>
    <t>X-AS KIMT</t>
  </si>
  <si>
    <t>KIMT</t>
  </si>
  <si>
    <t>KAFI01</t>
  </si>
  <si>
    <t>KAFI02</t>
  </si>
  <si>
    <t>KAFI03</t>
  </si>
  <si>
    <t>KAFI04</t>
  </si>
  <si>
    <t>KAFI05</t>
  </si>
  <si>
    <t>KAFI96</t>
  </si>
  <si>
    <t>KAFI97</t>
  </si>
  <si>
    <t>KAFI98</t>
  </si>
  <si>
    <t>KAFI99</t>
  </si>
  <si>
    <t>KIJ05</t>
  </si>
  <si>
    <t>KINV00</t>
  </si>
  <si>
    <t>KINV01</t>
  </si>
  <si>
    <t>KINV02</t>
  </si>
  <si>
    <t>KINV03</t>
  </si>
  <si>
    <t>KINV04</t>
  </si>
  <si>
    <t>KINV05</t>
  </si>
  <si>
    <t>X-AS LZAC</t>
  </si>
  <si>
    <t>LZAC</t>
  </si>
  <si>
    <t>MEMO</t>
  </si>
  <si>
    <t>X-AS M2NEMO</t>
  </si>
  <si>
    <t>M2NEMO</t>
  </si>
  <si>
    <t>KAFAUT</t>
  </si>
  <si>
    <t>X-AS M2NOR</t>
  </si>
  <si>
    <t>M2NOR</t>
  </si>
  <si>
    <t>KAFINV</t>
  </si>
  <si>
    <t>KAPOV</t>
  </si>
  <si>
    <t>X-AS OINWT</t>
  </si>
  <si>
    <t>OINWT</t>
  </si>
  <si>
    <t>X-AS OL</t>
  </si>
  <si>
    <t>OL</t>
  </si>
  <si>
    <t>X-AS PBW</t>
  </si>
  <si>
    <t>PBW</t>
  </si>
  <si>
    <t>KAPBW</t>
  </si>
  <si>
    <t>LBW</t>
  </si>
  <si>
    <t>X-AS PGGZV</t>
  </si>
  <si>
    <t>PGGZV</t>
  </si>
  <si>
    <t>X-AS PGZP</t>
  </si>
  <si>
    <t>PGZP</t>
  </si>
  <si>
    <t>X-AS PKP</t>
  </si>
  <si>
    <t>PKP</t>
  </si>
  <si>
    <t>X-AS PLPSA</t>
  </si>
  <si>
    <t>PLPSA</t>
  </si>
  <si>
    <t>X-AS PLPSB</t>
  </si>
  <si>
    <t>PLPSB</t>
  </si>
  <si>
    <t>X-AS PLPSKJ</t>
  </si>
  <si>
    <t>PLPSKJ</t>
  </si>
  <si>
    <t>X-AS PP</t>
  </si>
  <si>
    <t>PP</t>
  </si>
  <si>
    <t>X-AS QM2I</t>
  </si>
  <si>
    <t>QM2I</t>
  </si>
  <si>
    <t>KINV96</t>
  </si>
  <si>
    <t>X-AS QM2INV</t>
  </si>
  <si>
    <t>QM2INV</t>
  </si>
  <si>
    <t>KINV97</t>
  </si>
  <si>
    <t>KINV98</t>
  </si>
  <si>
    <t>KINV99</t>
  </si>
  <si>
    <t>X-AS UAPT</t>
  </si>
  <si>
    <t>UAPT</t>
  </si>
  <si>
    <t>X-AS UD</t>
  </si>
  <si>
    <t>UD</t>
  </si>
  <si>
    <t>LOB</t>
  </si>
  <si>
    <t>X-AS UGB</t>
  </si>
  <si>
    <t>UGB</t>
  </si>
  <si>
    <t>LDAG</t>
  </si>
  <si>
    <t>X-AS UIPW</t>
  </si>
  <si>
    <t>UIPW</t>
  </si>
  <si>
    <t>X-AS UP</t>
  </si>
  <si>
    <t>UP</t>
  </si>
  <si>
    <t>X-AS UPIT</t>
  </si>
  <si>
    <t>UPIT</t>
  </si>
  <si>
    <t>X-AS UREAA</t>
  </si>
  <si>
    <t>UREAA</t>
  </si>
  <si>
    <t>X-AS V11</t>
  </si>
  <si>
    <t>V11</t>
  </si>
  <si>
    <t>X-AS V12</t>
  </si>
  <si>
    <t>V12</t>
  </si>
  <si>
    <t>X-AS V13</t>
  </si>
  <si>
    <t>V13</t>
  </si>
  <si>
    <t>X-AS V14</t>
  </si>
  <si>
    <t>V14</t>
  </si>
  <si>
    <t>X-AS V21</t>
  </si>
  <si>
    <t>V21</t>
  </si>
  <si>
    <t>X-AS V22</t>
  </si>
  <si>
    <t>V22</t>
  </si>
  <si>
    <t>X-AS V23</t>
  </si>
  <si>
    <t>V23</t>
  </si>
  <si>
    <t>X-AS V24</t>
  </si>
  <si>
    <t>V24</t>
  </si>
  <si>
    <t>X-AS V25</t>
  </si>
  <si>
    <t>V25</t>
  </si>
  <si>
    <t>X-AS VA11</t>
  </si>
  <si>
    <t>VA11</t>
  </si>
  <si>
    <t>X-AS VA12</t>
  </si>
  <si>
    <t>VA12</t>
  </si>
  <si>
    <t>X-AS VA13</t>
  </si>
  <si>
    <t>VA13</t>
  </si>
  <si>
    <t>X-AS VA14</t>
  </si>
  <si>
    <t>VA14</t>
  </si>
  <si>
    <t>X-AS VA15</t>
  </si>
  <si>
    <t>VA15</t>
  </si>
  <si>
    <t>X-AS VA16</t>
  </si>
  <si>
    <t>VA16</t>
  </si>
  <si>
    <t>X-AS VF11</t>
  </si>
  <si>
    <t>VF11</t>
  </si>
  <si>
    <t>X-AS VF12</t>
  </si>
  <si>
    <t>VF12</t>
  </si>
  <si>
    <t>X-AS VF13</t>
  </si>
  <si>
    <t>VF13</t>
  </si>
  <si>
    <t>X-AS VF14</t>
  </si>
  <si>
    <t>VF14</t>
  </si>
  <si>
    <t>X-AS VF15</t>
  </si>
  <si>
    <t>VF15</t>
  </si>
  <si>
    <t>X-AS VF16</t>
  </si>
  <si>
    <t>VF16</t>
  </si>
  <si>
    <t>X-AS VK11</t>
  </si>
  <si>
    <t>VK11</t>
  </si>
  <si>
    <t>X-AS VK12</t>
  </si>
  <si>
    <t>VK12</t>
  </si>
  <si>
    <t>X-AS VK13</t>
  </si>
  <si>
    <t>VK13</t>
  </si>
  <si>
    <t>X-AS VK14</t>
  </si>
  <si>
    <t>VK14</t>
  </si>
  <si>
    <t>X-AS VK15</t>
  </si>
  <si>
    <t>VK15</t>
  </si>
  <si>
    <t>X-AS VK16</t>
  </si>
  <si>
    <t>VK16</t>
  </si>
  <si>
    <t>X-AS VK17</t>
  </si>
  <si>
    <t>VK17</t>
  </si>
  <si>
    <t>X-AS VSGA</t>
  </si>
  <si>
    <t>VSGA</t>
  </si>
  <si>
    <t>X-AS VZ21</t>
  </si>
  <si>
    <t>VZ21</t>
  </si>
  <si>
    <t>X-AS VZ22</t>
  </si>
  <si>
    <t>VZ22</t>
  </si>
  <si>
    <t>X-AS VZ23</t>
  </si>
  <si>
    <t>VZ23</t>
  </si>
  <si>
    <t>X-AS VZ24</t>
  </si>
  <si>
    <t>VZ24</t>
  </si>
  <si>
    <t>MOV</t>
  </si>
  <si>
    <t>X-AS BFK</t>
  </si>
  <si>
    <t>BFK</t>
  </si>
  <si>
    <t>X-AS CATOT</t>
  </si>
  <si>
    <t>CATOT</t>
  </si>
  <si>
    <t>X-AS CFTOT</t>
  </si>
  <si>
    <t>CFTOT</t>
  </si>
  <si>
    <t>X-AS CJTOT</t>
  </si>
  <si>
    <t>CJTOT</t>
  </si>
  <si>
    <t>X-AS COTOT</t>
  </si>
  <si>
    <t>COTOT</t>
  </si>
  <si>
    <t>X-AS CVTOT</t>
  </si>
  <si>
    <t>CVTOT</t>
  </si>
  <si>
    <t>X-AS DBA/D</t>
  </si>
  <si>
    <t>DBA/D</t>
  </si>
  <si>
    <t>X-AS DBK</t>
  </si>
  <si>
    <t>DBK</t>
  </si>
  <si>
    <t>X-AS DBV</t>
  </si>
  <si>
    <t>DBV</t>
  </si>
  <si>
    <t>X-AS UDPTOT</t>
  </si>
  <si>
    <t>UDPTOT</t>
  </si>
  <si>
    <t>X-AS UPZTOT</t>
  </si>
  <si>
    <t>UPZTOT</t>
  </si>
  <si>
    <t>X-AS VA</t>
  </si>
  <si>
    <t>VA</t>
  </si>
  <si>
    <t>X-AS VF</t>
  </si>
  <si>
    <t>VF</t>
  </si>
  <si>
    <t>X-AS VK</t>
  </si>
  <si>
    <t>VK</t>
  </si>
  <si>
    <t>X-AS VV</t>
  </si>
  <si>
    <t>VV</t>
  </si>
  <si>
    <t>X-AS VZTOT</t>
  </si>
  <si>
    <t>VZTOT</t>
  </si>
  <si>
    <t>OTAF</t>
  </si>
  <si>
    <t>OTAK</t>
  </si>
  <si>
    <t>OTAV</t>
  </si>
  <si>
    <t>X-AS CVBEHT</t>
  </si>
  <si>
    <t>CVBEHT</t>
  </si>
  <si>
    <t>X-AS CVBUIT</t>
  </si>
  <si>
    <t>CVBUIT</t>
  </si>
  <si>
    <t>X-AS CVCBIT</t>
  </si>
  <si>
    <t>CVCBIT</t>
  </si>
  <si>
    <t>X-AS CVCBUT</t>
  </si>
  <si>
    <t>CVCBUT</t>
  </si>
  <si>
    <t>X-AS CVGBET</t>
  </si>
  <si>
    <t>CVGBET</t>
  </si>
  <si>
    <t>X-AS CVGPST</t>
  </si>
  <si>
    <t>CVGPST</t>
  </si>
  <si>
    <t>X-AS CVINST</t>
  </si>
  <si>
    <t>CVINST</t>
  </si>
  <si>
    <t>X-AS CVINTT</t>
  </si>
  <si>
    <t>CVINTT</t>
  </si>
  <si>
    <t>X-AS CVONDT</t>
  </si>
  <si>
    <t>CVONDT</t>
  </si>
  <si>
    <t>X-AS CVPSYT</t>
  </si>
  <si>
    <t>CVPSYT</t>
  </si>
  <si>
    <t>X-AS CVTBHT</t>
  </si>
  <si>
    <t>CVTBHT</t>
  </si>
  <si>
    <t>OTDA</t>
  </si>
  <si>
    <t>OTDAG</t>
  </si>
  <si>
    <t>OTDF</t>
  </si>
  <si>
    <t>OTDK</t>
  </si>
  <si>
    <t>OTDV</t>
  </si>
  <si>
    <t>OTO</t>
  </si>
  <si>
    <t>OTOB</t>
  </si>
  <si>
    <t/>
  </si>
  <si>
    <t>Loon</t>
  </si>
  <si>
    <t>Materieel</t>
  </si>
  <si>
    <t>Loon + materieel</t>
  </si>
  <si>
    <t>INTRAMURAAL</t>
  </si>
  <si>
    <t>Groepsgewijs met beperkte begeleiding</t>
  </si>
  <si>
    <t>Groepsgewijs met volledige begeleiding</t>
  </si>
  <si>
    <t>Continue tot zeer intensieve begeleiding</t>
  </si>
  <si>
    <t>Continue tot zeer intensieve bescherming</t>
  </si>
  <si>
    <t>Stabilisatie met (intensieve) bescherming</t>
  </si>
  <si>
    <t>Zeer intensief met (beperkte) begeleiding</t>
  </si>
  <si>
    <t>Idem met continue/intensieve bescherming</t>
  </si>
  <si>
    <t>Idem met intensieve begel./bescherming</t>
  </si>
  <si>
    <t>Veranderingsgericht met beperkte begel.</t>
  </si>
  <si>
    <t>Crisis met intensieve beg./bescherming</t>
  </si>
  <si>
    <t>Veranderingsgericht/beperkte begeleiding</t>
  </si>
  <si>
    <t>Veranderingsgericht/volledige begeleiding</t>
  </si>
  <si>
    <t>EXTRAMURAAL</t>
  </si>
  <si>
    <t>Toe- en afname overgangsregeling kapitaalslasten normatief</t>
  </si>
  <si>
    <t>Toe- en afname overgangsregeling kapitaalslasten investeringskosten</t>
  </si>
  <si>
    <t>Overgangsregeling kapitaalslasten (zie onderbouwing regel 72 van de rekenstaat)</t>
  </si>
  <si>
    <t>3.11</t>
  </si>
  <si>
    <t>Overgangsregeling kapitaalslasten extramurale zorgverlening</t>
  </si>
  <si>
    <t>Structuurbiedende deeltijdbehandeling</t>
  </si>
  <si>
    <t>Psychotherapeutische deeltijdbehandeling</t>
  </si>
  <si>
    <t>Forensische behandelingen</t>
  </si>
  <si>
    <t>Eerste opnames (klinisch en deeltijd)</t>
  </si>
  <si>
    <t>Overige productiegebonden kosten</t>
  </si>
  <si>
    <t>Cont. Psych. crisisinterventie thuis</t>
  </si>
  <si>
    <t>Uren gespecialiseerde beg.(beg.zelfst.wonen)</t>
  </si>
  <si>
    <t>Uren recreatie-educatie-arbeidsmatige act.</t>
  </si>
  <si>
    <t>ZIZ-bedden kinderen en jeugd</t>
  </si>
  <si>
    <t>BOPZ-bedden kinderen en jeugd</t>
  </si>
  <si>
    <t>Overige bedden kinderen en jeugd</t>
  </si>
  <si>
    <t>Logeerplaatsen</t>
  </si>
  <si>
    <t>Bedden volwassenen (overige)</t>
  </si>
  <si>
    <t>Herstellingsoordfunctie</t>
  </si>
  <si>
    <t>For. psych. kliniek t/m 55 bedden</t>
  </si>
  <si>
    <t>For. psych. kliniek vanaf 56 bedden</t>
  </si>
  <si>
    <t>Forensisch psychiatrische afdeling</t>
  </si>
  <si>
    <t>Klinisch intensieve behandeling</t>
  </si>
  <si>
    <t>Plaatsen beschermd wonen</t>
  </si>
  <si>
    <t>Opleidingskosten</t>
  </si>
  <si>
    <t>Plaatsen psychiater A</t>
  </si>
  <si>
    <t>Plaatsen psychiater B</t>
  </si>
  <si>
    <t>Plaatsen psychiater kinderen en jeugd</t>
  </si>
  <si>
    <t>Plaatsen GGZ-verpleegkundig specialist</t>
  </si>
  <si>
    <t>Plaatsen Klinisch psycholoog</t>
  </si>
  <si>
    <t xml:space="preserve">Plaatsen GZ-psycholoog </t>
  </si>
  <si>
    <t>Plaatsen psychotherapeut</t>
  </si>
  <si>
    <t xml:space="preserve">Verpleegkundigen in opleiding </t>
  </si>
  <si>
    <t>Energiekosten, onroerendzaakbelasting en milieuheffingen</t>
  </si>
  <si>
    <t>Normatieve m2 energie APZ / PAAZ</t>
  </si>
  <si>
    <t>Normatieve m2 RIAGG</t>
  </si>
  <si>
    <t>Bezette plaatsen besch.wonen (regel 912)</t>
  </si>
  <si>
    <t>Methadonverstrekking</t>
  </si>
  <si>
    <t>OPBRENGSTENREGISTRATIE</t>
  </si>
  <si>
    <t>Cont. psych. crisisinterventie thuis</t>
  </si>
  <si>
    <t>F121</t>
  </si>
  <si>
    <t>F122</t>
  </si>
  <si>
    <t>---</t>
  </si>
  <si>
    <t xml:space="preserve">NB Indien er geen verpleegdagen en/of verzorgingsdagen zijn, dan is er sprake van </t>
  </si>
  <si>
    <t>F126</t>
  </si>
  <si>
    <t>Uren recr.-edu.-arbeidsm.act.</t>
  </si>
  <si>
    <t>Opbrengst</t>
  </si>
  <si>
    <t>Kosten</t>
  </si>
  <si>
    <t>Kosten op</t>
  </si>
  <si>
    <t>jaarbasis</t>
  </si>
  <si>
    <t>rekenstaat</t>
  </si>
  <si>
    <t>Geïndexeerde huur (zie onderbouwing regel 72 van de rekenstaat)</t>
  </si>
  <si>
    <t>1.2</t>
  </si>
  <si>
    <t>*)</t>
  </si>
  <si>
    <t xml:space="preserve">    10*</t>
  </si>
  <si>
    <t xml:space="preserve">    20*</t>
  </si>
  <si>
    <t>Ontvangt u inkomsten die dienen ter dekking van het WTG-budget, die vallen onder artikel 3.2 van de Beleidsregel aanvullende inkomsten zorginstellingen?</t>
  </si>
  <si>
    <t>Voldoen de aanvullende inkomsten die worden aangemerkt als vrij besteedbaar, aan de voorwaarden genoemd onder artikel 4 van de Beleidsregel aanvullende inkomsten zorginstellingen?</t>
  </si>
  <si>
    <t xml:space="preserve">**) Indien er sprake is van een voorlopige nacalculatie productie, dan dient deze hier ingevuld </t>
  </si>
  <si>
    <t xml:space="preserve">te worden. Een negatieve nacalculatie productie kan nu bij de definitieve nacalculatie minder </t>
  </si>
  <si>
    <t>Het nacalculatieformulier moet bij de indiening vergezeld gaan van een accountantsverklaring. Het nacalculatieformulier moet derhalve, zoals vastgelegd in de Beleidsregel controleprotocol, worden gecontroleerd door de externe accountant. Op een afzonderlijk werkblad in dit formulier treft u de tekst aan van het controleprotocol alsmede een model van de accountantsverklaring. Deze documenten dienen te worden aangemerkt als bijlage bij dit formulier. De paginanummering loopt derhalve niet door en behoeven dus ook niet te worden uitgeprint ten behoeve van indiening, aangenomen dat de accountantsverklaring op "eigen briefpapier" van de controlerend accountant zal worden opgesteld.</t>
  </si>
  <si>
    <t>Voordeel</t>
  </si>
  <si>
    <t>Nadeel</t>
  </si>
  <si>
    <t>KBB</t>
  </si>
  <si>
    <t xml:space="preserve">negatief uitpakken. Dit houdt een positieve mutatie op de nacalculatie productie in. In het uiterste </t>
  </si>
  <si>
    <t>Alle in te vullen velden zijn mintgroen gearceerd. Dit kunt u hier aan- en uitschakelen. Voor het maken van een duidelijke afdruk van het nacalculatieformulier wordt aanbevolen eerst de arcering van de velden uit te zetten</t>
  </si>
  <si>
    <t>geval (indien er sprake is van overproductie) wordt de negatieve nacalculatie ongedaan gemaakt</t>
  </si>
  <si>
    <t>(zie ook werkblad mutaties).</t>
  </si>
  <si>
    <t>Te verrekenen door het zorgkantoor:</t>
  </si>
  <si>
    <t>Heeft de accountant een voorbehoud gemaakt in de accountantsverklaring in de jaarrekening?</t>
  </si>
  <si>
    <t>3.10</t>
  </si>
  <si>
    <t>Overige mutaties (specificeren op aparte bijlage)</t>
  </si>
  <si>
    <t>1) Voor oude leningen (w) in de kolom "aanvaardbaar rentebedrag" het werkelijke rentebedrag vermelden</t>
  </si>
  <si>
    <t>Specificatie verkochte activa</t>
  </si>
  <si>
    <t>waarde</t>
  </si>
  <si>
    <t>of -verlies</t>
  </si>
  <si>
    <t>Telefonisch beh./beg.contact</t>
  </si>
  <si>
    <t>F131</t>
  </si>
  <si>
    <t>F132</t>
  </si>
  <si>
    <t>F133</t>
  </si>
  <si>
    <t>F134</t>
  </si>
  <si>
    <t>F135</t>
  </si>
  <si>
    <t>F136</t>
  </si>
  <si>
    <t>F137</t>
  </si>
  <si>
    <t>F138</t>
  </si>
  <si>
    <t>F139</t>
  </si>
  <si>
    <t>F140</t>
  </si>
  <si>
    <t>F141</t>
  </si>
  <si>
    <t>F142</t>
  </si>
  <si>
    <t>F143</t>
  </si>
  <si>
    <t>F144</t>
  </si>
  <si>
    <t>F145</t>
  </si>
  <si>
    <t>F146</t>
  </si>
  <si>
    <t>F147</t>
  </si>
  <si>
    <t>F148</t>
  </si>
  <si>
    <t>F149</t>
  </si>
  <si>
    <t>F150</t>
  </si>
  <si>
    <t>Uren recreatie-educatie-arbeidsm. act.</t>
  </si>
  <si>
    <t>*) Op basis van declarabele dagen (=exclusief afwezigheid)</t>
  </si>
  <si>
    <t>Aftrek opbrengst vaste tarieven vrijgevestigde psychiaters PAAZ *)</t>
  </si>
  <si>
    <t>Aftrek opbrengst vrijgevestigde psychiaters PAAZ</t>
  </si>
  <si>
    <t>2.12</t>
  </si>
  <si>
    <t>Gegevens advies CBZ/VWS</t>
  </si>
  <si>
    <r>
      <t>¹</t>
    </r>
    <r>
      <rPr>
        <sz val="9"/>
        <rFont val="Arial"/>
        <family val="2"/>
      </rPr>
      <t xml:space="preserve"> De normatieve (huur) kosten verbonden aan investeringen op basis van een advies van het CBZ in het kader van de overgangsregeling kapitaalslasten extramurale zorgverlening.</t>
    </r>
  </si>
  <si>
    <r>
      <t>²</t>
    </r>
    <r>
      <rPr>
        <sz val="9"/>
        <rFont val="Arial"/>
        <family val="2"/>
      </rPr>
      <t xml:space="preserve"> De aanloop-, startkosten op basis van een advies van het CBZ in het kader van de overgangsregeling kapitaalslasten extramurale zorgverlening, deze worden met een rentepercentage van 8,5% (2,5 % afschrijving + 6,0 % rente) opgenomen in de aanvaardbare kosten. </t>
    </r>
  </si>
  <si>
    <t>een jaartarief, zie hiervoor de tariefbeschikking</t>
  </si>
  <si>
    <t>2.10</t>
  </si>
  <si>
    <t>2.11</t>
  </si>
  <si>
    <t>Jaartarief</t>
  </si>
  <si>
    <t>F080</t>
  </si>
  <si>
    <t>3.8</t>
  </si>
  <si>
    <t>3.9</t>
  </si>
  <si>
    <r>
      <t xml:space="preserve">Normatieve rentepercentage kort krediet </t>
    </r>
    <r>
      <rPr>
        <vertAlign val="superscript"/>
        <sz val="9"/>
        <rFont val="Arial"/>
        <family val="2"/>
      </rPr>
      <t>1</t>
    </r>
  </si>
  <si>
    <r>
      <t xml:space="preserve">Inflatievergoeding over eigen vermogen </t>
    </r>
    <r>
      <rPr>
        <vertAlign val="superscript"/>
        <sz val="9"/>
        <rFont val="Arial"/>
        <family val="2"/>
      </rPr>
      <t>2</t>
    </r>
  </si>
  <si>
    <t>Verzorg.dagen beschermd wonen</t>
  </si>
  <si>
    <t>F221..</t>
  </si>
  <si>
    <t>(www.bouwcollege.nl), onder indexcijfers.</t>
  </si>
  <si>
    <t>Doorberekende kapitaalslasten</t>
  </si>
  <si>
    <t>F123</t>
  </si>
  <si>
    <t>Registratienummer CTG/ZAio</t>
  </si>
  <si>
    <t>Instelling</t>
  </si>
  <si>
    <t>Naam</t>
  </si>
  <si>
    <t>kamer3@ctg-zaio.nl</t>
  </si>
  <si>
    <r>
      <t xml:space="preserve">In deze rubriek de kosten vermelden van gehuurde gebouwen e.d., waarvoor </t>
    </r>
    <r>
      <rPr>
        <u val="single"/>
        <sz val="9"/>
        <rFont val="Arial"/>
        <family val="2"/>
      </rPr>
      <t>geen</t>
    </r>
    <r>
      <rPr>
        <sz val="9"/>
        <rFont val="Arial"/>
        <family val="2"/>
      </rPr>
      <t xml:space="preserve"> huurindexering geldt (bijvoorbeeld huur van een andere gezondheidszorginstelling).  Bij nieuwe huursituaties de brief van de vergunning vermelden.</t>
    </r>
  </si>
  <si>
    <t>Is de instelling een PAAZ of een zelfstandige RIAGG / RIBW (beantwoorden met ja of nee)</t>
  </si>
  <si>
    <t>excl. index</t>
  </si>
  <si>
    <t xml:space="preserve">    72*</t>
  </si>
  <si>
    <t xml:space="preserve">    80*</t>
  </si>
  <si>
    <t xml:space="preserve">    81*</t>
  </si>
  <si>
    <t>Investeringsruimte rekenstaat (totaal regel 80 resp. 81)</t>
  </si>
  <si>
    <t>trekk.rechten</t>
  </si>
  <si>
    <t>Door zorgkantoor met het voorschot te verrekenen bedragen</t>
  </si>
  <si>
    <t>Mutaties januari</t>
  </si>
  <si>
    <t>Mutaties februari</t>
  </si>
  <si>
    <t>Mutaties maart</t>
  </si>
  <si>
    <t>Mutaties april</t>
  </si>
  <si>
    <t>Mutaties mei</t>
  </si>
  <si>
    <t>Mutaties juni</t>
  </si>
  <si>
    <t>Mutaties juli</t>
  </si>
  <si>
    <t>Mutaties augustus</t>
  </si>
  <si>
    <t>Mutaties september</t>
  </si>
  <si>
    <t>Mutaties oktober</t>
  </si>
  <si>
    <t>Mutaties november</t>
  </si>
  <si>
    <t>Mutaties december</t>
  </si>
  <si>
    <t>Factor kolom 1</t>
  </si>
  <si>
    <t>Factor kolom 2</t>
  </si>
  <si>
    <t>Gefactureerd in januari</t>
  </si>
  <si>
    <t>Gefactureerd in februari</t>
  </si>
  <si>
    <t>Gefactureerd in maart</t>
  </si>
  <si>
    <t>Gefactureerd in april</t>
  </si>
  <si>
    <t>Gefactureerd in mei</t>
  </si>
  <si>
    <t>Gefactureerd in juni</t>
  </si>
  <si>
    <t>Gefactureerd in juli</t>
  </si>
  <si>
    <t>Gefactureerd in augustus</t>
  </si>
  <si>
    <t>Gefactureerd in september</t>
  </si>
  <si>
    <t>Gefactureerd in oktober</t>
  </si>
  <si>
    <t>Gefactureerd in november</t>
  </si>
  <si>
    <t>Gefactureerd in december</t>
  </si>
  <si>
    <t>In aanvaardbare kosten te verwerken rentekosten</t>
  </si>
  <si>
    <t>3.7</t>
  </si>
  <si>
    <t>Aantal extra bijlagen bij het nacalculatieformulier:</t>
  </si>
  <si>
    <t>Aanvaardbare kosten volgens jaarrekening</t>
  </si>
  <si>
    <t>Versie</t>
  </si>
  <si>
    <t>E.</t>
  </si>
  <si>
    <t>Uitgevoerd en gefactureerd in januari</t>
  </si>
  <si>
    <t>Uitgevoerd en gefactureerd in februari</t>
  </si>
  <si>
    <t>Uitgevoerd en gefactureerd in maart</t>
  </si>
  <si>
    <t>Uitgevoerd en gefactureerd in april</t>
  </si>
  <si>
    <t>Uitgevoerd en gefactureerd in mei</t>
  </si>
  <si>
    <t>Uitgevoerd en gefactureerd in juni</t>
  </si>
  <si>
    <t>Uitgevoerd en gefactureerd in juli</t>
  </si>
  <si>
    <t>Uitgevoerd en gefactureerd in augustus</t>
  </si>
  <si>
    <t>Uitgevoerd en gefactureerd in september</t>
  </si>
  <si>
    <t>Uitgevoerd en gefactureerd in oktober</t>
  </si>
  <si>
    <t>Uitgevoerd en gefactureerd in november</t>
  </si>
  <si>
    <t>Uitgevoerd en gefactureerd in december</t>
  </si>
  <si>
    <t>Opbrengst asielzoekers ZRA</t>
  </si>
  <si>
    <t>van</t>
  </si>
  <si>
    <t>tot en met</t>
  </si>
  <si>
    <t>code</t>
  </si>
  <si>
    <t>ingangs-</t>
  </si>
  <si>
    <t>termijnen</t>
  </si>
  <si>
    <t>datum</t>
  </si>
  <si>
    <t>IVN06</t>
  </si>
  <si>
    <t>IVN07</t>
  </si>
  <si>
    <t>IVN08</t>
  </si>
  <si>
    <t>IVN09</t>
  </si>
  <si>
    <t>IVN10</t>
  </si>
  <si>
    <t>IVN11</t>
  </si>
  <si>
    <t>IVN12</t>
  </si>
  <si>
    <t>IVN13</t>
  </si>
  <si>
    <t>IVN14</t>
  </si>
  <si>
    <t>IVN15</t>
  </si>
  <si>
    <t>IVN16</t>
  </si>
  <si>
    <t>Verschil</t>
  </si>
  <si>
    <t>Totaal 1 t/m 3</t>
  </si>
  <si>
    <t>Al ingeboekte</t>
  </si>
  <si>
    <t xml:space="preserve"> termijnen ¹)</t>
  </si>
  <si>
    <t xml:space="preserve">Beleidsregel-bedrag per m² </t>
  </si>
  <si>
    <t>Overig buiten beschouwing gebleven eigen vermogen (reden toelichten)</t>
  </si>
  <si>
    <t>Kolommen</t>
  </si>
  <si>
    <t xml:space="preserve">Algemeen </t>
  </si>
  <si>
    <t>Deze vragenlijst wordt ingevuld door de instelling en gecontroleerd door de accountant.</t>
  </si>
  <si>
    <t>Per vraag aanklikken wat van toepassing is.</t>
  </si>
  <si>
    <r>
      <t xml:space="preserve">Tarief </t>
    </r>
    <r>
      <rPr>
        <b/>
        <sz val="7.75"/>
        <rFont val="Arial"/>
        <family val="2"/>
      </rPr>
      <t>4</t>
    </r>
    <r>
      <rPr>
        <b/>
        <sz val="9"/>
        <rFont val="Arial"/>
        <family val="2"/>
      </rPr>
      <t>)</t>
    </r>
  </si>
  <si>
    <t>Loon- en materiële kosten deelnemers methadonprogramma ²</t>
  </si>
  <si>
    <t xml:space="preserve">² Hier het bedrag (loon+materieel) invullen volgens de onderbouwing van het budget. Dit bedrag </t>
  </si>
  <si>
    <t>Indien het antwoord in kolom 2 is aangeklikt dient op een separate bijlage een toelichting te worden gegeven.</t>
  </si>
  <si>
    <t>VRAGENLIJST NACALCULATIE</t>
  </si>
  <si>
    <t>Ruimte voor toelichting</t>
  </si>
  <si>
    <t>Vervolg VRAGENLIJST NACALCULATIE</t>
  </si>
  <si>
    <t>Is de Regeling Jaarverslaggeving Zorginstellingen toegepast?</t>
  </si>
  <si>
    <t>Nacalculatie productie/aanvullende inkomsten</t>
  </si>
  <si>
    <t>Vervolg kapitaalslasten</t>
  </si>
  <si>
    <t>Overige vragen</t>
  </si>
  <si>
    <t>KAFOV</t>
  </si>
  <si>
    <t>KRENTE</t>
  </si>
  <si>
    <t>KDOOKA</t>
  </si>
  <si>
    <t>KHUERF</t>
  </si>
  <si>
    <t>LPRIV</t>
  </si>
  <si>
    <t>VOORL</t>
  </si>
  <si>
    <t>Regel</t>
  </si>
  <si>
    <t>Plaats</t>
  </si>
  <si>
    <t>Omschrijving</t>
  </si>
  <si>
    <t>KPVP</t>
  </si>
  <si>
    <t>%</t>
  </si>
  <si>
    <t>Tuinaanleg en bestrating</t>
  </si>
  <si>
    <t>Stenen gebouwen</t>
  </si>
  <si>
    <t>Houten paviljoens</t>
  </si>
  <si>
    <t>Installaties</t>
  </si>
  <si>
    <t>Aanloopkosten</t>
  </si>
  <si>
    <t>Aanloopverliezen</t>
  </si>
  <si>
    <t>Overig</t>
  </si>
  <si>
    <t>Rekenstaat</t>
  </si>
  <si>
    <t>Gewogen boekwaarde</t>
  </si>
  <si>
    <t>Factor</t>
  </si>
  <si>
    <t>Geldgever</t>
  </si>
  <si>
    <t xml:space="preserve">Saldo </t>
  </si>
  <si>
    <t>Kapitaal</t>
  </si>
  <si>
    <t>Algemene reserves</t>
  </si>
  <si>
    <t>Reserve aanvaardbare kosten</t>
  </si>
  <si>
    <t>Instandhoudingsreserve</t>
  </si>
  <si>
    <t>Reserve inventarissen</t>
  </si>
  <si>
    <t>Overige reserves</t>
  </si>
  <si>
    <t>Vernieuwingsfonds</t>
  </si>
  <si>
    <t>Egalisatievoorzienining  onderhoud</t>
  </si>
  <si>
    <t>Overige voorzieningen</t>
  </si>
  <si>
    <t>Fondsen en fundaties</t>
  </si>
  <si>
    <t>Saldo resultatenrekening</t>
  </si>
  <si>
    <t>Datum</t>
  </si>
  <si>
    <t>Voorlopige budgetmutatie</t>
  </si>
  <si>
    <t>Mutatie aanvaardbare kosten</t>
  </si>
  <si>
    <t>* In rekenstaat te vinden bij onderbouwing van de regel</t>
  </si>
  <si>
    <t>Berekening exploitatieresultaat</t>
  </si>
  <si>
    <t>&lt;&lt;&lt;</t>
  </si>
  <si>
    <t>Instandhoudingsinvestering</t>
  </si>
  <si>
    <t>Semi-perm. gebouwen</t>
  </si>
  <si>
    <t>dag</t>
  </si>
  <si>
    <t>ma(a)nd(en)</t>
  </si>
  <si>
    <t>incidentele trekkingsrechten.</t>
  </si>
  <si>
    <t>KOR</t>
  </si>
  <si>
    <t>Egalisatierekening annuïteitenrente en nog te verrekenen (aanvaardbare) boeterente [(beginbalans + eindbalans) : 2]</t>
  </si>
  <si>
    <t xml:space="preserve">% </t>
  </si>
  <si>
    <t xml:space="preserve">Bedrag </t>
  </si>
  <si>
    <t xml:space="preserve">bedrag </t>
  </si>
  <si>
    <t>Afschrijving op geactiveerde rente van annuïteitenleningen</t>
  </si>
  <si>
    <t xml:space="preserve">Boekwaarde vergunningsplichtige investeringen zonder vergunning. </t>
  </si>
  <si>
    <t xml:space="preserve">Gewogen </t>
  </si>
  <si>
    <t xml:space="preserve">Factor </t>
  </si>
  <si>
    <t xml:space="preserve">Onderhanden </t>
  </si>
  <si>
    <t xml:space="preserve"> VKP´s </t>
  </si>
  <si>
    <t xml:space="preserve">In gebruik </t>
  </si>
  <si>
    <t xml:space="preserve"> genomen VKP´s </t>
  </si>
  <si>
    <t xml:space="preserve">Nog niet in </t>
  </si>
  <si>
    <t xml:space="preserve">genomen </t>
  </si>
  <si>
    <t xml:space="preserve">investeringen </t>
  </si>
  <si>
    <t xml:space="preserve">Boekwaarde </t>
  </si>
  <si>
    <t xml:space="preserve">Afschrijving </t>
  </si>
  <si>
    <t>Afschrijving</t>
  </si>
  <si>
    <t>Eindstand kosten overgangsregeling kapitaalslasten</t>
  </si>
  <si>
    <r>
      <t>³</t>
    </r>
    <r>
      <rPr>
        <sz val="9"/>
        <rFont val="Arial"/>
        <family val="2"/>
      </rPr>
      <t xml:space="preserve"> De niet-geïndexeerde huren per pand/vergunning specificeren. Eventueel vervolgen op bijlage, indien te weinig regels.</t>
    </r>
  </si>
  <si>
    <r>
      <t>4</t>
    </r>
    <r>
      <rPr>
        <sz val="9"/>
        <rFont val="Arial"/>
        <family val="2"/>
      </rPr>
      <t xml:space="preserve"> Bij nieuwe of gewijzigde huursituaties datum en nummer vergunning vermelden.</t>
    </r>
  </si>
  <si>
    <t>Partij(en) stellen voor dat, door middel van dit tarief- of tarievenverzoek NACALCULATIE 2005 de in dit verzoek overeengekomen prestaties met de bij die prestaties horende in rekening te brengen tarieven, door de instelling aan alle ziektekostenverzekeraars en alle (niet-)verzekerden in rekening kunnen worden gebracht, met inachtneming van eventueel geldende declaratievoorschriften.</t>
  </si>
  <si>
    <t>De gebruikte rekenstaat 2005 heeft volgnummer:</t>
  </si>
  <si>
    <r>
      <t>door het CBZ en is te vinde</t>
    </r>
    <r>
      <rPr>
        <sz val="9"/>
        <rFont val="Arial"/>
        <family val="0"/>
      </rPr>
      <t xml:space="preserve">n op de website van  het CBZ </t>
    </r>
  </si>
  <si>
    <t xml:space="preserve">2005. De "gezondheidszorgindex" wordt gepubliceerd </t>
  </si>
  <si>
    <t>Nacalculatie productie (zie onderbouwing rgl 10 rekenstaat) **)</t>
  </si>
  <si>
    <t>Goedgekeurd</t>
  </si>
  <si>
    <t>bedrag</t>
  </si>
  <si>
    <t>Overschrijding</t>
  </si>
  <si>
    <t>Bedrag overschrijding</t>
  </si>
  <si>
    <t>2.</t>
  </si>
  <si>
    <t>3.</t>
  </si>
  <si>
    <t>Project 1 t/m 6</t>
  </si>
  <si>
    <r>
      <t xml:space="preserve">Overschrijding vergunningsbedrag van ingebruik genomen activa </t>
    </r>
    <r>
      <rPr>
        <b/>
        <vertAlign val="superscript"/>
        <sz val="9"/>
        <rFont val="Arial"/>
        <family val="2"/>
      </rPr>
      <t>1</t>
    </r>
  </si>
  <si>
    <r>
      <t>1</t>
    </r>
    <r>
      <rPr>
        <sz val="9"/>
        <rFont val="Arial"/>
        <family val="2"/>
      </rPr>
      <t xml:space="preserve"> Hier de eventuele overschrijdingen van de projecten van de ingebruikgenomen activa </t>
    </r>
  </si>
  <si>
    <t>Investerings-</t>
  </si>
  <si>
    <t>1.</t>
  </si>
  <si>
    <t>4.</t>
  </si>
  <si>
    <t>5.</t>
  </si>
  <si>
    <t>6.</t>
  </si>
  <si>
    <r>
      <t>1</t>
    </r>
    <r>
      <rPr>
        <sz val="9"/>
        <rFont val="Arial"/>
        <family val="2"/>
      </rPr>
      <t xml:space="preserve">  Onderdeel 3.5 berekent alleen het voordeel/nadeel van budgettair bouwen. De activering van de investering, waarop de </t>
    </r>
  </si>
  <si>
    <t>Voordeel/nadeel budgetttair bouwen</t>
  </si>
  <si>
    <t>Is de capaciteit (in plaatsen en functies) volgens de rekenstaat 2005 in overeenstemming met de capaciteit volgens de toelating(en) (betrekking hebbend op het jaar 2005), die zijn vastgesteld door het College voor zorgverzekeringen?</t>
  </si>
  <si>
    <t>en gepubliceerd. Deze normatieve rentevoet is te vinden op de de website van CTG/ZAio (www.ctg-zaio.nl), onder rentenormering -&gt; korte rente.</t>
  </si>
  <si>
    <t>Begeleiding speciaal</t>
  </si>
  <si>
    <t>Voedingsvoorlichting</t>
  </si>
  <si>
    <t>Gespecialiseerde begeleiding</t>
  </si>
  <si>
    <t>H147</t>
  </si>
  <si>
    <t>H116</t>
  </si>
  <si>
    <t>H173</t>
  </si>
  <si>
    <t>H625</t>
  </si>
  <si>
    <t>Activerende begeleiding speciaal</t>
  </si>
  <si>
    <t>Dactiviteit ouderen extra</t>
  </si>
  <si>
    <t>Dagactiviteit GGZ-LZA</t>
  </si>
  <si>
    <t>Vervoer dagactiviteit ouderen</t>
  </si>
  <si>
    <t>H140</t>
  </si>
  <si>
    <t>Zie onderbouwing regel 35 rekenstaat 'sectoroverstijgende productie'.</t>
  </si>
  <si>
    <t>Nacalculatie productie in % totale productie</t>
  </si>
  <si>
    <t>Individuele prijsafspraak</t>
  </si>
  <si>
    <t>2.13</t>
  </si>
  <si>
    <t>*) Zie onderbouwing rekenstaatregel 110 (indien PAAZ met vrijgevestigde psychiaters)</t>
  </si>
  <si>
    <t>Wij hebben bijgaand nacalculatieformulier 2005 van.....(naam instelling) gecontroleerd. Het nacalculatieformulier is opgesteld onder verantwoordelijkheid van de leiding van de instelling. Het is onze verantwoordelijkheid een accountantsverklaring bij het nacalculatieformulier te verstrekken.</t>
  </si>
  <si>
    <t xml:space="preserve">is ook onderdeel van het beschikbare productiebudget (regel 1030). Hierdoor vindt er geen nacalculatie </t>
  </si>
  <si>
    <t>Aangepaste inbrengverplichting</t>
  </si>
  <si>
    <r>
      <t xml:space="preserve">Index CBZ </t>
    </r>
    <r>
      <rPr>
        <b/>
        <vertAlign val="superscript"/>
        <sz val="9"/>
        <rFont val="Arial"/>
        <family val="2"/>
      </rPr>
      <t>1</t>
    </r>
  </si>
  <si>
    <r>
      <t xml:space="preserve">1 </t>
    </r>
    <r>
      <rPr>
        <sz val="9"/>
        <rFont val="Arial"/>
        <family val="2"/>
      </rPr>
      <t>Hier de index CBZ (=prijspeil) van de inbrengverplichting invullen, zoals vermeld onder A van het formulier inbrengverplichting van het CBZ</t>
    </r>
  </si>
  <si>
    <r>
      <t>2</t>
    </r>
    <r>
      <rPr>
        <sz val="9"/>
        <rFont val="Arial"/>
        <family val="2"/>
      </rPr>
      <t xml:space="preserve"> De "gezondheidszorgindex" volgens de bouwkostennota </t>
    </r>
  </si>
  <si>
    <r>
      <t>1</t>
    </r>
    <r>
      <rPr>
        <sz val="9"/>
        <rFont val="Arial"/>
        <family val="2"/>
      </rPr>
      <t xml:space="preserve"> De voor het jaar geldende gemiddelde normatieve rentevoet wordt na afloop van het jaar door CTG/ZAio berekend </t>
    </r>
  </si>
  <si>
    <r>
      <t xml:space="preserve">¹ </t>
    </r>
    <r>
      <rPr>
        <sz val="9"/>
        <rFont val="Arial"/>
        <family val="2"/>
      </rPr>
      <t>Het totaal van de ingebruikgenomen WZV-investeringen van regel 2414 moet gelijk zijn aan het totaal van ingebruikgenomen WZV-investeringen van regel 2303 t/m 2314 onderdeel A</t>
    </r>
  </si>
  <si>
    <r>
      <t xml:space="preserve">Nacalculatie </t>
    </r>
    <r>
      <rPr>
        <b/>
        <vertAlign val="superscript"/>
        <sz val="9"/>
        <rFont val="Arial"/>
        <family val="2"/>
      </rPr>
      <t>5</t>
    </r>
  </si>
  <si>
    <r>
      <t>5</t>
    </r>
    <r>
      <rPr>
        <sz val="9"/>
        <rFont val="Arial"/>
        <family val="2"/>
      </rPr>
      <t xml:space="preserve"> Het bedrag op jaarbasis vermelden volgens nacalculatie 2004</t>
    </r>
  </si>
  <si>
    <r>
      <t>2</t>
    </r>
    <r>
      <rPr>
        <sz val="9"/>
        <rFont val="Arial"/>
        <family val="2"/>
      </rPr>
      <t xml:space="preserve"> Indien bij regel 1739 nog sprake is van een restant, omdat de toekomstige opbouw niet toereikend is, dan wordt dit restant (prijspeil 2005) direct afgeboekt van de</t>
    </r>
  </si>
  <si>
    <r>
      <t>1</t>
    </r>
    <r>
      <rPr>
        <sz val="9"/>
        <rFont val="Arial"/>
        <family val="2"/>
      </rPr>
      <t xml:space="preserve"> Hier de bedragen invullen volgens de onderbouwing van het budget.</t>
    </r>
  </si>
  <si>
    <r>
      <t xml:space="preserve">Loonkostenaftrek vrijgevestigde psychiaters (PAAZ) </t>
    </r>
    <r>
      <rPr>
        <vertAlign val="superscript"/>
        <sz val="9"/>
        <rFont val="Arial"/>
        <family val="2"/>
      </rPr>
      <t>1</t>
    </r>
  </si>
  <si>
    <r>
      <t xml:space="preserve">Individuele prijsafspraak </t>
    </r>
    <r>
      <rPr>
        <vertAlign val="superscript"/>
        <sz val="9"/>
        <rFont val="Arial"/>
        <family val="2"/>
      </rPr>
      <t>1</t>
    </r>
  </si>
  <si>
    <r>
      <t xml:space="preserve">Loonkosten bovenregionale activiteiten </t>
    </r>
    <r>
      <rPr>
        <vertAlign val="superscript"/>
        <sz val="9"/>
        <rFont val="Arial"/>
        <family val="2"/>
      </rPr>
      <t>1</t>
    </r>
  </si>
  <si>
    <t>investeringen</t>
  </si>
  <si>
    <t xml:space="preserve">gebruik genomen </t>
  </si>
  <si>
    <t xml:space="preserve">in gebruik </t>
  </si>
  <si>
    <t xml:space="preserve"> </t>
  </si>
  <si>
    <t>SGA-afdelingen</t>
  </si>
  <si>
    <t>Alcohol- en drugs</t>
  </si>
  <si>
    <t>Kinderen en jeugd</t>
  </si>
  <si>
    <t>Volwassenen/ouderen</t>
  </si>
  <si>
    <t>F151</t>
  </si>
  <si>
    <t>F152</t>
  </si>
  <si>
    <t>F153</t>
  </si>
  <si>
    <t>F154</t>
  </si>
  <si>
    <t>F155</t>
  </si>
  <si>
    <t>F156</t>
  </si>
  <si>
    <t>F157</t>
  </si>
  <si>
    <t>Forensisch</t>
  </si>
  <si>
    <t>F101</t>
  </si>
  <si>
    <t>F102</t>
  </si>
  <si>
    <t>F103</t>
  </si>
  <si>
    <t>F104</t>
  </si>
  <si>
    <t>F105</t>
  </si>
  <si>
    <t>F106</t>
  </si>
  <si>
    <t>F107</t>
  </si>
  <si>
    <t>F202</t>
  </si>
  <si>
    <t>F204</t>
  </si>
  <si>
    <t>F205</t>
  </si>
  <si>
    <t>F206</t>
  </si>
  <si>
    <t>RUBRIEK 2: KAPITAALSLASTEN</t>
  </si>
  <si>
    <t>Vervoersmiddelen</t>
  </si>
  <si>
    <t>Eigen wasserij</t>
  </si>
  <si>
    <t>Automatisering</t>
  </si>
  <si>
    <t>Inventaris</t>
  </si>
  <si>
    <t>Jaarlijkse instandhouding</t>
  </si>
  <si>
    <t>Incidentele instandhouding</t>
  </si>
  <si>
    <t>1.5</t>
  </si>
  <si>
    <t xml:space="preserve">1.1 </t>
  </si>
  <si>
    <t xml:space="preserve">1.2 </t>
  </si>
  <si>
    <t>Eerste opnamen</t>
  </si>
  <si>
    <t xml:space="preserve">1.3 </t>
  </si>
  <si>
    <t>Deeltijdbehandeling</t>
  </si>
  <si>
    <t xml:space="preserve">1.6 </t>
  </si>
  <si>
    <t>Totale opbrengst</t>
  </si>
  <si>
    <t>Ondertekening door Raad van Bestuur van het orgaan voor gezondheidszorg:</t>
  </si>
  <si>
    <t>De Raad van Bestuur van de instelling verklaart hierbij dat het formulier "Nacalculatie 2005" naar waarheid en in overeenstemming met de beleidsregels van het CTG/ZAio, zoals deze voor het jaar 2005 van kracht waren, is ingevuld.</t>
  </si>
  <si>
    <t>Totaal</t>
  </si>
  <si>
    <t>Tarief*</t>
  </si>
  <si>
    <t xml:space="preserve">2.1 </t>
  </si>
  <si>
    <t>Nacalculeerbare afschrijvingskosten</t>
  </si>
  <si>
    <t xml:space="preserve">Eigen bijdrage psychotherapie  </t>
  </si>
  <si>
    <t xml:space="preserve"> Kinderen en jeugd</t>
  </si>
  <si>
    <t xml:space="preserve">Totaal </t>
  </si>
  <si>
    <t xml:space="preserve">Aantal </t>
  </si>
  <si>
    <t xml:space="preserve">2.2 </t>
  </si>
  <si>
    <t>Niet-nacalculeerbare afschrijvingskosten</t>
  </si>
  <si>
    <t>Instandhoudingsinvesteringen</t>
  </si>
  <si>
    <t>2.3</t>
  </si>
  <si>
    <t xml:space="preserve">Jaarlijks </t>
  </si>
  <si>
    <t xml:space="preserve">Incidenteel </t>
  </si>
  <si>
    <t>Huren onroerende goederen en erfpacht</t>
  </si>
  <si>
    <t>2.4</t>
  </si>
  <si>
    <t>Activa</t>
  </si>
  <si>
    <t>Passiva</t>
  </si>
  <si>
    <t xml:space="preserve">Aanvaardbare </t>
  </si>
  <si>
    <t xml:space="preserve">kosten </t>
  </si>
  <si>
    <t>2.7</t>
  </si>
  <si>
    <t>Doorbelaste kapitaalslasten</t>
  </si>
  <si>
    <t xml:space="preserve">Mutatie </t>
  </si>
  <si>
    <t>4.1</t>
  </si>
  <si>
    <t xml:space="preserve">Werkelijk </t>
  </si>
  <si>
    <t xml:space="preserve">Rekenstaat </t>
  </si>
  <si>
    <t xml:space="preserve">Aanschafwaarde </t>
  </si>
  <si>
    <t xml:space="preserve">Afschrijvingen </t>
  </si>
  <si>
    <t xml:space="preserve">Nummer </t>
  </si>
  <si>
    <t xml:space="preserve">Datum </t>
  </si>
  <si>
    <t xml:space="preserve">Doorwerking </t>
  </si>
  <si>
    <t xml:space="preserve">Besteed </t>
  </si>
  <si>
    <t>Onderhanden bouwprojecten normale WZV-procedures</t>
  </si>
  <si>
    <t xml:space="preserve">A. </t>
  </si>
  <si>
    <t>B.</t>
  </si>
  <si>
    <t xml:space="preserve">C. </t>
  </si>
  <si>
    <t>Werkelijke boekwaarde instandhoudingsinvesteringen</t>
  </si>
  <si>
    <t xml:space="preserve">D. </t>
  </si>
  <si>
    <t xml:space="preserve">E. </t>
  </si>
  <si>
    <t>Normatieve boekwaarde medische en overige inventarissen</t>
  </si>
  <si>
    <t xml:space="preserve">Afschrijvingen* </t>
  </si>
  <si>
    <t xml:space="preserve">F. </t>
  </si>
  <si>
    <t>Normatief werkkapitaal</t>
  </si>
  <si>
    <t xml:space="preserve">Norm. Boekwaarde </t>
  </si>
  <si>
    <t xml:space="preserve">G. </t>
  </si>
  <si>
    <t xml:space="preserve">H. </t>
  </si>
  <si>
    <t>Eigen vermogen</t>
  </si>
  <si>
    <t xml:space="preserve">I. </t>
  </si>
  <si>
    <t>4.2</t>
  </si>
  <si>
    <t>4.3</t>
  </si>
  <si>
    <t>Nog in de tarieven te verrekenen</t>
  </si>
  <si>
    <t>TOELICHTING / INVULINSTRUCTIE</t>
  </si>
  <si>
    <t>Boekwaarde investeringen waarvoor vergunning is verleend</t>
  </si>
  <si>
    <t>Vrijvallende afschrijvingen</t>
  </si>
  <si>
    <t>Afschrijvingen nieuw</t>
  </si>
  <si>
    <t xml:space="preserve">Aanschafw. </t>
  </si>
  <si>
    <t>1.7</t>
  </si>
  <si>
    <t xml:space="preserve">Structurele </t>
  </si>
  <si>
    <t xml:space="preserve">afschrijving </t>
  </si>
  <si>
    <t>Nacalculatie</t>
  </si>
  <si>
    <t>Contactpersoon</t>
  </si>
  <si>
    <t>Telefoon</t>
  </si>
  <si>
    <t>Fax</t>
  </si>
  <si>
    <t>E-mail</t>
  </si>
  <si>
    <t>(datum)</t>
  </si>
  <si>
    <t>(naam)</t>
  </si>
  <si>
    <t>(handtekening)</t>
  </si>
  <si>
    <t>Zorgkantoor</t>
  </si>
  <si>
    <t>Ondertekening namens het zorgkantoor:</t>
  </si>
  <si>
    <t>Medewerker</t>
  </si>
  <si>
    <t>Niet invullen</t>
  </si>
  <si>
    <t>Aanvraag</t>
  </si>
  <si>
    <t>INHOUDSOPGAVE</t>
  </si>
  <si>
    <t>1.4</t>
  </si>
  <si>
    <t>RUBRIEK 3: OVERZICHT MUTATIES</t>
  </si>
  <si>
    <t>F207</t>
  </si>
  <si>
    <t>F201</t>
  </si>
  <si>
    <t>Opbrengst forensische patiënten voorzover gedeclareerd bij zorgverzekeraar VGZ</t>
  </si>
  <si>
    <t>januari</t>
  </si>
  <si>
    <t>februari</t>
  </si>
  <si>
    <t>maart</t>
  </si>
  <si>
    <t>april</t>
  </si>
  <si>
    <t>mei</t>
  </si>
  <si>
    <t>juni</t>
  </si>
  <si>
    <t>juli</t>
  </si>
  <si>
    <t>augustus</t>
  </si>
  <si>
    <t>september</t>
  </si>
  <si>
    <t>oktober</t>
  </si>
  <si>
    <t>november</t>
  </si>
  <si>
    <t>december</t>
  </si>
  <si>
    <t>Forensische kliniek</t>
  </si>
  <si>
    <t>2) Hier neemt u de langlopende leningen op waarvan de rente nacalculeerbaar is, hieronder vallen bijvoorbeeld langlopende leningen ten behoeve van investeringen die vallen onder de WZV of die zijn afgesloten ten behoeve van budgettair bouwen.</t>
  </si>
  <si>
    <t>1. Hier neemt u de langlopende leningen op waarvan de rente nacalculeerbaar is, hieronder vallen bijvoorbeeld langlopende leningen ten behoeve van investeringen die vallen onder de WZV of die zijn afgesloten ten behoeve van budgettair bouwen.</t>
  </si>
  <si>
    <r>
      <t>Langlopende leningen (incl. langlopende leasecontracten)</t>
    </r>
    <r>
      <rPr>
        <b/>
        <sz val="10"/>
        <rFont val="Arial"/>
        <family val="2"/>
      </rPr>
      <t xml:space="preserve"> </t>
    </r>
  </si>
  <si>
    <t>Forensische afdeling</t>
  </si>
  <si>
    <t>F001</t>
  </si>
  <si>
    <t>F002</t>
  </si>
  <si>
    <t>F003</t>
  </si>
  <si>
    <t>F004</t>
  </si>
  <si>
    <t>F005</t>
  </si>
  <si>
    <t>F050</t>
  </si>
  <si>
    <t>F051</t>
  </si>
  <si>
    <t>F052</t>
  </si>
  <si>
    <t>F053</t>
  </si>
  <si>
    <t>F054</t>
  </si>
  <si>
    <t>F055</t>
  </si>
  <si>
    <t>A003</t>
  </si>
  <si>
    <t>Verkeerd bed</t>
  </si>
  <si>
    <t>RUBRIEK 4: Exploitatieresultaat</t>
  </si>
  <si>
    <t>Eventuele vordering vakantiegeldverplichting (volgens de balans per 1 januari van het jaar van invoering van het budgetsysteem)</t>
  </si>
  <si>
    <t xml:space="preserve">in het budget zijn opgenomen, dan dient dit bedrag hier te worden ingevuld. Dit is nodig om een </t>
  </si>
  <si>
    <t>juiste vergelijking te kunnen maken tussen de werkelijke productiekosten en de in het budget</t>
  </si>
  <si>
    <t>opgenomen productiekosten.</t>
  </si>
  <si>
    <t>Tuinaanleg e.d.</t>
  </si>
  <si>
    <t>Semi-permanent</t>
  </si>
  <si>
    <t>Restauraties e.d.</t>
  </si>
  <si>
    <t>Grond</t>
  </si>
  <si>
    <t>2.6</t>
  </si>
  <si>
    <t>2.8</t>
  </si>
  <si>
    <t xml:space="preserve">Werkelijke </t>
  </si>
  <si>
    <t xml:space="preserve">rente** </t>
  </si>
  <si>
    <t>HOND</t>
  </si>
  <si>
    <t>Code</t>
  </si>
  <si>
    <t>C.</t>
  </si>
  <si>
    <t>D.</t>
  </si>
  <si>
    <t>³</t>
  </si>
  <si>
    <r>
      <t xml:space="preserve">Gegevens vergunning </t>
    </r>
    <r>
      <rPr>
        <b/>
        <sz val="6"/>
        <rFont val="Arial"/>
        <family val="2"/>
      </rPr>
      <t>4</t>
    </r>
  </si>
  <si>
    <t>1.8</t>
  </si>
  <si>
    <t>Positie eigen vermogen Ribw</t>
  </si>
  <si>
    <t>CEO</t>
  </si>
  <si>
    <t xml:space="preserve"> (t.b.v. definitieve afrekening met zorgkantoor)</t>
  </si>
  <si>
    <t>Opbrengst niet-AWBZ geïndiceerde patiënten</t>
  </si>
  <si>
    <t>Cellen waar met haakjes (    ) is aangegeven dat een negatief bedrag wordt verwacht, kunnen worden gevuld met positieve bedragen. Het programma rekent deze celllen automatisch om; bij een totaaltelling worden ze negatief in de som opgenomen.</t>
  </si>
  <si>
    <t>3.1</t>
  </si>
  <si>
    <t>3.2</t>
  </si>
  <si>
    <t>3.3</t>
  </si>
  <si>
    <t>BIJLAGEN RENTENORMERING</t>
  </si>
  <si>
    <t>K.</t>
  </si>
  <si>
    <t xml:space="preserve">Aanvullende informatie </t>
  </si>
  <si>
    <t xml:space="preserve">onderbesteding </t>
  </si>
  <si>
    <t xml:space="preserve">overbesteding/ </t>
  </si>
  <si>
    <t xml:space="preserve">Exploitatiekosten** </t>
  </si>
  <si>
    <t>nr.</t>
  </si>
  <si>
    <t>cat.</t>
  </si>
  <si>
    <t>F158</t>
  </si>
  <si>
    <t>F159</t>
  </si>
  <si>
    <t>F160</t>
  </si>
  <si>
    <t>F108</t>
  </si>
  <si>
    <t>F109</t>
  </si>
  <si>
    <t>F110</t>
  </si>
  <si>
    <t>Dagen verslavingszorg</t>
  </si>
  <si>
    <t>Individueel met beperkte begeleiding</t>
  </si>
  <si>
    <t>Individueel met volledige begeleiding</t>
  </si>
  <si>
    <t>Crisisinterventie</t>
  </si>
  <si>
    <t>Dagen kinderen en jeugd</t>
  </si>
  <si>
    <t>Beperkte tot volledige begeleiding</t>
  </si>
  <si>
    <t>Stabilisatie met (beperkte) begeleiding</t>
  </si>
  <si>
    <t>Dagen volwassenen en ouderen</t>
  </si>
  <si>
    <t>Kortdurend met beperkte begeleiding</t>
  </si>
  <si>
    <t>Idem met volledige begeleiding</t>
  </si>
  <si>
    <t>Herstellingsoord</t>
  </si>
  <si>
    <t>Structuurbiedend met beperkte begel.</t>
  </si>
  <si>
    <t>Dagen forensisch</t>
  </si>
  <si>
    <t>Advies</t>
  </si>
  <si>
    <t>Passen de in 2005 geactiveerde investeringen in immateriele en materiele vaste activa (investeringskosten) binnen de WZV-vergunningen (hiermee wordt tevens verstaan het vergunningsbudget van CBZ bij budgettair bouwen) die voor deze projecten zijn afgegeven? Als er geen investeringen zijn geactiveerd, kies dan nvt.</t>
  </si>
  <si>
    <t>In onderdeel 3.5 dienen uitsluitend eindafrekeningen van budgettair bouwen te worden opgegeven. Zijn alle eindafrekeningen van budgettair bouwen, zoals afgegeven in 2005 door het Bouwcollege, verwerkt in onderdeel 3.5?</t>
  </si>
  <si>
    <t>U wordt verzocht om hier een overzicht te verstrekken van de verkochte activa waarvan de verkoopprijs in 2005 is ontvangen. De eventuele boekwinst wordt conform de beleidsregel III-851 "Verrekening boekwinsten bij verkoop" verrekend.</t>
  </si>
  <si>
    <t>In onderdeel 3.8 dienen uitsluitend definitieve vaststellingen van inbrengverplichtingen te worden opgegeven. Zijn alle definitieve vaststellingen van inbrengverplichtingen, zoals afgegeven in 2005 door het Bouwcollege, verwerkt in onderdeel 3.8?</t>
  </si>
  <si>
    <t>Resocialisatie FPA</t>
  </si>
  <si>
    <t>Behandeling FPA</t>
  </si>
  <si>
    <t>Long stay (basis) FPK</t>
  </si>
  <si>
    <t>Long stay (intensief) FPK</t>
  </si>
  <si>
    <t>Resocialisatie FPK</t>
  </si>
  <si>
    <t>Behandeling FPK</t>
  </si>
  <si>
    <t>Deeltijd verslavingszorg</t>
  </si>
  <si>
    <t>Deeltijd met beperkte begeleiding</t>
  </si>
  <si>
    <t>Deeltijd kinderen en jeugd</t>
  </si>
  <si>
    <t>Opname en observatie</t>
  </si>
  <si>
    <t>Algemeen en gezin met geringe begel.</t>
  </si>
  <si>
    <t>Idem met begeleiding op afstand</t>
  </si>
  <si>
    <t>Deeltijd volwassenen en ouderen</t>
  </si>
  <si>
    <t>Structurele deeltijdbehandeling</t>
  </si>
  <si>
    <t>Idem met beperkte begeleiding</t>
  </si>
  <si>
    <t>Stabilisatie</t>
  </si>
  <si>
    <t>Deeltijd forensisch</t>
  </si>
  <si>
    <t>Eerste opnames</t>
  </si>
  <si>
    <t>Alcohol- en drugsverslaafden</t>
  </si>
  <si>
    <r>
      <t>4</t>
    </r>
    <r>
      <rPr>
        <sz val="9"/>
        <rFont val="Arial"/>
        <family val="2"/>
      </rPr>
      <t xml:space="preserve"> Volgens laatste tariefbeschikking 2005</t>
    </r>
  </si>
  <si>
    <t xml:space="preserve">³ Alleen van toepassing als hiervoor een productieafspraak is gemaakt. </t>
  </si>
  <si>
    <t>Werkelijke sectoroverstijgende productie/opbrengsten ³</t>
  </si>
  <si>
    <t>Volwassenen en ouderen</t>
  </si>
  <si>
    <t>Ambulant kinderen en jeugd</t>
  </si>
  <si>
    <t>Nieuwe inschrijving</t>
  </si>
  <si>
    <t>Intakecontact</t>
  </si>
  <si>
    <t>Onderzoekscontact</t>
  </si>
  <si>
    <t>Psychotherapiecontact</t>
  </si>
  <si>
    <t>Groepscontact psychotherapie</t>
  </si>
  <si>
    <t>Behandeling/begeleidingscontact</t>
  </si>
  <si>
    <t>Groepscontact beh./begeleiding</t>
  </si>
  <si>
    <t>Crisiscontact binnen kantooruren</t>
  </si>
  <si>
    <t>Crisiscontact buiten kantooruren</t>
  </si>
  <si>
    <t>Contact buiten de instelling</t>
  </si>
  <si>
    <t>Ambulant volwassenen</t>
  </si>
  <si>
    <t>Ambulant ouderen</t>
  </si>
  <si>
    <t>Ambulant verslavingszorg</t>
  </si>
  <si>
    <t>Ambulant forensisch</t>
  </si>
  <si>
    <t>Dienstverlening en preventie</t>
  </si>
  <si>
    <t>A.1.1</t>
  </si>
  <si>
    <t>A.1.2</t>
  </si>
  <si>
    <t>A.1.3</t>
  </si>
  <si>
    <t>A.1.4</t>
  </si>
  <si>
    <t>A.1.5</t>
  </si>
  <si>
    <t>Controleprotocol  nacalculatie</t>
  </si>
  <si>
    <t>Controleprotocol</t>
  </si>
  <si>
    <t>A.1.6</t>
  </si>
  <si>
    <t>K.1.1</t>
  </si>
  <si>
    <t>K.1.2</t>
  </si>
  <si>
    <t>K.1.3</t>
  </si>
  <si>
    <t>K.1.4</t>
  </si>
  <si>
    <t>K.1.5</t>
  </si>
  <si>
    <t>K.1.6</t>
  </si>
  <si>
    <t>V.1.1</t>
  </si>
  <si>
    <t>V.1.2</t>
  </si>
  <si>
    <t>V.1.3</t>
  </si>
  <si>
    <t>V.1.4</t>
  </si>
  <si>
    <t>V.2.1</t>
  </si>
  <si>
    <t>V.2.2</t>
  </si>
  <si>
    <t>V.2.3</t>
  </si>
  <si>
    <t>V.2.4</t>
  </si>
  <si>
    <t>V.2.5</t>
  </si>
  <si>
    <t>F.1.1</t>
  </si>
  <si>
    <t>F.1.2</t>
  </si>
  <si>
    <t>F.1.3</t>
  </si>
  <si>
    <t>F.1.4</t>
  </si>
  <si>
    <t>F.1.5</t>
  </si>
  <si>
    <t>F.1.6</t>
  </si>
  <si>
    <t>A.2.1</t>
  </si>
  <si>
    <t>A.2.2</t>
  </si>
  <si>
    <t>K.2.1</t>
  </si>
  <si>
    <t>K.2.2</t>
  </si>
  <si>
    <t>K.2.3</t>
  </si>
  <si>
    <t>V.3.1</t>
  </si>
  <si>
    <t>V.3.2</t>
  </si>
  <si>
    <t>V.3.3</t>
  </si>
  <si>
    <t>V.3.4</t>
  </si>
  <si>
    <t>V.4.1</t>
  </si>
  <si>
    <t>V.4.2</t>
  </si>
  <si>
    <t>Bedrag</t>
  </si>
  <si>
    <t>Dagen intensieve behandelingen</t>
  </si>
  <si>
    <t>Rehabilitatie</t>
  </si>
  <si>
    <t>Psychotherapeutische deeltijdbeh.</t>
  </si>
  <si>
    <t>Continue tot zeer intensieve besch.</t>
  </si>
  <si>
    <t>Stabilisatie met (intensieve) besch.</t>
  </si>
  <si>
    <t>Idem met continue/intensieve besch.</t>
  </si>
  <si>
    <t>Ambulant</t>
  </si>
  <si>
    <t>Nummer brief VWS/CBZ</t>
  </si>
  <si>
    <t>Omschrijving project 1.</t>
  </si>
  <si>
    <t>Goedgekeurd bedrag</t>
  </si>
  <si>
    <t>investering</t>
  </si>
  <si>
    <t>Omschrijving project 2.</t>
  </si>
  <si>
    <t>Omschrijving project 4.</t>
  </si>
  <si>
    <t>Omschrijving project 3.</t>
  </si>
  <si>
    <t>Omschrijving project 5.</t>
  </si>
  <si>
    <t>Aanvullende inkomsten</t>
  </si>
  <si>
    <t>Niet vrij</t>
  </si>
  <si>
    <t>besteedbaar</t>
  </si>
  <si>
    <t xml:space="preserve">Vrij </t>
  </si>
  <si>
    <t>Te verklaren verschillen</t>
  </si>
  <si>
    <t>Aanschafw.</t>
  </si>
  <si>
    <t>Desinvest.</t>
  </si>
  <si>
    <t>Investering</t>
  </si>
  <si>
    <t>Cum. Afschr.</t>
  </si>
  <si>
    <t>Boekwaarde</t>
  </si>
  <si>
    <t xml:space="preserve">Totaalbedrag </t>
  </si>
  <si>
    <t>Specificatie investeringen in instandhouding</t>
  </si>
  <si>
    <t>Specificatie inbrengverplichting</t>
  </si>
  <si>
    <t>Waarvan direct</t>
  </si>
  <si>
    <t>Totaal inbreng-</t>
  </si>
  <si>
    <t>verplichting</t>
  </si>
  <si>
    <t>te verrekenen</t>
  </si>
  <si>
    <t>Voor 2017 nog</t>
  </si>
  <si>
    <t>Te verklaren verschil</t>
  </si>
  <si>
    <t>Restauraties/verbouwingen</t>
  </si>
  <si>
    <t xml:space="preserve">Normatieve </t>
  </si>
  <si>
    <t xml:space="preserve">afschrijvingen* </t>
  </si>
  <si>
    <t xml:space="preserve">boekwaarde </t>
  </si>
  <si>
    <t>Einddatum</t>
  </si>
  <si>
    <t>Werk.</t>
  </si>
  <si>
    <t>Norm.</t>
  </si>
  <si>
    <t>N,W,</t>
  </si>
  <si>
    <t>of V</t>
  </si>
  <si>
    <t>rentebedrag</t>
  </si>
  <si>
    <t>Aanvaardbaar</t>
  </si>
  <si>
    <t>2.1</t>
  </si>
  <si>
    <t>2.2</t>
  </si>
  <si>
    <t>2.5</t>
  </si>
  <si>
    <t>RUBRIEK 3: KAPITAALSLASTEN</t>
  </si>
  <si>
    <t>3.4</t>
  </si>
  <si>
    <t>3.5</t>
  </si>
  <si>
    <t>3.6</t>
  </si>
  <si>
    <t>RUBRIEK 4: OVERZICHT MUTATIES</t>
  </si>
  <si>
    <t>Overige bijlagen</t>
  </si>
  <si>
    <t>Saldo extra opbrengst</t>
  </si>
  <si>
    <t>Algemeen</t>
  </si>
  <si>
    <t>1.1</t>
  </si>
  <si>
    <t>Nacalculatie productie instelling</t>
  </si>
  <si>
    <t>Opbrengst persoonsgebonden budgetten</t>
  </si>
  <si>
    <t>Opbrengst laboratoriumverrichtingen voor derden</t>
  </si>
  <si>
    <t>LNAC</t>
  </si>
  <si>
    <t>Groepsgewijs met beperkte begel.</t>
  </si>
  <si>
    <t>Groepsgewijs met volledige begel.</t>
  </si>
  <si>
    <t>Continue tot zeer intensieve begel.</t>
  </si>
  <si>
    <t>Zeer intensief met (beperkte) begel.</t>
  </si>
  <si>
    <t>Idem met intensieve begel./besch.</t>
  </si>
  <si>
    <t>Veranderingsgericht met bep. begel.</t>
  </si>
  <si>
    <t>Crisis met intensieve beg./besch.</t>
  </si>
  <si>
    <t>CONTROLEPROTOCOL NACALCULATIE</t>
  </si>
  <si>
    <t>ALGEMEEN</t>
  </si>
  <si>
    <t>Het doel en reikwijdte van het controleprotocol</t>
  </si>
  <si>
    <t>Procedure</t>
  </si>
  <si>
    <t>REIKWIJDTE VAN DE CONTROLE</t>
  </si>
  <si>
    <t>Object van de controle</t>
  </si>
  <si>
    <t>Te verrichten werkzaamheden</t>
  </si>
  <si>
    <t>2. De accountant controleert of:</t>
  </si>
  <si>
    <t>– het nacalculatieformulier juist en volledig is ingevuld met in achtneming van de aanwijzingen die zijn gegeven in het controleprotocol;</t>
  </si>
  <si>
    <t>– het nacalculatieformulier aansluit op de gecontroleerde jaarrekening v.w.b. de hiervoor relevante onderdelen;</t>
  </si>
  <si>
    <t>– de in het nacalculatieformulier opgenomen vragenlijst juist en volledig is ingevuld en de gevraagde toelichtingen volledig zijn toegevoegd.</t>
  </si>
  <si>
    <t xml:space="preserve">Indien vraag 14 met nee wordt beantwoord: Is de verwachting dat de overschrijding van het vergunningsbedrag op grond van de geldende WZV regels in de eindafrekening alsnog zal worden aanvaard? Als er geen investeringen hebben plaatsgevonden, kies dan nvt.  </t>
  </si>
  <si>
    <t>ACCOUNTANTSCONTROLE</t>
  </si>
  <si>
    <t>De accountant rapporteert over zijn controle overeenkomstig onderstaande model-accountantsverklaring en maakt in zijn verklaring melding van eventuele bevindingen.</t>
  </si>
  <si>
    <t>Vervolg CONTROLEPROTOCOL NACALCULATIE</t>
  </si>
  <si>
    <t>Accountantsverklaring</t>
  </si>
  <si>
    <t>Opdracht</t>
  </si>
  <si>
    <t>Werkzaamheden</t>
  </si>
  <si>
    <t>Bevindingen</t>
  </si>
  <si>
    <t>(indien van toepassing)</t>
  </si>
  <si>
    <t>Oordeel</t>
  </si>
  <si>
    <t>Plaats, datum</t>
  </si>
  <si>
    <t>Ondertekening</t>
  </si>
  <si>
    <t>Werkelijke productie volgens budgetformulier 2006</t>
  </si>
  <si>
    <t>Voldoet de administratieve organisatie en interne controle aan de minimale eisen zoals opgenomen in de "Kaderregeling Administratieve
Organisatie en Interne Controle AWBZ productieregistratie en facturering"?</t>
  </si>
  <si>
    <t>Het doel van het protocol is het geven van aanwijzingen aan de externe accountant van de instelling voor de controle van het nacalculatieformulier. Het controleprotocol voorkomt als zodanig controle op controle en bevordert een doelmatige controlestructuur.</t>
  </si>
  <si>
    <t>4. Nadat de periode, waarin voor de berekening van de aanvaardbare rentekosten werd uitgegaan van het rentepercentage van de oude lening is verstreken, dient u in de kolom 'einddatum rentevastperiode' de einddatum van de vervangende lening te vermelden en in de kolom '%werkelijk' het werkelijke rentepercentage van de vervangende lening.</t>
  </si>
  <si>
    <t xml:space="preserve">5. In de kolom 'N, W of V' moet een 'W' worden vermeld voor bestaande leningen waarvoor de werkelijke rentekosten aanvaardbaar zijn.  U vermeldt een 'V' als sprake is van een na 31 december 2000 afgesloten lening waarvoor een normrente is vastgesteld en die in de plaats komt van een vervroegd afgeloste lening. U vermeldt een 'N' wanneer voor de lening een normatief percentage is vastgesteld en er geen sprake is van vervanging van een vervroegd afgeloste lening. </t>
  </si>
  <si>
    <t>7. Nieuwe leningen kunt u in dit overzicht opnemen door de storting te verwerken als een negatieve aflossing. Als op de nieuwe lening in hetzelfde jaar nog wordt afgelost, kunnen deze aflossingen op de volgende regel apart worden verwerkt.</t>
  </si>
  <si>
    <t>Huishoudelijke hulp: alpha</t>
  </si>
  <si>
    <t>Omschrijving project 6.</t>
  </si>
  <si>
    <r>
      <t>datum</t>
    </r>
    <r>
      <rPr>
        <sz val="11"/>
        <rFont val="Arial"/>
        <family val="2"/>
      </rPr>
      <t xml:space="preserve"> ²</t>
    </r>
  </si>
  <si>
    <r>
      <t xml:space="preserve">verkoop </t>
    </r>
    <r>
      <rPr>
        <sz val="11"/>
        <rFont val="Arial"/>
        <family val="2"/>
      </rPr>
      <t>³</t>
    </r>
  </si>
  <si>
    <t>3.12.1</t>
  </si>
  <si>
    <t>3.12.2</t>
  </si>
  <si>
    <t>3.12.3</t>
  </si>
  <si>
    <t>¹</t>
  </si>
  <si>
    <t>²</t>
  </si>
  <si>
    <t>Gefactureerde WZV-investeringen</t>
  </si>
  <si>
    <r>
      <t xml:space="preserve">Te verklaren verschillen </t>
    </r>
    <r>
      <rPr>
        <b/>
        <sz val="11"/>
        <rFont val="Arial"/>
        <family val="2"/>
      </rPr>
      <t>¹</t>
    </r>
  </si>
  <si>
    <t>Totaal regel 2303 t/m 2314 (onderdeel A)</t>
  </si>
  <si>
    <t>Ingebruik genomen WZV-investeringen</t>
  </si>
  <si>
    <t>Ten aanzien van de cijfermatige informatie wordt opgemerkt dat slechts een deel van deze informatie rechtstreeks aan de jaarrekening kan worden ontleend.  Afwijkingen van het nacalculatieformulier ten opzichte van de gecontroleerde jaarrekening dienen expliciet te worden toegelicht in een afzonderlijke bijlage bij het nacalculatieformulier. De overige cijfermatige gegevens dienen met inachtneming van de geldende beleidsregels berekend te worden.</t>
  </si>
  <si>
    <t>3.10.1</t>
  </si>
  <si>
    <t>3.10.2</t>
  </si>
  <si>
    <t>3.10.3</t>
  </si>
  <si>
    <t>3.12</t>
  </si>
  <si>
    <t>eind-</t>
  </si>
  <si>
    <t>3. De accountant dient te controleren dat de verantwoorde gerealiseerde productie aansluit met de intern beschikbare registraties. Hij dient hierbij tevens vast te stellen dat de getroffen interne controlemaatregelen voldoende zijn ter waarborging van betrouwbare registraties.</t>
  </si>
  <si>
    <t>Afgegeven ten behoeve van College Tarieven Gezondheidszorg/Zorgautoriteit i.o.</t>
  </si>
  <si>
    <t>Vervoerskosten bij begeleiding in de GGZ ***)</t>
  </si>
  <si>
    <t xml:space="preserve">***) Zie onderbouwing regel 20 rekenstaat. Indien reeds vervoerskosten bij begeleiding in de GGZ </t>
  </si>
  <si>
    <t>Niet alle inkomsten van een instelling komen via de gebruikelijke wijze ten laste van de AWBZ. Soms is er weliswaar sprake van AWBZ- financiering maar gebeurt dat via separate declaraties. Ook betalingen door derden komen voor. Omdat in het bevoorschottingssysteem dat zorgkantoren hanteren ervan uit wordt gegaan dat het gehele budget moet worden bevoorschot, moet het bedrag van de overige inkomsten door het zorgkantoor worden verrekend met de ontvangen voorschotten. Als de verrekening achterwege zou blijven zouden de bedoelde bedragen tweemaal worden vergoed.</t>
  </si>
  <si>
    <t>Gegevens meldingsbrief  CBZ</t>
  </si>
  <si>
    <t xml:space="preserve">Norm. m² </t>
  </si>
  <si>
    <t>Wordt door de instelling voor nacalculeerbare activa gebruik gemaakt van een zogenoemde BTW-constructie? ¹)</t>
  </si>
  <si>
    <t>Onze controle is verricht in overeenstemming met in Nederland algemeen aanvaarde richtlijnen met betrekking tot controleopdrachten en met inachtneming van de aanwijzingen die CTG/ZAio heeft gegeven in het controleprotocol en de bijbehorende vragenlijst, welke deel uitmaken van het nacalculatieformulier 2005.</t>
  </si>
  <si>
    <t>Is voor de langlopende leningen die geborgd zijn door het Waarborgfonds van 22 november 1999 tot 1 januari 2001, de werkelijk verschuldigde rente verhoogd met 0,6%, gehanteerd? Indien geen langlopende leningen zijn geborgd in de genoemde periode, kies dan nvt.</t>
  </si>
  <si>
    <t>Nr./groep</t>
  </si>
  <si>
    <r>
      <t xml:space="preserve">Restant </t>
    </r>
    <r>
      <rPr>
        <b/>
        <vertAlign val="superscript"/>
        <sz val="9"/>
        <rFont val="Arial"/>
        <family val="2"/>
      </rPr>
      <t>2</t>
    </r>
  </si>
  <si>
    <t>(prijspeil 2004)</t>
  </si>
  <si>
    <t>(prijspeil 2005)</t>
  </si>
  <si>
    <t xml:space="preserve">¹ Hier de bedragen invullen van de nog te verwerken inbrengverplichtingen 2006 e.v. die al eerder zijn ingeboekt.  </t>
  </si>
  <si>
    <t>U treft deze bedragen aan op de laatste pagina van de rekenstaat onder de toekomstige budgetmutaties. Uitgaan van de meest recente rekenstaat van het jaar 2005.</t>
  </si>
  <si>
    <t>Volgens deze richtlijnen dient de controle zodanig te worden gepland en uitgevoerd dat een redelijke mate van zekerheid wordt verkregen dat het nacalculatieformulier geen onjuistheden van materieel belang bevat. Een controle omvat onder meer een onderzoek door middel van deelwaarnemingen van informatie ter onderbouwing van de bedragen en de toelichtingen in het nacalculatieformulier. Tevens omvat een controle een beoordeling van de grondslagen van financiële verslaggeving, die bij het opmaken van het nacalculatieformulier zijn toegepast en van belangrijke schattingen die de leiding van de instelling daarbij heeft gemaakt, alsmede een evaluatie van het algemene beeld van het nacalculatieformulier. Wij zijn van mening dat onze controle een deugdelijke grondslag vormt voor ons oordeel.</t>
  </si>
  <si>
    <t>Berekende</t>
  </si>
  <si>
    <t xml:space="preserve">rente </t>
  </si>
  <si>
    <t>Normatief</t>
  </si>
  <si>
    <t>Rentekosten langlopende leningen</t>
  </si>
  <si>
    <t>Afschrijving op tot en met 2000 betaalde boeterente van conversies (berekening bijvoegen)</t>
  </si>
  <si>
    <t xml:space="preserve">Gewogen schuld per periode (1 januari-data aflossingen-31 december) </t>
  </si>
  <si>
    <t>normrente</t>
  </si>
  <si>
    <t>schuld</t>
  </si>
  <si>
    <t>Specificatie in gebruikgenomen nacalculeerbare investeringen</t>
  </si>
  <si>
    <t>Vervolg specificatie in gebruik genomen nacalculeerbare investeringen</t>
  </si>
  <si>
    <t>rentevastper.</t>
  </si>
  <si>
    <t>Opmerkingen</t>
  </si>
  <si>
    <t>Direct</t>
  </si>
  <si>
    <t>Toekomstig</t>
  </si>
  <si>
    <t>Overige separaat gedeclareerde tarieven</t>
  </si>
  <si>
    <t>Pag.</t>
  </si>
  <si>
    <t>Loonkosten productie (kasbasis regel 10 rekenstaat)</t>
  </si>
  <si>
    <t>Tarief</t>
  </si>
  <si>
    <t>Verpleeggelden</t>
  </si>
  <si>
    <t>Jaarlijkse in-</t>
  </si>
  <si>
    <t>standhouding</t>
  </si>
  <si>
    <t>AIVB</t>
  </si>
  <si>
    <t>IVNB</t>
  </si>
  <si>
    <t>AI</t>
  </si>
  <si>
    <t>Materiële kosten productie (kasbasis regel 20 rekenstaat)</t>
  </si>
  <si>
    <t>K.1.7</t>
  </si>
  <si>
    <t>Logeerdagen</t>
  </si>
  <si>
    <t>Totaal zorgvernieuwingsprojecten</t>
  </si>
  <si>
    <t>Psych. crisisinterventie thuis</t>
  </si>
  <si>
    <t xml:space="preserve"> Volw./ouderen/versl.</t>
  </si>
  <si>
    <t>Kenmerk</t>
  </si>
  <si>
    <t>KHUNIN</t>
  </si>
  <si>
    <t>Werkelijke boekwaarde instandhoudingsinvesteringen (inclusief onderhanden werk)</t>
  </si>
  <si>
    <t>Geactiveerd</t>
  </si>
  <si>
    <t>Rentekosten (zie calculatiemodel rentekosten)</t>
  </si>
  <si>
    <t>CALCULATIEMODEL RENTEKOSTEN</t>
  </si>
  <si>
    <t>BIJLAGEN BIJ CALCULATIEMODEL RENTEKOSTEN</t>
  </si>
  <si>
    <t>Bijlagen bij calculatiemodel rentekosten</t>
  </si>
  <si>
    <t>Onderwerp</t>
  </si>
  <si>
    <t xml:space="preserve">Conform jaarrekening en / of </t>
  </si>
  <si>
    <t>calculatiemodel rentekosten</t>
  </si>
  <si>
    <t>rekening-</t>
  </si>
  <si>
    <t>schema</t>
  </si>
  <si>
    <t>gecombineerd</t>
  </si>
  <si>
    <t>afzonderlijk</t>
  </si>
  <si>
    <t>Per einde boekjaar</t>
  </si>
  <si>
    <t>Egalisatievoorziening onderhoud</t>
  </si>
  <si>
    <t>Volgens calculatiemodel rentekosten</t>
  </si>
  <si>
    <t>Boekwaarde onderhanden bouwprojecten</t>
  </si>
  <si>
    <t>Boekwaarde instandhoudingsinvesteringen</t>
  </si>
  <si>
    <t>Normatieve boekwaarde inventarissen en automatisering</t>
  </si>
  <si>
    <t>Gewogen schuld langlopende leningen</t>
  </si>
  <si>
    <t>Jaargemiddelde eigen vermogen e.d.</t>
  </si>
  <si>
    <t>Werkelijke boekwaarde inventaris excl. automatisering</t>
  </si>
  <si>
    <t>Werkelijke boekwaarde automatisering</t>
  </si>
  <si>
    <t>Werkelijke boekwaarde vervoersmiddelen</t>
  </si>
  <si>
    <t>Werkelijke boekwaarde overige materiele vaste activa</t>
  </si>
  <si>
    <t>(psychiatrische ziekenhuizen, RIAGG's, RIBW's en PAAZ-en)</t>
  </si>
  <si>
    <t>De werkbladen zijn met een wachtwoord beveiligd. U kunt zelf werkbladen toevoegen. Indien u een onjuistheid ontdekt verzoeken wij u dit via e-mail aan CTG/ZAio door te geven (kamer3@ctg-zaio.nl). Naast de papieren versie wordt u verzocht ook een elektronische versie bij CTG/ZAio in te dienen.</t>
  </si>
  <si>
    <t xml:space="preserve">In dit onderdeel wordt u op grond van de gelijknamige beleidsregel gevraagd de aanvullende inkomsten op te geven. Daarbij kan worden aangegeven welk deel daarvan volgens partijen vrij besteedbaar is. Na toetsing door CTG/ZAio wordt het budget opgehoogd met het bedrag van de vrij besteedbare aanvullende inkomsten en vervolgens door het zorgkantoor verrekend met de bevoorschotting. </t>
  </si>
  <si>
    <t>U wordt verzocht om hier een overzicht te verstrekken van de niet-nacalculeerbare afschrijvingskosten. Dit zijn alle afschrijvingskosten van investeringen die vallen onder de meldingsprocedure op basis van de Wet ziekenhuisvoorzieningen; de Beleidsregel loon- en materiële kosten; en de Beleidsregel investeringen in medische en overige inventarissen en in computerapparatuur en -programmatuur.</t>
  </si>
  <si>
    <t>U wordt verzocht om hier een overzicht te verstrekken van de eindafrekeningen budgettair bouwen die in 2005 zijn ontvangen. De systematiek van budgettair bouwen kan leiden tot onderschrijding of overschrijding van het budget in het kader van budgettair bouwen. De onderschrijding (=voordeel budgettair bouwen) wordt in twintig jaarlijkse termijnen toegevoegd aan het budget van de instelling, de overschrijding is voor rekening van de instelling.</t>
  </si>
  <si>
    <t>In deze rubriek worden de kosten vermeld die verbonden zijn aan de investeringen op basis van een advies van het College bouw ziekenhuisvoorzieningen dan wel van het Ministerie van VWS volgens Beleidsregel (III-855) overgangsregeling kapitaalslasten extramurale zorgverlening.</t>
  </si>
  <si>
    <t>In deze rubriek worden de investeringskosten vermeld op basis van een advies van het College bouw ziekenhuisvoorzieningen dan wel van het Ministerie van VWS volgens Beleidsregel III-855 overgangsregeling kapitaalslasten extramurale zorgverlening.</t>
  </si>
  <si>
    <t>Zowel voor uitbreidingen als voor afnames van huurpanden de kosten vermelden op prijspeil 2005. Voor afnames is dit het bedrag van de nacalculatie 2004 verhoogd met de index voor 2005 van 3,25%. Bij uitbreidingen aangeven welke WZV-vergunning hieraan ten grondslag ligt. De instelling wordt geadviseerd een specificatie bij te houden van de huurkosten in het budget. Dit kan worden uitgevoerd  door de aanvaarde huurbedragen per project te verhogen met de toegepaste index en aan te vullen met de mutaties.</t>
  </si>
  <si>
    <t>Cirkelredenering</t>
  </si>
  <si>
    <t>plaats over de kosten van methadonverstrekking, zoals vermeld in de Beleidsregel (III-922) methadonverstrekking.</t>
  </si>
  <si>
    <t xml:space="preserve"> *) Ingevolge de Beleidsregel loon- en materiële kosten is het beschikbare productiebudget het budgetmaximum.</t>
  </si>
  <si>
    <t>*) Hier worden de vervoerskosten van cliënten gevraagd die een medische indicatie voor vervoer hebben. Voorwaarde is dat de vervoerskosten van deze cliënten ten laste komen van de instelling en niet reeds via een andere weg zijn, of hadden kunnen worden bekostigd. Zie Beleidsregel (III-925) vervoerskosten bij begeleiding in de GGZ.</t>
  </si>
  <si>
    <t>Adres</t>
  </si>
  <si>
    <t>Aanschaf-</t>
  </si>
  <si>
    <t xml:space="preserve">Per </t>
  </si>
  <si>
    <t>Verkocht voor</t>
  </si>
  <si>
    <t>Kosten i.v.m.</t>
  </si>
  <si>
    <t>Boekwinst</t>
  </si>
  <si>
    <t>Bestemming boekwinst</t>
  </si>
  <si>
    <t xml:space="preserve">Klasse </t>
  </si>
  <si>
    <t>Opbouw trekkingsrechten</t>
  </si>
  <si>
    <t>Jaar</t>
  </si>
  <si>
    <t>Opbouw klasse</t>
  </si>
  <si>
    <t>Te verwerken</t>
  </si>
  <si>
    <t>Maand</t>
  </si>
  <si>
    <r>
      <t xml:space="preserve">Index </t>
    </r>
    <r>
      <rPr>
        <b/>
        <vertAlign val="superscript"/>
        <sz val="9"/>
        <rFont val="Arial"/>
        <family val="2"/>
      </rPr>
      <t>2</t>
    </r>
  </si>
  <si>
    <t>Oorzaak afname huur</t>
  </si>
  <si>
    <t>Percentages ten behoeve van berekening rentekosten</t>
  </si>
  <si>
    <t>Onderhanden bouwprojecten met WZV-vergunning (geen investeringen meldingsregeling)</t>
  </si>
  <si>
    <t>Berekening gewogen schuld en rentekosten</t>
  </si>
  <si>
    <t>Ten behoeve van de renteberekening in verband met eventuele schrikkeljaren</t>
  </si>
  <si>
    <t>Eigen vermogen RIAGG</t>
  </si>
  <si>
    <t>Eigen vermogen RIBW</t>
  </si>
  <si>
    <t>Correctiebedrag tbv aansluiting ak conform jaarrekening en ak conform nacalculatieformulier</t>
  </si>
  <si>
    <t>*) Inclusief niet collectief gefinancierd eigen vermogen behorend bij het bedrijfsonderdeel waar deze nacalculatie betrekking op heeft.</t>
  </si>
  <si>
    <t>Kapitaalslasten (voor PAAZ-en, zelfstandige RIAGG / RIBW (met uitzondering van vraag 8) niet van toepassing).</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</si>
</sst>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00"/>
    <numFmt numFmtId="167" formatCode="#,##0.0_-;#,##0.0\-"/>
    <numFmt numFmtId="168" formatCode="0.000"/>
    <numFmt numFmtId="169" formatCode="#,##0_ ;[Red]\-#,##0\ "/>
    <numFmt numFmtId="170" formatCode="#,##0.0"/>
    <numFmt numFmtId="171" formatCode="#,##0;\(#,##0\);"/>
    <numFmt numFmtId="172" formatCode="0.0"/>
    <numFmt numFmtId="173" formatCode="0.00000"/>
    <numFmt numFmtId="174" formatCode="#,##0.0000"/>
    <numFmt numFmtId="175" formatCode="dd/mm/yy"/>
    <numFmt numFmtId="176" formatCode="#,##0;\(#,##0_ \ \);"/>
    <numFmt numFmtId="177" formatCode="#,##0_ \ ;\(#,##0\)_ ;"/>
    <numFmt numFmtId="178" formatCode="#,##0\ ;\(#,##0;"/>
    <numFmt numFmtId="179" formatCode="#,##0\ ;\(#,##0\);"/>
    <numFmt numFmtId="180" formatCode="#,##0_ \ ;\(#,##0\)_ ;\ \ "/>
    <numFmt numFmtId="181" formatCode="#,##0_ ;\(#,##0\);"/>
    <numFmt numFmtId="182" formatCode="dd/mm/yy_ "/>
    <numFmt numFmtId="183" formatCode="\(#,##0\)_ ;#,##0_ \ ;\ \(* \)_ "/>
    <numFmt numFmtId="184" formatCode="#,##0_ ;\(#,##0\)_ ;"/>
    <numFmt numFmtId="185" formatCode="#,##0_ ;;"/>
    <numFmt numFmtId="186" formatCode="General\ "/>
    <numFmt numFmtId="187" formatCode="0\ ;"/>
    <numFmt numFmtId="188" formatCode="\(#,##0\);#,##0_ ;\ \(* \)_ "/>
    <numFmt numFmtId="189" formatCode="\ \ƒ* #,##0_ \ ;\ \ƒ* ;\ \ƒ* "/>
    <numFmt numFmtId="190" formatCode="\ \ \ \ 0"/>
    <numFmt numFmtId="191" formatCode="0_ "/>
    <numFmt numFmtId="192" formatCode="0;;"/>
    <numFmt numFmtId="193" formatCode="0%;\(0%\);\%"/>
    <numFmt numFmtId="194" formatCode="#,##0_ ;\(#,##0\);&quot;-/-&quot;* "/>
    <numFmt numFmtId="195" formatCode="\€* #,##0_ ;\€* \(#,##0\);\€* "/>
    <numFmt numFmtId="196" formatCode="#,##0.00_ ;\(#,##0.00\);"/>
    <numFmt numFmtId="197" formatCode="#,###.00_ ;\(#,##0.00\);"/>
    <numFmt numFmtId="198" formatCode="dd/mm/yyyy"/>
    <numFmt numFmtId="199" formatCode="###0_-;###0\-"/>
    <numFmt numFmtId="200" formatCode="#,##0.00_ ;\(#,##0.0000000\);"/>
    <numFmt numFmtId="201" formatCode="0.0%"/>
  </numFmts>
  <fonts count="39">
    <font>
      <sz val="10"/>
      <name val="Arial"/>
      <family val="0"/>
    </font>
    <font>
      <b/>
      <sz val="10"/>
      <name val="Arial"/>
      <family val="2"/>
    </font>
    <font>
      <sz val="8"/>
      <name val="Arial"/>
      <family val="2"/>
    </font>
    <font>
      <b/>
      <sz val="8"/>
      <name val="Arial"/>
      <family val="2"/>
    </font>
    <font>
      <sz val="9"/>
      <name val="Arial"/>
      <family val="2"/>
    </font>
    <font>
      <b/>
      <sz val="9"/>
      <name val="Arial"/>
      <family val="2"/>
    </font>
    <font>
      <sz val="8"/>
      <color indexed="9"/>
      <name val="Arial"/>
      <family val="2"/>
    </font>
    <font>
      <sz val="10"/>
      <name val="Helv"/>
      <family val="0"/>
    </font>
    <font>
      <b/>
      <sz val="14"/>
      <name val="Helv"/>
      <family val="0"/>
    </font>
    <font>
      <sz val="24"/>
      <color indexed="13"/>
      <name val="Helv"/>
      <family val="0"/>
    </font>
    <font>
      <b/>
      <i/>
      <sz val="8"/>
      <name val="Arial"/>
      <family val="2"/>
    </font>
    <font>
      <sz val="10"/>
      <color indexed="9"/>
      <name val="Arial"/>
      <family val="2"/>
    </font>
    <font>
      <sz val="8"/>
      <name val="Tahoma"/>
      <family val="2"/>
    </font>
    <font>
      <b/>
      <sz val="8"/>
      <color indexed="9"/>
      <name val="Arial"/>
      <family val="2"/>
    </font>
    <font>
      <b/>
      <i/>
      <sz val="9"/>
      <name val="Arial"/>
      <family val="2"/>
    </font>
    <font>
      <sz val="9"/>
      <color indexed="9"/>
      <name val="Arial"/>
      <family val="2"/>
    </font>
    <font>
      <b/>
      <sz val="9"/>
      <color indexed="9"/>
      <name val="Arial"/>
      <family val="2"/>
    </font>
    <font>
      <sz val="12"/>
      <name val="Arial"/>
      <family val="2"/>
    </font>
    <font>
      <sz val="20"/>
      <name val="Arial"/>
      <family val="2"/>
    </font>
    <font>
      <sz val="9"/>
      <color indexed="61"/>
      <name val="Arial"/>
      <family val="2"/>
    </font>
    <font>
      <i/>
      <sz val="9"/>
      <name val="Arial"/>
      <family val="2"/>
    </font>
    <font>
      <b/>
      <sz val="9"/>
      <color indexed="8"/>
      <name val="Arial"/>
      <family val="2"/>
    </font>
    <font>
      <u val="single"/>
      <sz val="10"/>
      <color indexed="12"/>
      <name val="Arial"/>
      <family val="0"/>
    </font>
    <font>
      <u val="single"/>
      <sz val="10"/>
      <color indexed="36"/>
      <name val="Arial"/>
      <family val="0"/>
    </font>
    <font>
      <vertAlign val="superscript"/>
      <sz val="9"/>
      <name val="Arial"/>
      <family val="2"/>
    </font>
    <font>
      <b/>
      <vertAlign val="superscript"/>
      <sz val="9"/>
      <name val="Arial"/>
      <family val="2"/>
    </font>
    <font>
      <b/>
      <vertAlign val="superscript"/>
      <sz val="8"/>
      <name val="Arial"/>
      <family val="2"/>
    </font>
    <font>
      <u val="single"/>
      <sz val="9"/>
      <name val="Arial"/>
      <family val="2"/>
    </font>
    <font>
      <i/>
      <sz val="8"/>
      <name val="Arial"/>
      <family val="2"/>
    </font>
    <font>
      <b/>
      <sz val="16"/>
      <name val="Arial"/>
      <family val="2"/>
    </font>
    <font>
      <b/>
      <sz val="12"/>
      <name val="Arial"/>
      <family val="2"/>
    </font>
    <font>
      <b/>
      <sz val="11"/>
      <name val="Arial"/>
      <family val="2"/>
    </font>
    <font>
      <sz val="10"/>
      <name val="Courier New"/>
      <family val="3"/>
    </font>
    <font>
      <u val="single"/>
      <sz val="10"/>
      <name val="Arial"/>
      <family val="2"/>
    </font>
    <font>
      <b/>
      <sz val="10"/>
      <name val="Courier New"/>
      <family val="3"/>
    </font>
    <font>
      <sz val="11"/>
      <name val="Arial"/>
      <family val="2"/>
    </font>
    <font>
      <b/>
      <sz val="6"/>
      <name val="Arial"/>
      <family val="2"/>
    </font>
    <font>
      <b/>
      <sz val="7.75"/>
      <name val="Arial"/>
      <family val="2"/>
    </font>
    <font>
      <vertAlign val="superscript"/>
      <sz val="5.7"/>
      <name val="Arial"/>
      <family val="2"/>
    </font>
  </fonts>
  <fills count="10">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60"/>
        <bgColor indexed="64"/>
      </patternFill>
    </fill>
    <fill>
      <patternFill patternType="solid">
        <fgColor indexed="16"/>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s>
  <borders count="79">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style="hair"/>
      <top style="hair"/>
      <bottom>
        <color indexed="63"/>
      </bottom>
    </border>
    <border>
      <left>
        <color indexed="63"/>
      </left>
      <right>
        <color indexed="63"/>
      </right>
      <top style="hair"/>
      <bottom style="hair"/>
    </border>
    <border>
      <left style="thin"/>
      <right style="thin"/>
      <top>
        <color indexed="63"/>
      </top>
      <bottom style="thin"/>
    </border>
    <border>
      <left style="thin"/>
      <right style="thin"/>
      <top style="hair"/>
      <bottom style="thin"/>
    </border>
    <border>
      <left style="thin"/>
      <right>
        <color indexed="63"/>
      </right>
      <top style="thin"/>
      <bottom style="thin"/>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style="thin"/>
    </border>
    <border>
      <left style="thin"/>
      <right style="thin"/>
      <top style="thin"/>
      <bottom>
        <color indexed="63"/>
      </bottom>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color indexed="63"/>
      </right>
      <top>
        <color indexed="63"/>
      </top>
      <bottom style="hair"/>
    </border>
    <border>
      <left style="thin"/>
      <right style="hair"/>
      <top style="hair"/>
      <bottom style="hair"/>
    </border>
    <border>
      <left style="thin"/>
      <right style="hair"/>
      <top style="hair"/>
      <bottom style="thin"/>
    </border>
    <border>
      <left style="thin"/>
      <right>
        <color indexed="63"/>
      </right>
      <top style="hair"/>
      <bottom style="hair"/>
    </border>
    <border>
      <left style="thin"/>
      <right>
        <color indexed="63"/>
      </right>
      <top style="hair"/>
      <bottom style="thin"/>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hair"/>
      <bottom>
        <color indexed="63"/>
      </bottom>
    </border>
    <border>
      <left style="hair"/>
      <right style="hair"/>
      <top style="hair"/>
      <bottom style="thin"/>
    </border>
    <border>
      <left>
        <color indexed="63"/>
      </left>
      <right style="thin"/>
      <top style="thin"/>
      <bottom>
        <color indexed="63"/>
      </bottom>
    </border>
    <border>
      <left style="hair"/>
      <right style="hair"/>
      <top>
        <color indexed="63"/>
      </top>
      <bottom style="hair"/>
    </border>
    <border>
      <left>
        <color indexed="63"/>
      </left>
      <right style="hair"/>
      <top style="thin"/>
      <bottom style="hair"/>
    </border>
    <border>
      <left style="hair"/>
      <right>
        <color indexed="63"/>
      </right>
      <top style="hair"/>
      <bottom style="thin"/>
    </border>
    <border>
      <left style="hair"/>
      <right>
        <color indexed="63"/>
      </right>
      <top style="thin"/>
      <bottom style="thin"/>
    </border>
    <border>
      <left>
        <color indexed="63"/>
      </left>
      <right style="hair"/>
      <top>
        <color indexed="63"/>
      </top>
      <bottom style="thin"/>
    </border>
    <border>
      <left style="hair"/>
      <right style="hair"/>
      <top>
        <color indexed="63"/>
      </top>
      <bottom style="thin"/>
    </border>
    <border>
      <left style="hair"/>
      <right style="hair"/>
      <top style="thin"/>
      <bottom style="thin"/>
    </border>
    <border>
      <left style="thin"/>
      <right style="hair"/>
      <top>
        <color indexed="63"/>
      </top>
      <bottom style="hair"/>
    </border>
    <border>
      <left style="thin"/>
      <right style="hair"/>
      <top style="hair"/>
      <bottom>
        <color indexed="63"/>
      </bottom>
    </border>
    <border>
      <left>
        <color indexed="63"/>
      </left>
      <right style="hair"/>
      <top>
        <color indexed="63"/>
      </top>
      <bottom style="hair"/>
    </border>
    <border>
      <left>
        <color indexed="63"/>
      </left>
      <right>
        <color indexed="63"/>
      </right>
      <top style="thin"/>
      <bottom style="hair"/>
    </border>
    <border>
      <left style="hair"/>
      <right>
        <color indexed="63"/>
      </right>
      <top style="hair"/>
      <bottom>
        <color indexed="63"/>
      </bottom>
    </border>
    <border>
      <left style="thin"/>
      <right>
        <color indexed="63"/>
      </right>
      <top style="thin"/>
      <bottom>
        <color indexed="63"/>
      </bottom>
    </border>
    <border>
      <left style="thin"/>
      <right>
        <color indexed="63"/>
      </right>
      <top>
        <color indexed="63"/>
      </top>
      <bottom style="thin"/>
    </border>
    <border>
      <left style="hair"/>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thin"/>
      <bottom style="hair"/>
    </border>
    <border>
      <left style="hair"/>
      <right style="hair"/>
      <top>
        <color indexed="63"/>
      </top>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color indexed="63"/>
      </top>
      <bottom style="hair"/>
    </border>
    <border>
      <left style="hair"/>
      <right style="thin"/>
      <top>
        <color indexed="63"/>
      </top>
      <bottom>
        <color indexed="63"/>
      </bottom>
    </border>
    <border>
      <left style="thin"/>
      <right>
        <color indexed="63"/>
      </right>
      <top style="thin"/>
      <bottom style="hair"/>
    </border>
    <border>
      <left style="thin"/>
      <right>
        <color indexed="63"/>
      </right>
      <top>
        <color indexed="63"/>
      </top>
      <bottom>
        <color indexed="63"/>
      </bottom>
    </border>
    <border>
      <left style="hair"/>
      <right>
        <color indexed="63"/>
      </right>
      <top style="thin"/>
      <bottom style="hair"/>
    </border>
    <border>
      <left>
        <color indexed="63"/>
      </left>
      <right style="hair"/>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style="hair"/>
    </border>
    <border>
      <left style="medium"/>
      <right style="medium"/>
      <top style="hair"/>
      <bottom style="medium"/>
    </border>
    <border>
      <left>
        <color indexed="63"/>
      </left>
      <right style="thin"/>
      <top style="thin"/>
      <bottom style="hair"/>
    </border>
    <border>
      <left style="hair"/>
      <right>
        <color indexed="63"/>
      </right>
      <top style="thin"/>
      <bottom>
        <color indexed="63"/>
      </bottom>
    </border>
  </borders>
  <cellStyleXfs count="49">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7" fillId="0" borderId="1">
      <alignment/>
      <protection/>
    </xf>
    <xf numFmtId="0" fontId="23"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Protection="0">
      <alignment/>
    </xf>
    <xf numFmtId="0" fontId="8" fillId="2" borderId="1">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pplyFill="0" applyBorder="0">
      <alignment/>
      <protection/>
    </xf>
    <xf numFmtId="177" fontId="4" fillId="0" borderId="2" applyFill="0" applyBorder="0">
      <alignment/>
      <protection/>
    </xf>
    <xf numFmtId="189" fontId="4" fillId="0" borderId="2" applyFill="0" applyBorder="0">
      <alignment/>
      <protection/>
    </xf>
    <xf numFmtId="183" fontId="4" fillId="0" borderId="2" applyFill="0" applyBorder="0">
      <alignment/>
      <protection/>
    </xf>
    <xf numFmtId="177" fontId="5" fillId="3" borderId="3">
      <alignment/>
      <protection/>
    </xf>
    <xf numFmtId="183" fontId="5" fillId="3" borderId="3">
      <alignment/>
      <protection/>
    </xf>
    <xf numFmtId="177" fontId="5" fillId="3" borderId="3">
      <alignment/>
      <protection/>
    </xf>
    <xf numFmtId="177" fontId="4" fillId="0" borderId="2" applyFill="0" applyBorder="0">
      <alignment/>
      <protection/>
    </xf>
    <xf numFmtId="0" fontId="7" fillId="0" borderId="1">
      <alignment/>
      <protection/>
    </xf>
    <xf numFmtId="0" fontId="9" fillId="4" borderId="0">
      <alignment/>
      <protection/>
    </xf>
    <xf numFmtId="0" fontId="8" fillId="0" borderId="4">
      <alignment/>
      <protection/>
    </xf>
    <xf numFmtId="0" fontId="8"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1893">
    <xf numFmtId="0" fontId="0" fillId="0" borderId="0" xfId="0" applyAlignment="1">
      <alignment/>
    </xf>
    <xf numFmtId="0" fontId="1" fillId="0" borderId="0" xfId="0" applyNumberFormat="1"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left"/>
      <protection hidden="1"/>
    </xf>
    <xf numFmtId="0" fontId="1" fillId="0" borderId="0" xfId="0" applyFont="1" applyBorder="1" applyAlignment="1" applyProtection="1">
      <alignment/>
      <protection hidden="1"/>
    </xf>
    <xf numFmtId="0" fontId="0" fillId="0" borderId="0" xfId="0" applyBorder="1" applyAlignment="1" applyProtection="1">
      <alignment/>
      <protection hidden="1"/>
    </xf>
    <xf numFmtId="0" fontId="2" fillId="0" borderId="5" xfId="0" applyNumberFormat="1" applyFont="1" applyBorder="1" applyAlignment="1" applyProtection="1">
      <alignment vertical="center"/>
      <protection hidden="1"/>
    </xf>
    <xf numFmtId="0" fontId="2" fillId="0" borderId="5" xfId="0" applyFont="1" applyBorder="1" applyAlignment="1" applyProtection="1">
      <alignment vertical="center"/>
      <protection hidden="1"/>
    </xf>
    <xf numFmtId="0" fontId="13" fillId="0" borderId="5" xfId="0" applyNumberFormat="1" applyFont="1" applyBorder="1" applyAlignment="1" applyProtection="1">
      <alignment vertical="center"/>
      <protection hidden="1"/>
    </xf>
    <xf numFmtId="0" fontId="6" fillId="0" borderId="5" xfId="0" applyFont="1" applyBorder="1" applyAlignment="1" applyProtection="1">
      <alignment vertical="center"/>
      <protection hidden="1"/>
    </xf>
    <xf numFmtId="187" fontId="2" fillId="0" borderId="6" xfId="0" applyNumberFormat="1" applyFont="1" applyBorder="1" applyAlignment="1" applyProtection="1">
      <alignment horizontal="right" vertical="center"/>
      <protection hidden="1"/>
    </xf>
    <xf numFmtId="0" fontId="2"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NumberFormat="1" applyFont="1" applyBorder="1" applyAlignment="1" applyProtection="1">
      <alignment horizontal="left"/>
      <protection hidden="1"/>
    </xf>
    <xf numFmtId="37" fontId="0" fillId="0" borderId="0" xfId="0" applyNumberFormat="1" applyAlignment="1" applyProtection="1">
      <alignment/>
      <protection hidden="1"/>
    </xf>
    <xf numFmtId="2" fontId="0" fillId="0" borderId="0" xfId="0" applyNumberFormat="1" applyFont="1" applyAlignment="1" applyProtection="1">
      <alignment/>
      <protection hidden="1"/>
    </xf>
    <xf numFmtId="37" fontId="0" fillId="0" borderId="0" xfId="0" applyNumberFormat="1" applyFont="1" applyAlignment="1" applyProtection="1">
      <alignment/>
      <protection hidden="1"/>
    </xf>
    <xf numFmtId="37" fontId="1" fillId="0" borderId="0" xfId="0" applyNumberFormat="1" applyFont="1" applyBorder="1" applyAlignment="1" applyProtection="1">
      <alignment horizontal="left"/>
      <protection hidden="1"/>
    </xf>
    <xf numFmtId="37" fontId="1" fillId="0" borderId="0" xfId="0" applyNumberFormat="1" applyFont="1" applyBorder="1" applyAlignment="1" applyProtection="1">
      <alignment horizontal="center"/>
      <protection hidden="1"/>
    </xf>
    <xf numFmtId="0" fontId="1" fillId="0" borderId="0" xfId="32" applyFont="1" applyBorder="1" applyAlignment="1" applyProtection="1">
      <alignment horizontal="left"/>
      <protection hidden="1"/>
    </xf>
    <xf numFmtId="0" fontId="3" fillId="0" borderId="0" xfId="0" applyNumberFormat="1" applyFont="1" applyBorder="1" applyAlignment="1" applyProtection="1">
      <alignment vertical="center"/>
      <protection hidden="1"/>
    </xf>
    <xf numFmtId="37" fontId="3" fillId="3" borderId="3" xfId="0" applyNumberFormat="1" applyFont="1" applyFill="1" applyBorder="1" applyAlignment="1" applyProtection="1">
      <alignment horizontal="left" vertical="center"/>
      <protection hidden="1"/>
    </xf>
    <xf numFmtId="37" fontId="3" fillId="3" borderId="7" xfId="0" applyNumberFormat="1" applyFont="1" applyFill="1" applyBorder="1" applyAlignment="1" applyProtection="1">
      <alignment horizontal="right" vertical="center"/>
      <protection hidden="1"/>
    </xf>
    <xf numFmtId="37" fontId="3" fillId="0" borderId="0" xfId="0" applyNumberFormat="1" applyFont="1" applyBorder="1" applyAlignment="1" applyProtection="1">
      <alignment vertical="center"/>
      <protection hidden="1"/>
    </xf>
    <xf numFmtId="37" fontId="3" fillId="3" borderId="3" xfId="0" applyNumberFormat="1" applyFont="1" applyFill="1" applyBorder="1" applyAlignment="1" applyProtection="1">
      <alignment horizontal="right" vertical="center"/>
      <protection hidden="1"/>
    </xf>
    <xf numFmtId="0" fontId="5" fillId="0" borderId="0" xfId="0" applyNumberFormat="1" applyFont="1" applyBorder="1" applyAlignment="1" applyProtection="1">
      <alignment/>
      <protection hidden="1"/>
    </xf>
    <xf numFmtId="37" fontId="5" fillId="0" borderId="0" xfId="0" applyNumberFormat="1" applyFont="1" applyBorder="1" applyAlignment="1" applyProtection="1">
      <alignment/>
      <protection hidden="1"/>
    </xf>
    <xf numFmtId="0" fontId="5" fillId="0" borderId="0" xfId="0" applyFont="1" applyBorder="1" applyAlignment="1" applyProtection="1">
      <alignment horizontal="left" vertical="top"/>
      <protection hidden="1"/>
    </xf>
    <xf numFmtId="0" fontId="5" fillId="0" borderId="0" xfId="0" applyFont="1" applyBorder="1" applyAlignment="1" applyProtection="1">
      <alignment horizontal="right" vertical="top"/>
      <protection hidden="1"/>
    </xf>
    <xf numFmtId="0" fontId="5" fillId="0" borderId="0" xfId="0" applyFont="1" applyBorder="1" applyAlignment="1" applyProtection="1">
      <alignment horizontal="right"/>
      <protection hidden="1"/>
    </xf>
    <xf numFmtId="0" fontId="5" fillId="3" borderId="8" xfId="0" applyNumberFormat="1" applyFont="1" applyFill="1" applyBorder="1" applyAlignment="1" applyProtection="1">
      <alignment horizontal="left"/>
      <protection hidden="1"/>
    </xf>
    <xf numFmtId="0" fontId="5" fillId="3" borderId="9" xfId="0" applyNumberFormat="1" applyFont="1" applyFill="1" applyBorder="1" applyAlignment="1" applyProtection="1">
      <alignment horizontal="left"/>
      <protection hidden="1"/>
    </xf>
    <xf numFmtId="37" fontId="5" fillId="0" borderId="0" xfId="0" applyNumberFormat="1" applyFont="1" applyBorder="1" applyAlignment="1" applyProtection="1">
      <alignment horizontal="left"/>
      <protection hidden="1"/>
    </xf>
    <xf numFmtId="0" fontId="5" fillId="3" borderId="10" xfId="0" applyNumberFormat="1" applyFont="1" applyFill="1" applyBorder="1" applyAlignment="1" applyProtection="1">
      <alignment horizontal="left"/>
      <protection hidden="1"/>
    </xf>
    <xf numFmtId="0" fontId="5" fillId="3" borderId="11" xfId="0" applyNumberFormat="1" applyFont="1" applyFill="1" applyBorder="1" applyAlignment="1" applyProtection="1">
      <alignment horizontal="left"/>
      <protection hidden="1"/>
    </xf>
    <xf numFmtId="37" fontId="4" fillId="0" borderId="12" xfId="0" applyNumberFormat="1" applyFont="1" applyFill="1" applyBorder="1" applyAlignment="1" applyProtection="1">
      <alignment/>
      <protection hidden="1"/>
    </xf>
    <xf numFmtId="0" fontId="5" fillId="3" borderId="3" xfId="0" applyNumberFormat="1" applyFont="1" applyFill="1" applyBorder="1" applyAlignment="1" applyProtection="1">
      <alignment horizontal="left"/>
      <protection hidden="1"/>
    </xf>
    <xf numFmtId="37" fontId="5" fillId="3" borderId="5" xfId="0" applyNumberFormat="1" applyFont="1" applyFill="1" applyBorder="1" applyAlignment="1" applyProtection="1">
      <alignment/>
      <protection hidden="1"/>
    </xf>
    <xf numFmtId="185" fontId="4" fillId="3" borderId="5" xfId="36" applyNumberFormat="1" applyFont="1" applyFill="1" applyBorder="1" applyAlignment="1" applyProtection="1">
      <alignment horizontal="left"/>
      <protection hidden="1"/>
    </xf>
    <xf numFmtId="185" fontId="4" fillId="3" borderId="5" xfId="38" applyNumberFormat="1" applyFont="1" applyFill="1" applyBorder="1" applyAlignment="1" applyProtection="1">
      <alignment/>
      <protection hidden="1"/>
    </xf>
    <xf numFmtId="0" fontId="5" fillId="0" borderId="0" xfId="0" applyNumberFormat="1" applyFont="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horizontal="left"/>
      <protection hidden="1"/>
    </xf>
    <xf numFmtId="0" fontId="5" fillId="0" borderId="0" xfId="0" applyFont="1" applyBorder="1" applyAlignment="1" applyProtection="1">
      <alignment horizontal="left"/>
      <protection hidden="1"/>
    </xf>
    <xf numFmtId="0" fontId="5" fillId="0" borderId="0" xfId="0" applyFont="1" applyBorder="1" applyAlignment="1" applyProtection="1">
      <alignment/>
      <protection hidden="1"/>
    </xf>
    <xf numFmtId="185" fontId="4" fillId="3" borderId="7" xfId="38" applyNumberFormat="1" applyFont="1" applyFill="1" applyBorder="1" applyAlignment="1" applyProtection="1">
      <alignment/>
      <protection hidden="1"/>
    </xf>
    <xf numFmtId="0" fontId="5" fillId="0" borderId="0" xfId="0" applyFont="1" applyAlignment="1" applyProtection="1">
      <alignment/>
      <protection hidden="1"/>
    </xf>
    <xf numFmtId="0" fontId="4" fillId="0" borderId="0" xfId="0" applyFont="1" applyAlignment="1" applyProtection="1">
      <alignment vertical="top"/>
      <protection hidden="1"/>
    </xf>
    <xf numFmtId="37" fontId="4" fillId="0" borderId="13" xfId="0" applyNumberFormat="1" applyFont="1" applyFill="1" applyBorder="1" applyAlignment="1" applyProtection="1">
      <alignment/>
      <protection hidden="1" locked="0"/>
    </xf>
    <xf numFmtId="0" fontId="4" fillId="0" borderId="13" xfId="0" applyFont="1" applyFill="1" applyBorder="1" applyAlignment="1" applyProtection="1">
      <alignment/>
      <protection hidden="1" locked="0"/>
    </xf>
    <xf numFmtId="0" fontId="5" fillId="3" borderId="14" xfId="0" applyNumberFormat="1" applyFont="1" applyFill="1" applyBorder="1" applyAlignment="1" applyProtection="1">
      <alignment horizontal="left"/>
      <protection hidden="1"/>
    </xf>
    <xf numFmtId="0" fontId="4" fillId="3" borderId="5" xfId="0" applyFont="1" applyFill="1" applyBorder="1" applyAlignment="1" applyProtection="1">
      <alignment/>
      <protection hidden="1"/>
    </xf>
    <xf numFmtId="0" fontId="1" fillId="0" borderId="0" xfId="0" applyNumberFormat="1" applyFont="1" applyBorder="1" applyAlignment="1" applyProtection="1">
      <alignment/>
      <protection hidden="1"/>
    </xf>
    <xf numFmtId="0" fontId="5" fillId="3" borderId="15" xfId="0" applyNumberFormat="1" applyFont="1" applyFill="1" applyBorder="1" applyAlignment="1" applyProtection="1">
      <alignment horizontal="left"/>
      <protection hidden="1"/>
    </xf>
    <xf numFmtId="37" fontId="4" fillId="0" borderId="6" xfId="0" applyNumberFormat="1" applyFont="1" applyFill="1" applyBorder="1" applyAlignment="1" applyProtection="1">
      <alignment/>
      <protection hidden="1" locked="0"/>
    </xf>
    <xf numFmtId="0" fontId="4" fillId="0" borderId="6" xfId="0" applyFont="1" applyFill="1" applyBorder="1" applyAlignment="1" applyProtection="1">
      <alignment/>
      <protection hidden="1" locked="0"/>
    </xf>
    <xf numFmtId="166" fontId="4" fillId="0" borderId="0" xfId="0" applyNumberFormat="1" applyFont="1" applyBorder="1" applyAlignment="1" applyProtection="1">
      <alignment horizontal="center"/>
      <protection hidden="1"/>
    </xf>
    <xf numFmtId="177" fontId="4" fillId="0" borderId="0" xfId="36" applyFont="1" applyBorder="1" applyAlignment="1" applyProtection="1">
      <alignment/>
      <protection hidden="1"/>
    </xf>
    <xf numFmtId="37" fontId="5" fillId="3" borderId="16" xfId="0" applyNumberFormat="1" applyFont="1" applyFill="1" applyBorder="1" applyAlignment="1" applyProtection="1">
      <alignment/>
      <protection hidden="1"/>
    </xf>
    <xf numFmtId="0" fontId="5" fillId="3" borderId="5" xfId="0" applyFont="1" applyFill="1" applyBorder="1" applyAlignment="1" applyProtection="1">
      <alignment/>
      <protection hidden="1"/>
    </xf>
    <xf numFmtId="0" fontId="5" fillId="3" borderId="7" xfId="0" applyFont="1" applyFill="1" applyBorder="1" applyAlignment="1" applyProtection="1">
      <alignment/>
      <protection hidden="1"/>
    </xf>
    <xf numFmtId="37" fontId="3" fillId="0" borderId="0" xfId="0" applyNumberFormat="1" applyFont="1" applyFill="1" applyBorder="1" applyAlignment="1" applyProtection="1">
      <alignment horizontal="right" vertical="center"/>
      <protection hidden="1"/>
    </xf>
    <xf numFmtId="186" fontId="3" fillId="0" borderId="0" xfId="0" applyNumberFormat="1" applyFont="1" applyFill="1" applyBorder="1" applyAlignment="1" applyProtection="1">
      <alignment horizontal="right" vertical="center"/>
      <protection hidden="1"/>
    </xf>
    <xf numFmtId="0" fontId="3" fillId="0" borderId="0" xfId="0" applyNumberFormat="1" applyFont="1" applyBorder="1" applyAlignment="1" applyProtection="1">
      <alignment/>
      <protection hidden="1"/>
    </xf>
    <xf numFmtId="37" fontId="3" fillId="0" borderId="0" xfId="0" applyNumberFormat="1" applyFont="1" applyBorder="1" applyAlignment="1" applyProtection="1">
      <alignment/>
      <protection hidden="1"/>
    </xf>
    <xf numFmtId="0" fontId="1" fillId="0" borderId="0" xfId="0" applyFont="1" applyBorder="1" applyAlignment="1" applyProtection="1">
      <alignment horizontal="right" vertical="top"/>
      <protection hidden="1"/>
    </xf>
    <xf numFmtId="0" fontId="1" fillId="0" borderId="0" xfId="0" applyFont="1" applyBorder="1" applyAlignment="1" applyProtection="1">
      <alignment horizontal="right"/>
      <protection hidden="1"/>
    </xf>
    <xf numFmtId="37" fontId="3" fillId="0" borderId="0" xfId="0" applyNumberFormat="1" applyFont="1" applyFill="1" applyBorder="1" applyAlignment="1" applyProtection="1">
      <alignment/>
      <protection hidden="1"/>
    </xf>
    <xf numFmtId="0" fontId="1" fillId="0" borderId="0" xfId="0" applyFont="1" applyFill="1" applyBorder="1" applyAlignment="1" applyProtection="1">
      <alignment horizontal="right" vertical="top"/>
      <protection hidden="1"/>
    </xf>
    <xf numFmtId="0" fontId="1" fillId="0" borderId="0" xfId="0" applyFont="1" applyFill="1" applyBorder="1" applyAlignment="1" applyProtection="1">
      <alignment horizontal="right"/>
      <protection hidden="1"/>
    </xf>
    <xf numFmtId="0" fontId="5" fillId="0" borderId="0" xfId="0" applyNumberFormat="1" applyFont="1" applyFill="1" applyBorder="1" applyAlignment="1" applyProtection="1">
      <alignment horizontal="left"/>
      <protection hidden="1"/>
    </xf>
    <xf numFmtId="0" fontId="5" fillId="0" borderId="0" xfId="0" applyFont="1" applyFill="1" applyBorder="1" applyAlignment="1" applyProtection="1">
      <alignment vertical="top"/>
      <protection hidden="1"/>
    </xf>
    <xf numFmtId="0" fontId="4" fillId="0" borderId="0" xfId="0" applyFont="1" applyFill="1" applyBorder="1" applyAlignment="1" applyProtection="1">
      <alignment vertical="top"/>
      <protection hidden="1"/>
    </xf>
    <xf numFmtId="0" fontId="10" fillId="0" borderId="17" xfId="0" applyNumberFormat="1" applyFont="1" applyFill="1" applyBorder="1" applyAlignment="1" applyProtection="1">
      <alignment horizontal="right"/>
      <protection hidden="1"/>
    </xf>
    <xf numFmtId="0" fontId="1" fillId="0" borderId="0" xfId="0" applyNumberFormat="1" applyFont="1" applyFill="1" applyBorder="1" applyAlignment="1" applyProtection="1">
      <alignment/>
      <protection hidden="1"/>
    </xf>
    <xf numFmtId="0" fontId="0" fillId="0" borderId="0" xfId="0" applyFill="1" applyBorder="1" applyAlignment="1" applyProtection="1">
      <alignment/>
      <protection hidden="1"/>
    </xf>
    <xf numFmtId="0" fontId="5" fillId="0" borderId="17" xfId="0" applyFont="1" applyFill="1" applyBorder="1" applyAlignment="1" applyProtection="1">
      <alignment horizontal="right"/>
      <protection hidden="1"/>
    </xf>
    <xf numFmtId="0" fontId="4" fillId="0" borderId="18" xfId="0" applyFont="1" applyFill="1" applyBorder="1" applyAlignment="1" applyProtection="1">
      <alignment/>
      <protection hidden="1"/>
    </xf>
    <xf numFmtId="177" fontId="4" fillId="0" borderId="19" xfId="36" applyFont="1" applyFill="1" applyBorder="1" applyAlignment="1" applyProtection="1">
      <alignment/>
      <protection hidden="1"/>
    </xf>
    <xf numFmtId="177" fontId="4" fillId="3" borderId="7" xfId="36" applyFont="1" applyFill="1" applyBorder="1" applyAlignment="1" applyProtection="1">
      <alignment/>
      <protection hidden="1"/>
    </xf>
    <xf numFmtId="0" fontId="5" fillId="3" borderId="2" xfId="0" applyNumberFormat="1" applyFont="1" applyFill="1" applyBorder="1" applyAlignment="1" applyProtection="1">
      <alignment horizontal="left"/>
      <protection hidden="1"/>
    </xf>
    <xf numFmtId="0" fontId="5" fillId="0" borderId="20" xfId="0" applyFont="1" applyFill="1" applyBorder="1" applyAlignment="1" applyProtection="1">
      <alignment horizontal="right"/>
      <protection hidden="1"/>
    </xf>
    <xf numFmtId="0" fontId="5" fillId="0" borderId="0" xfId="0" applyNumberFormat="1" applyFont="1" applyFill="1" applyBorder="1" applyAlignment="1" applyProtection="1">
      <alignment/>
      <protection hidden="1"/>
    </xf>
    <xf numFmtId="0" fontId="4" fillId="0" borderId="0" xfId="0" applyFont="1" applyFill="1" applyBorder="1" applyAlignment="1" applyProtection="1">
      <alignment/>
      <protection hidden="1"/>
    </xf>
    <xf numFmtId="0" fontId="1" fillId="0" borderId="0" xfId="0" applyFont="1" applyFill="1" applyBorder="1" applyAlignment="1" applyProtection="1">
      <alignment/>
      <protection hidden="1"/>
    </xf>
    <xf numFmtId="0" fontId="1" fillId="0" borderId="0" xfId="0" applyNumberFormat="1" applyFont="1" applyFill="1" applyAlignment="1" applyProtection="1">
      <alignment/>
      <protection hidden="1"/>
    </xf>
    <xf numFmtId="0" fontId="0" fillId="0" borderId="0" xfId="0" applyFill="1" applyAlignment="1" applyProtection="1">
      <alignment/>
      <protection hidden="1"/>
    </xf>
    <xf numFmtId="0" fontId="10" fillId="0" borderId="13" xfId="0" applyFont="1" applyFill="1" applyBorder="1" applyAlignment="1" applyProtection="1">
      <alignment horizontal="right"/>
      <protection hidden="1"/>
    </xf>
    <xf numFmtId="177" fontId="4" fillId="3" borderId="5" xfId="36" applyFont="1" applyFill="1" applyBorder="1" applyAlignment="1" applyProtection="1">
      <alignment/>
      <protection hidden="1"/>
    </xf>
    <xf numFmtId="0" fontId="4" fillId="0" borderId="0" xfId="0" applyFont="1" applyBorder="1" applyAlignment="1" applyProtection="1">
      <alignment/>
      <protection hidden="1"/>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0" fillId="0" borderId="0" xfId="0" applyFont="1" applyAlignment="1" applyProtection="1">
      <alignment/>
      <protection hidden="1"/>
    </xf>
    <xf numFmtId="37" fontId="5" fillId="0" borderId="0" xfId="0" applyNumberFormat="1" applyFont="1" applyAlignment="1" applyProtection="1">
      <alignment/>
      <protection hidden="1"/>
    </xf>
    <xf numFmtId="37" fontId="4" fillId="0" borderId="0" xfId="0" applyNumberFormat="1" applyFont="1" applyAlignment="1" applyProtection="1">
      <alignment/>
      <protection hidden="1"/>
    </xf>
    <xf numFmtId="0" fontId="0" fillId="0" borderId="0" xfId="0" applyFont="1" applyBorder="1" applyAlignment="1" applyProtection="1">
      <alignment/>
      <protection hidden="1"/>
    </xf>
    <xf numFmtId="2" fontId="0" fillId="0" borderId="0" xfId="0" applyNumberFormat="1" applyFont="1" applyAlignment="1" applyProtection="1">
      <alignment horizontal="left"/>
      <protection hidden="1"/>
    </xf>
    <xf numFmtId="0" fontId="1" fillId="0" borderId="0" xfId="0" applyNumberFormat="1" applyFont="1" applyBorder="1" applyAlignment="1" applyProtection="1">
      <alignment horizontal="left"/>
      <protection hidden="1"/>
    </xf>
    <xf numFmtId="0" fontId="3" fillId="0" borderId="0" xfId="0" applyFont="1" applyFill="1" applyBorder="1" applyAlignment="1" applyProtection="1">
      <alignment horizontal="left"/>
      <protection hidden="1"/>
    </xf>
    <xf numFmtId="170" fontId="3" fillId="0" borderId="0"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right"/>
      <protection hidden="1"/>
    </xf>
    <xf numFmtId="37" fontId="3"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right"/>
      <protection hidden="1"/>
    </xf>
    <xf numFmtId="0" fontId="3" fillId="0" borderId="0" xfId="0" applyFont="1" applyFill="1" applyAlignment="1" applyProtection="1">
      <alignment/>
      <protection hidden="1"/>
    </xf>
    <xf numFmtId="37" fontId="3" fillId="3" borderId="21" xfId="0" applyNumberFormat="1" applyFont="1" applyFill="1" applyBorder="1" applyAlignment="1" applyProtection="1">
      <alignment horizontal="right" vertical="center"/>
      <protection hidden="1"/>
    </xf>
    <xf numFmtId="191" fontId="3" fillId="3" borderId="14" xfId="0" applyNumberFormat="1" applyFont="1" applyFill="1" applyBorder="1" applyAlignment="1" applyProtection="1">
      <alignment horizontal="right" vertical="center"/>
      <protection hidden="1"/>
    </xf>
    <xf numFmtId="0" fontId="3" fillId="3" borderId="22" xfId="0" applyFont="1" applyFill="1" applyBorder="1" applyAlignment="1" applyProtection="1">
      <alignment horizontal="right" vertical="center"/>
      <protection hidden="1"/>
    </xf>
    <xf numFmtId="0" fontId="3" fillId="3" borderId="3" xfId="0" applyFont="1" applyFill="1" applyBorder="1" applyAlignment="1" applyProtection="1">
      <alignment horizontal="right" vertical="center"/>
      <protection hidden="1"/>
    </xf>
    <xf numFmtId="0" fontId="3" fillId="3" borderId="14" xfId="0" applyFont="1" applyFill="1" applyBorder="1" applyAlignment="1" applyProtection="1">
      <alignment horizontal="right" vertical="center"/>
      <protection hidden="1"/>
    </xf>
    <xf numFmtId="170" fontId="5" fillId="0" borderId="0" xfId="0" applyNumberFormat="1" applyFont="1" applyFill="1" applyBorder="1" applyAlignment="1" applyProtection="1">
      <alignment horizontal="left"/>
      <protection hidden="1"/>
    </xf>
    <xf numFmtId="0" fontId="5" fillId="0" borderId="0" xfId="0" applyNumberFormat="1" applyFont="1" applyFill="1" applyBorder="1" applyAlignment="1" applyProtection="1">
      <alignment horizontal="right"/>
      <protection hidden="1"/>
    </xf>
    <xf numFmtId="37" fontId="5"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0" fontId="2" fillId="0" borderId="0" xfId="0" applyNumberFormat="1" applyFont="1" applyBorder="1" applyAlignment="1" applyProtection="1">
      <alignment horizontal="left"/>
      <protection hidden="1"/>
    </xf>
    <xf numFmtId="0" fontId="3" fillId="0" borderId="0" xfId="0" applyFont="1" applyBorder="1" applyAlignment="1" applyProtection="1">
      <alignment horizontal="left"/>
      <protection hidden="1"/>
    </xf>
    <xf numFmtId="0" fontId="2"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Alignment="1" applyProtection="1">
      <alignment/>
      <protection hidden="1"/>
    </xf>
    <xf numFmtId="37" fontId="5" fillId="0" borderId="0" xfId="0" applyNumberFormat="1" applyFont="1" applyFill="1" applyBorder="1" applyAlignment="1" applyProtection="1">
      <alignment horizontal="right"/>
      <protection hidden="1"/>
    </xf>
    <xf numFmtId="0" fontId="10" fillId="0" borderId="0" xfId="0" applyFont="1" applyBorder="1" applyAlignment="1" applyProtection="1">
      <alignment horizontal="right"/>
      <protection hidden="1"/>
    </xf>
    <xf numFmtId="0" fontId="4" fillId="0" borderId="17" xfId="0" applyFont="1" applyFill="1" applyBorder="1" applyAlignment="1" applyProtection="1">
      <alignment/>
      <protection hidden="1"/>
    </xf>
    <xf numFmtId="170" fontId="0" fillId="0" borderId="0" xfId="0" applyNumberFormat="1" applyAlignment="1" applyProtection="1">
      <alignment horizontal="left"/>
      <protection hidden="1"/>
    </xf>
    <xf numFmtId="37" fontId="5" fillId="0" borderId="0" xfId="0" applyNumberFormat="1" applyFont="1" applyFill="1" applyBorder="1" applyAlignment="1" applyProtection="1">
      <alignment horizontal="right" vertical="center"/>
      <protection hidden="1"/>
    </xf>
    <xf numFmtId="0" fontId="5" fillId="0" borderId="0" xfId="32" applyFont="1" applyAlignment="1" applyProtection="1">
      <alignment horizontal="left"/>
      <protection hidden="1"/>
    </xf>
    <xf numFmtId="0" fontId="5" fillId="3" borderId="8" xfId="32" applyFont="1" applyFill="1" applyBorder="1" applyAlignment="1" applyProtection="1">
      <alignment horizontal="left"/>
      <protection hidden="1"/>
    </xf>
    <xf numFmtId="0" fontId="5" fillId="3" borderId="10" xfId="32" applyFont="1" applyFill="1" applyBorder="1" applyAlignment="1" applyProtection="1">
      <alignment horizontal="left"/>
      <protection hidden="1"/>
    </xf>
    <xf numFmtId="0" fontId="4" fillId="0" borderId="0" xfId="32" applyFont="1" applyBorder="1" applyAlignment="1" applyProtection="1">
      <alignment horizontal="center"/>
      <protection hidden="1"/>
    </xf>
    <xf numFmtId="0" fontId="5" fillId="3" borderId="15" xfId="32" applyFont="1" applyFill="1" applyBorder="1" applyAlignment="1" applyProtection="1">
      <alignment horizontal="left"/>
      <protection hidden="1"/>
    </xf>
    <xf numFmtId="0" fontId="5" fillId="3" borderId="3" xfId="32" applyFont="1" applyFill="1" applyBorder="1" applyAlignment="1" applyProtection="1">
      <alignment horizontal="left"/>
      <protection hidden="1"/>
    </xf>
    <xf numFmtId="0" fontId="5" fillId="3" borderId="3" xfId="0" applyFont="1" applyFill="1" applyBorder="1" applyAlignment="1" applyProtection="1">
      <alignment horizontal="left"/>
      <protection hidden="1"/>
    </xf>
    <xf numFmtId="0" fontId="4" fillId="0" borderId="0" xfId="32" applyFont="1" applyAlignment="1" applyProtection="1">
      <alignment horizontal="left"/>
      <protection hidden="1"/>
    </xf>
    <xf numFmtId="37" fontId="5" fillId="0" borderId="0" xfId="0" applyNumberFormat="1" applyFont="1" applyFill="1" applyBorder="1" applyAlignment="1" applyProtection="1">
      <alignment/>
      <protection hidden="1"/>
    </xf>
    <xf numFmtId="0" fontId="5" fillId="3" borderId="8" xfId="0" applyFont="1" applyFill="1" applyBorder="1" applyAlignment="1" applyProtection="1">
      <alignment horizontal="left"/>
      <protection hidden="1"/>
    </xf>
    <xf numFmtId="0" fontId="4" fillId="0" borderId="13" xfId="0" applyFont="1" applyFill="1" applyBorder="1" applyAlignment="1" applyProtection="1">
      <alignment/>
      <protection hidden="1"/>
    </xf>
    <xf numFmtId="0" fontId="5" fillId="3" borderId="10" xfId="0" applyFont="1" applyFill="1" applyBorder="1" applyAlignment="1" applyProtection="1">
      <alignment horizontal="left"/>
      <protection hidden="1"/>
    </xf>
    <xf numFmtId="182" fontId="4" fillId="0" borderId="23" xfId="0" applyNumberFormat="1" applyFont="1" applyFill="1" applyBorder="1" applyAlignment="1" applyProtection="1">
      <alignment horizontal="left"/>
      <protection hidden="1" locked="0"/>
    </xf>
    <xf numFmtId="2" fontId="0" fillId="0" borderId="0" xfId="0" applyNumberFormat="1" applyAlignment="1" applyProtection="1">
      <alignment/>
      <protection hidden="1"/>
    </xf>
    <xf numFmtId="37" fontId="0" fillId="0" borderId="0" xfId="0" applyNumberFormat="1" applyAlignment="1" applyProtection="1">
      <alignment horizontal="center"/>
      <protection hidden="1"/>
    </xf>
    <xf numFmtId="37" fontId="0" fillId="0" borderId="0" xfId="0" applyNumberFormat="1" applyBorder="1" applyAlignment="1" applyProtection="1">
      <alignment/>
      <protection hidden="1"/>
    </xf>
    <xf numFmtId="37" fontId="0" fillId="0" borderId="0" xfId="0" applyNumberFormat="1" applyBorder="1" applyAlignment="1" applyProtection="1">
      <alignment horizontal="center"/>
      <protection hidden="1"/>
    </xf>
    <xf numFmtId="190" fontId="4" fillId="0" borderId="23" xfId="0" applyNumberFormat="1" applyFont="1" applyFill="1" applyBorder="1" applyAlignment="1" applyProtection="1">
      <alignment horizontal="left"/>
      <protection hidden="1"/>
    </xf>
    <xf numFmtId="0" fontId="4" fillId="0" borderId="23" xfId="0" applyNumberFormat="1" applyFont="1" applyFill="1" applyBorder="1" applyAlignment="1" applyProtection="1">
      <alignment horizontal="left"/>
      <protection hidden="1"/>
    </xf>
    <xf numFmtId="0" fontId="4" fillId="5" borderId="24" xfId="0" applyNumberFormat="1" applyFont="1" applyFill="1" applyBorder="1" applyAlignment="1" applyProtection="1">
      <alignment horizontal="left"/>
      <protection hidden="1"/>
    </xf>
    <xf numFmtId="190" fontId="4" fillId="5" borderId="24" xfId="0" applyNumberFormat="1" applyFont="1" applyFill="1" applyBorder="1" applyAlignment="1" applyProtection="1">
      <alignment horizontal="left"/>
      <protection hidden="1"/>
    </xf>
    <xf numFmtId="0" fontId="4" fillId="3" borderId="5" xfId="0" applyNumberFormat="1" applyFont="1" applyFill="1" applyBorder="1" applyAlignment="1" applyProtection="1">
      <alignment horizontal="left"/>
      <protection hidden="1"/>
    </xf>
    <xf numFmtId="177" fontId="4" fillId="0" borderId="0" xfId="0" applyNumberFormat="1" applyFont="1" applyBorder="1" applyAlignment="1" applyProtection="1">
      <alignment/>
      <protection hidden="1"/>
    </xf>
    <xf numFmtId="49" fontId="4" fillId="0" borderId="0" xfId="0" applyNumberFormat="1" applyFont="1" applyBorder="1" applyAlignment="1" applyProtection="1">
      <alignment horizontal="center"/>
      <protection hidden="1"/>
    </xf>
    <xf numFmtId="183" fontId="4" fillId="6" borderId="23" xfId="38" applyFont="1" applyFill="1" applyBorder="1" applyAlignment="1" applyProtection="1">
      <alignment horizontal="right"/>
      <protection hidden="1"/>
    </xf>
    <xf numFmtId="49" fontId="5" fillId="6" borderId="25" xfId="0" applyNumberFormat="1" applyFont="1" applyFill="1" applyBorder="1" applyAlignment="1" applyProtection="1">
      <alignment horizontal="left"/>
      <protection hidden="1"/>
    </xf>
    <xf numFmtId="183" fontId="4" fillId="0" borderId="0" xfId="38" applyFont="1" applyFill="1" applyBorder="1" applyAlignment="1" applyProtection="1">
      <alignment horizontal="right"/>
      <protection hidden="1"/>
    </xf>
    <xf numFmtId="49" fontId="5" fillId="0" borderId="0" xfId="0" applyNumberFormat="1" applyFont="1" applyFill="1" applyBorder="1" applyAlignment="1" applyProtection="1">
      <alignment horizontal="left"/>
      <protection hidden="1"/>
    </xf>
    <xf numFmtId="49" fontId="5" fillId="0" borderId="13" xfId="0" applyNumberFormat="1" applyFont="1" applyFill="1" applyBorder="1" applyAlignment="1" applyProtection="1">
      <alignment horizontal="left"/>
      <protection hidden="1"/>
    </xf>
    <xf numFmtId="49" fontId="5" fillId="0" borderId="6" xfId="0" applyNumberFormat="1" applyFont="1" applyFill="1" applyBorder="1" applyAlignment="1" applyProtection="1">
      <alignment horizontal="left"/>
      <protection hidden="1"/>
    </xf>
    <xf numFmtId="49" fontId="5" fillId="3" borderId="5" xfId="0" applyNumberFormat="1" applyFont="1" applyFill="1" applyBorder="1" applyAlignment="1" applyProtection="1">
      <alignment horizontal="left"/>
      <protection hidden="1"/>
    </xf>
    <xf numFmtId="49" fontId="0" fillId="0" borderId="0" xfId="0" applyNumberFormat="1" applyFont="1" applyBorder="1" applyAlignment="1" applyProtection="1">
      <alignment horizontal="center"/>
      <protection hidden="1"/>
    </xf>
    <xf numFmtId="49" fontId="5" fillId="0" borderId="0" xfId="0" applyNumberFormat="1" applyFont="1" applyFill="1" applyBorder="1" applyAlignment="1" applyProtection="1">
      <alignment horizontal="right"/>
      <protection hidden="1"/>
    </xf>
    <xf numFmtId="49" fontId="4" fillId="0" borderId="0" xfId="0" applyNumberFormat="1" applyFont="1" applyAlignment="1" applyProtection="1">
      <alignment/>
      <protection hidden="1"/>
    </xf>
    <xf numFmtId="49" fontId="4" fillId="0" borderId="13" xfId="0" applyNumberFormat="1" applyFont="1" applyFill="1" applyBorder="1" applyAlignment="1" applyProtection="1">
      <alignment horizontal="left"/>
      <protection hidden="1"/>
    </xf>
    <xf numFmtId="0" fontId="5" fillId="0" borderId="6" xfId="0" applyNumberFormat="1" applyFont="1" applyBorder="1" applyAlignment="1" applyProtection="1">
      <alignment horizontal="left"/>
      <protection hidden="1"/>
    </xf>
    <xf numFmtId="37" fontId="5" fillId="0" borderId="0" xfId="0" applyNumberFormat="1" applyFont="1" applyBorder="1" applyAlignment="1" applyProtection="1">
      <alignment horizontal="right"/>
      <protection hidden="1"/>
    </xf>
    <xf numFmtId="37" fontId="5" fillId="0" borderId="0" xfId="0" applyNumberFormat="1" applyFont="1" applyBorder="1" applyAlignment="1" applyProtection="1">
      <alignment horizontal="right" vertical="top"/>
      <protection hidden="1"/>
    </xf>
    <xf numFmtId="0" fontId="2" fillId="0" borderId="0" xfId="0" applyNumberFormat="1" applyFont="1" applyBorder="1" applyAlignment="1" applyProtection="1">
      <alignment/>
      <protection hidden="1"/>
    </xf>
    <xf numFmtId="37" fontId="4" fillId="0" borderId="0" xfId="0" applyNumberFormat="1" applyFont="1" applyBorder="1" applyAlignment="1" applyProtection="1">
      <alignment/>
      <protection hidden="1"/>
    </xf>
    <xf numFmtId="37" fontId="4" fillId="0" borderId="0" xfId="0" applyNumberFormat="1" applyFont="1" applyBorder="1" applyAlignment="1" applyProtection="1">
      <alignment horizontal="left"/>
      <protection hidden="1"/>
    </xf>
    <xf numFmtId="37" fontId="4" fillId="0" borderId="0" xfId="0" applyNumberFormat="1" applyFont="1" applyBorder="1" applyAlignment="1" applyProtection="1">
      <alignment horizontal="center"/>
      <protection hidden="1"/>
    </xf>
    <xf numFmtId="0" fontId="4" fillId="0" borderId="0" xfId="0" applyNumberFormat="1" applyFont="1" applyBorder="1" applyAlignment="1" applyProtection="1">
      <alignment/>
      <protection hidden="1"/>
    </xf>
    <xf numFmtId="3" fontId="4" fillId="0" borderId="0" xfId="0" applyNumberFormat="1" applyFont="1" applyAlignment="1" applyProtection="1">
      <alignment horizontal="left"/>
      <protection hidden="1"/>
    </xf>
    <xf numFmtId="3" fontId="4" fillId="0" borderId="0" xfId="0" applyNumberFormat="1" applyFont="1" applyAlignment="1" applyProtection="1">
      <alignment/>
      <protection hidden="1"/>
    </xf>
    <xf numFmtId="0" fontId="5" fillId="0" borderId="0" xfId="0" applyNumberFormat="1" applyFont="1" applyAlignment="1" applyProtection="1">
      <alignment vertical="center"/>
      <protection hidden="1"/>
    </xf>
    <xf numFmtId="0" fontId="4" fillId="3" borderId="26" xfId="0" applyFont="1" applyFill="1" applyBorder="1" applyAlignment="1" applyProtection="1">
      <alignment horizontal="left"/>
      <protection hidden="1"/>
    </xf>
    <xf numFmtId="0" fontId="4" fillId="3" borderId="0" xfId="0" applyFont="1" applyFill="1" applyBorder="1" applyAlignment="1" applyProtection="1">
      <alignment horizontal="left"/>
      <protection hidden="1"/>
    </xf>
    <xf numFmtId="0" fontId="4" fillId="3" borderId="0" xfId="0" applyFont="1" applyFill="1" applyBorder="1" applyAlignment="1" applyProtection="1">
      <alignment/>
      <protection hidden="1"/>
    </xf>
    <xf numFmtId="0" fontId="5" fillId="3" borderId="5" xfId="0" applyFont="1" applyFill="1" applyBorder="1" applyAlignment="1" applyProtection="1">
      <alignment horizontal="left"/>
      <protection hidden="1"/>
    </xf>
    <xf numFmtId="0" fontId="3" fillId="0" borderId="0" xfId="0" applyNumberFormat="1" applyFont="1" applyFill="1" applyBorder="1" applyAlignment="1" applyProtection="1">
      <alignment horizontal="left"/>
      <protection hidden="1"/>
    </xf>
    <xf numFmtId="0" fontId="5" fillId="0" borderId="0" xfId="0" applyFont="1" applyBorder="1" applyAlignment="1" applyProtection="1">
      <alignment horizontal="center"/>
      <protection hidden="1"/>
    </xf>
    <xf numFmtId="0" fontId="4" fillId="0" borderId="27" xfId="0" applyFont="1" applyFill="1" applyBorder="1" applyAlignment="1" applyProtection="1">
      <alignment horizontal="left"/>
      <protection hidden="1"/>
    </xf>
    <xf numFmtId="0" fontId="4" fillId="0" borderId="28" xfId="0" applyFont="1" applyFill="1" applyBorder="1" applyAlignment="1" applyProtection="1">
      <alignment/>
      <protection hidden="1"/>
    </xf>
    <xf numFmtId="0" fontId="4" fillId="0" borderId="0" xfId="0" applyFont="1" applyFill="1" applyAlignment="1" applyProtection="1">
      <alignment vertical="center"/>
      <protection hidden="1"/>
    </xf>
    <xf numFmtId="37" fontId="4" fillId="0" borderId="0" xfId="0" applyNumberFormat="1" applyFont="1" applyFill="1" applyAlignment="1" applyProtection="1">
      <alignment vertical="center"/>
      <protection hidden="1"/>
    </xf>
    <xf numFmtId="3" fontId="4" fillId="0" borderId="29" xfId="0" applyNumberFormat="1" applyFont="1" applyFill="1" applyBorder="1" applyAlignment="1" applyProtection="1">
      <alignment horizontal="left"/>
      <protection hidden="1"/>
    </xf>
    <xf numFmtId="0" fontId="4" fillId="0" borderId="29" xfId="0" applyFont="1" applyFill="1" applyBorder="1" applyAlignment="1" applyProtection="1">
      <alignment horizontal="left"/>
      <protection hidden="1"/>
    </xf>
    <xf numFmtId="3" fontId="4" fillId="0" borderId="30" xfId="0" applyNumberFormat="1" applyFont="1" applyFill="1" applyBorder="1" applyAlignment="1" applyProtection="1">
      <alignment horizontal="left"/>
      <protection hidden="1"/>
    </xf>
    <xf numFmtId="0" fontId="4" fillId="0" borderId="19" xfId="0" applyFont="1" applyFill="1" applyBorder="1" applyAlignment="1" applyProtection="1">
      <alignment/>
      <protection hidden="1"/>
    </xf>
    <xf numFmtId="0" fontId="0" fillId="0" borderId="0" xfId="0" applyFill="1" applyBorder="1" applyAlignment="1" applyProtection="1">
      <alignment vertical="center"/>
      <protection hidden="1"/>
    </xf>
    <xf numFmtId="0" fontId="4" fillId="0" borderId="0" xfId="0" applyFont="1" applyAlignment="1" applyProtection="1">
      <alignment horizontal="center"/>
      <protection hidden="1"/>
    </xf>
    <xf numFmtId="0" fontId="4" fillId="3" borderId="16" xfId="0" applyNumberFormat="1" applyFont="1" applyFill="1" applyBorder="1" applyAlignment="1" applyProtection="1">
      <alignment horizontal="left"/>
      <protection hidden="1"/>
    </xf>
    <xf numFmtId="0" fontId="4" fillId="0" borderId="31" xfId="0" applyNumberFormat="1" applyFont="1" applyFill="1" applyBorder="1" applyAlignment="1" applyProtection="1">
      <alignment horizontal="center"/>
      <protection hidden="1"/>
    </xf>
    <xf numFmtId="0" fontId="4" fillId="3" borderId="3" xfId="0" applyNumberFormat="1" applyFont="1" applyFill="1" applyBorder="1" applyAlignment="1" applyProtection="1">
      <alignment horizontal="left"/>
      <protection hidden="1"/>
    </xf>
    <xf numFmtId="0" fontId="4" fillId="0" borderId="13" xfId="0" applyNumberFormat="1" applyFont="1" applyFill="1" applyBorder="1" applyAlignment="1" applyProtection="1">
      <alignment horizontal="left"/>
      <protection hidden="1"/>
    </xf>
    <xf numFmtId="0" fontId="0" fillId="0" borderId="17" xfId="0" applyBorder="1" applyAlignment="1" applyProtection="1">
      <alignment/>
      <protection hidden="1"/>
    </xf>
    <xf numFmtId="0" fontId="4" fillId="0" borderId="32" xfId="0" applyFont="1" applyFill="1" applyBorder="1" applyAlignment="1" applyProtection="1">
      <alignment/>
      <protection hidden="1"/>
    </xf>
    <xf numFmtId="0" fontId="0" fillId="0" borderId="12" xfId="0" applyBorder="1" applyAlignment="1" applyProtection="1">
      <alignment/>
      <protection hidden="1"/>
    </xf>
    <xf numFmtId="0" fontId="5" fillId="0" borderId="5" xfId="0" applyFont="1" applyFill="1" applyBorder="1" applyAlignment="1" applyProtection="1">
      <alignment/>
      <protection hidden="1"/>
    </xf>
    <xf numFmtId="0" fontId="0" fillId="0" borderId="7" xfId="0" applyFill="1" applyBorder="1" applyAlignment="1" applyProtection="1">
      <alignment/>
      <protection hidden="1"/>
    </xf>
    <xf numFmtId="177" fontId="5" fillId="3" borderId="3" xfId="39" applyAlignment="1">
      <alignment/>
      <protection/>
    </xf>
    <xf numFmtId="0" fontId="5" fillId="0" borderId="33" xfId="0" applyFont="1" applyFill="1" applyBorder="1" applyAlignment="1" applyProtection="1">
      <alignment horizontal="right" vertical="top"/>
      <protection hidden="1"/>
    </xf>
    <xf numFmtId="0" fontId="3" fillId="0" borderId="0" xfId="0" applyNumberFormat="1" applyFont="1" applyFill="1" applyBorder="1" applyAlignment="1" applyProtection="1">
      <alignment vertical="center"/>
      <protection hidden="1"/>
    </xf>
    <xf numFmtId="0" fontId="3" fillId="3" borderId="21" xfId="0" applyFont="1" applyFill="1" applyBorder="1" applyAlignment="1" applyProtection="1">
      <alignment horizontal="right" vertical="center"/>
      <protection hidden="1"/>
    </xf>
    <xf numFmtId="37" fontId="3" fillId="0" borderId="34" xfId="0" applyNumberFormat="1" applyFont="1" applyFill="1" applyBorder="1" applyAlignment="1" applyProtection="1">
      <alignment vertical="center"/>
      <protection hidden="1"/>
    </xf>
    <xf numFmtId="0" fontId="3" fillId="0" borderId="0" xfId="0" applyFont="1" applyBorder="1" applyAlignment="1" applyProtection="1">
      <alignment horizontal="left" vertical="center"/>
      <protection hidden="1"/>
    </xf>
    <xf numFmtId="0" fontId="3" fillId="0" borderId="0" xfId="0" applyNumberFormat="1" applyFont="1" applyBorder="1" applyAlignment="1" applyProtection="1">
      <alignment horizontal="center" vertical="center"/>
      <protection hidden="1"/>
    </xf>
    <xf numFmtId="0" fontId="3" fillId="3" borderId="21" xfId="0" applyNumberFormat="1" applyFont="1" applyFill="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37" fontId="3" fillId="0" borderId="0" xfId="0" applyNumberFormat="1" applyFont="1" applyBorder="1" applyAlignment="1" applyProtection="1">
      <alignment horizontal="center" vertical="center"/>
      <protection hidden="1"/>
    </xf>
    <xf numFmtId="37" fontId="3" fillId="3" borderId="14" xfId="0" applyNumberFormat="1" applyFont="1" applyFill="1" applyBorder="1" applyAlignment="1" applyProtection="1">
      <alignment horizontal="right" vertical="center"/>
      <protection hidden="1"/>
    </xf>
    <xf numFmtId="49" fontId="3" fillId="3" borderId="3" xfId="0" applyNumberFormat="1" applyFont="1" applyFill="1" applyBorder="1" applyAlignment="1" applyProtection="1">
      <alignment horizontal="center" vertical="center"/>
      <protection hidden="1"/>
    </xf>
    <xf numFmtId="0" fontId="3" fillId="3" borderId="3" xfId="0" applyFont="1" applyFill="1" applyBorder="1" applyAlignment="1" applyProtection="1">
      <alignment horizontal="right"/>
      <protection hidden="1"/>
    </xf>
    <xf numFmtId="37" fontId="3" fillId="0" borderId="34" xfId="0" applyNumberFormat="1" applyFont="1" applyBorder="1" applyAlignment="1" applyProtection="1">
      <alignment vertical="center"/>
      <protection hidden="1"/>
    </xf>
    <xf numFmtId="37" fontId="3" fillId="3" borderId="16" xfId="0" applyNumberFormat="1" applyFont="1" applyFill="1" applyBorder="1" applyAlignment="1" applyProtection="1">
      <alignment horizontal="center" vertical="center"/>
      <protection hidden="1"/>
    </xf>
    <xf numFmtId="37" fontId="3" fillId="3" borderId="2" xfId="0" applyNumberFormat="1" applyFont="1" applyFill="1" applyBorder="1" applyAlignment="1" applyProtection="1">
      <alignment horizontal="right" vertical="center"/>
      <protection hidden="1"/>
    </xf>
    <xf numFmtId="0" fontId="3" fillId="0" borderId="0" xfId="0" applyNumberFormat="1" applyFont="1" applyBorder="1" applyAlignment="1" applyProtection="1">
      <alignment horizontal="left" vertical="center"/>
      <protection hidden="1"/>
    </xf>
    <xf numFmtId="37" fontId="3" fillId="3" borderId="3" xfId="0" applyNumberFormat="1" applyFont="1" applyFill="1" applyBorder="1" applyAlignment="1" applyProtection="1">
      <alignment horizontal="center" vertical="center"/>
      <protection hidden="1"/>
    </xf>
    <xf numFmtId="0" fontId="3" fillId="0" borderId="34" xfId="0" applyNumberFormat="1" applyFont="1" applyBorder="1" applyAlignment="1" applyProtection="1">
      <alignment horizontal="left" vertical="center"/>
      <protection hidden="1"/>
    </xf>
    <xf numFmtId="3" fontId="3" fillId="3" borderId="21" xfId="0" applyNumberFormat="1" applyFont="1" applyFill="1" applyBorder="1" applyAlignment="1" applyProtection="1">
      <alignment horizontal="left" vertical="center"/>
      <protection hidden="1"/>
    </xf>
    <xf numFmtId="3" fontId="3" fillId="3" borderId="21" xfId="0" applyNumberFormat="1" applyFont="1" applyFill="1" applyBorder="1" applyAlignment="1" applyProtection="1">
      <alignment horizontal="right" vertical="center"/>
      <protection hidden="1"/>
    </xf>
    <xf numFmtId="0" fontId="3" fillId="0" borderId="34" xfId="0" applyNumberFormat="1" applyFont="1" applyBorder="1" applyAlignment="1" applyProtection="1">
      <alignment horizontal="center" vertical="center"/>
      <protection hidden="1"/>
    </xf>
    <xf numFmtId="3" fontId="3" fillId="3" borderId="14" xfId="0" applyNumberFormat="1" applyFont="1" applyFill="1" applyBorder="1" applyAlignment="1" applyProtection="1">
      <alignment horizontal="center" vertical="center"/>
      <protection hidden="1"/>
    </xf>
    <xf numFmtId="2" fontId="3" fillId="3" borderId="14" xfId="0" applyNumberFormat="1" applyFont="1" applyFill="1" applyBorder="1" applyAlignment="1" applyProtection="1">
      <alignment horizontal="right" vertical="center"/>
      <protection hidden="1"/>
    </xf>
    <xf numFmtId="3" fontId="3" fillId="3" borderId="6" xfId="0" applyNumberFormat="1" applyFont="1" applyFill="1" applyBorder="1" applyAlignment="1" applyProtection="1">
      <alignment horizontal="right" vertical="center"/>
      <protection hidden="1"/>
    </xf>
    <xf numFmtId="3" fontId="3" fillId="3" borderId="3" xfId="0" applyNumberFormat="1" applyFont="1" applyFill="1" applyBorder="1" applyAlignment="1" applyProtection="1">
      <alignment horizontal="center" vertical="center"/>
      <protection hidden="1"/>
    </xf>
    <xf numFmtId="37" fontId="3" fillId="3" borderId="3" xfId="0" applyNumberFormat="1" applyFont="1" applyFill="1" applyBorder="1" applyAlignment="1" applyProtection="1">
      <alignment horizontal="right"/>
      <protection hidden="1"/>
    </xf>
    <xf numFmtId="0" fontId="2" fillId="0" borderId="0" xfId="0" applyFont="1" applyBorder="1" applyAlignment="1" applyProtection="1">
      <alignment horizontal="center" vertical="center"/>
      <protection hidden="1"/>
    </xf>
    <xf numFmtId="14" fontId="3" fillId="3" borderId="3" xfId="0" applyNumberFormat="1" applyFont="1" applyFill="1" applyBorder="1" applyAlignment="1" applyProtection="1">
      <alignment horizontal="right" vertical="center"/>
      <protection hidden="1"/>
    </xf>
    <xf numFmtId="49" fontId="4" fillId="0" borderId="18" xfId="0" applyNumberFormat="1" applyFont="1" applyFill="1" applyBorder="1" applyAlignment="1" applyProtection="1">
      <alignment horizontal="left"/>
      <protection hidden="1"/>
    </xf>
    <xf numFmtId="0" fontId="5" fillId="0" borderId="0" xfId="0" applyFont="1" applyFill="1" applyBorder="1" applyAlignment="1" applyProtection="1">
      <alignment/>
      <protection hidden="1"/>
    </xf>
    <xf numFmtId="37" fontId="20" fillId="0" borderId="13" xfId="0" applyNumberFormat="1" applyFont="1" applyFill="1" applyBorder="1" applyAlignment="1" applyProtection="1">
      <alignment/>
      <protection hidden="1" locked="0"/>
    </xf>
    <xf numFmtId="0" fontId="2" fillId="0" borderId="0" xfId="0" applyFont="1" applyAlignment="1" applyProtection="1">
      <alignment horizontal="left"/>
      <protection hidden="1"/>
    </xf>
    <xf numFmtId="49" fontId="4" fillId="0" borderId="0" xfId="0" applyNumberFormat="1" applyFont="1" applyFill="1" applyBorder="1" applyAlignment="1" applyProtection="1">
      <alignment horizontal="left"/>
      <protection hidden="1"/>
    </xf>
    <xf numFmtId="9" fontId="5" fillId="3" borderId="5" xfId="39" applyNumberFormat="1" applyFont="1" applyFill="1" applyBorder="1" applyAlignment="1" applyProtection="1">
      <alignment horizontal="right"/>
      <protection hidden="1"/>
    </xf>
    <xf numFmtId="0" fontId="10" fillId="0" borderId="0" xfId="32" applyFont="1" applyBorder="1" applyAlignment="1" applyProtection="1">
      <alignment horizontal="right"/>
      <protection hidden="1"/>
    </xf>
    <xf numFmtId="0" fontId="14" fillId="0" borderId="0" xfId="0" applyNumberFormat="1" applyFont="1" applyBorder="1" applyAlignment="1" applyProtection="1">
      <alignment horizontal="left"/>
      <protection hidden="1"/>
    </xf>
    <xf numFmtId="37" fontId="2" fillId="0" borderId="0" xfId="0" applyNumberFormat="1" applyFont="1" applyBorder="1" applyAlignment="1" applyProtection="1">
      <alignment vertical="center"/>
      <protection hidden="1"/>
    </xf>
    <xf numFmtId="0" fontId="3" fillId="3" borderId="3"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Alignment="1" applyProtection="1">
      <alignment horizontal="right"/>
      <protection hidden="1"/>
    </xf>
    <xf numFmtId="37" fontId="4" fillId="0" borderId="32" xfId="0" applyNumberFormat="1" applyFont="1" applyFill="1" applyBorder="1" applyAlignment="1" applyProtection="1">
      <alignment/>
      <protection hidden="1"/>
    </xf>
    <xf numFmtId="0" fontId="4" fillId="0" borderId="33" xfId="0" applyFont="1" applyBorder="1" applyAlignment="1" applyProtection="1">
      <alignment horizontal="left"/>
      <protection hidden="1"/>
    </xf>
    <xf numFmtId="183" fontId="4" fillId="0" borderId="25" xfId="38" applyBorder="1" applyAlignment="1" applyProtection="1">
      <alignment/>
      <protection hidden="1"/>
    </xf>
    <xf numFmtId="49" fontId="4" fillId="0" borderId="35"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right" vertical="center"/>
      <protection hidden="1"/>
    </xf>
    <xf numFmtId="49" fontId="3" fillId="0" borderId="0" xfId="0" applyNumberFormat="1" applyFont="1" applyFill="1" applyBorder="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177" fontId="4" fillId="0" borderId="36" xfId="36" applyBorder="1" applyAlignment="1" applyProtection="1">
      <alignment/>
      <protection hidden="1"/>
    </xf>
    <xf numFmtId="0" fontId="3" fillId="3" borderId="21" xfId="0" applyFont="1" applyFill="1" applyBorder="1" applyAlignment="1" applyProtection="1">
      <alignment horizontal="right"/>
      <protection hidden="1"/>
    </xf>
    <xf numFmtId="0" fontId="3" fillId="3" borderId="7" xfId="0" applyFont="1" applyFill="1" applyBorder="1" applyAlignment="1" applyProtection="1">
      <alignment horizontal="right"/>
      <protection hidden="1"/>
    </xf>
    <xf numFmtId="0" fontId="3" fillId="3" borderId="14" xfId="0" applyFont="1" applyFill="1" applyBorder="1" applyAlignment="1" applyProtection="1">
      <alignment horizontal="right"/>
      <protection hidden="1"/>
    </xf>
    <xf numFmtId="49" fontId="4" fillId="0" borderId="19" xfId="0" applyNumberFormat="1" applyFont="1" applyFill="1" applyBorder="1" applyAlignment="1" applyProtection="1">
      <alignment horizontal="left"/>
      <protection hidden="1" locked="0"/>
    </xf>
    <xf numFmtId="49" fontId="4" fillId="0" borderId="32" xfId="0" applyNumberFormat="1" applyFont="1" applyFill="1" applyBorder="1" applyAlignment="1" applyProtection="1">
      <alignment horizontal="left"/>
      <protection hidden="1" locked="0"/>
    </xf>
    <xf numFmtId="49" fontId="4" fillId="0" borderId="0" xfId="0" applyNumberFormat="1" applyFont="1" applyFill="1" applyBorder="1" applyAlignment="1" applyProtection="1">
      <alignment horizontal="left"/>
      <protection hidden="1" locked="0"/>
    </xf>
    <xf numFmtId="0" fontId="3" fillId="3" borderId="37" xfId="0" applyFont="1" applyFill="1" applyBorder="1" applyAlignment="1" applyProtection="1">
      <alignment horizontal="right"/>
      <protection hidden="1"/>
    </xf>
    <xf numFmtId="0" fontId="4" fillId="0" borderId="38" xfId="0" applyNumberFormat="1" applyFont="1" applyFill="1" applyBorder="1" applyAlignment="1" applyProtection="1">
      <alignment horizontal="left"/>
      <protection hidden="1"/>
    </xf>
    <xf numFmtId="0" fontId="4" fillId="0" borderId="32" xfId="0" applyNumberFormat="1" applyFont="1" applyFill="1" applyBorder="1" applyAlignment="1" applyProtection="1">
      <alignment horizontal="left"/>
      <protection hidden="1"/>
    </xf>
    <xf numFmtId="190" fontId="4" fillId="0" borderId="39" xfId="0" applyNumberFormat="1" applyFont="1" applyFill="1" applyBorder="1" applyAlignment="1" applyProtection="1">
      <alignment horizontal="left"/>
      <protection hidden="1"/>
    </xf>
    <xf numFmtId="0" fontId="4" fillId="0" borderId="12" xfId="0" applyFont="1" applyFill="1" applyBorder="1" applyAlignment="1" applyProtection="1">
      <alignment/>
      <protection hidden="1"/>
    </xf>
    <xf numFmtId="0" fontId="20" fillId="0" borderId="29" xfId="0" applyFont="1" applyFill="1" applyBorder="1" applyAlignment="1" applyProtection="1">
      <alignment horizontal="left"/>
      <protection hidden="1"/>
    </xf>
    <xf numFmtId="3" fontId="20" fillId="0" borderId="29" xfId="0" applyNumberFormat="1" applyFont="1" applyFill="1" applyBorder="1" applyAlignment="1" applyProtection="1">
      <alignment horizontal="left"/>
      <protection hidden="1"/>
    </xf>
    <xf numFmtId="3" fontId="20" fillId="0" borderId="35" xfId="0" applyNumberFormat="1" applyFont="1" applyFill="1" applyBorder="1" applyAlignment="1" applyProtection="1">
      <alignment horizontal="left"/>
      <protection hidden="1"/>
    </xf>
    <xf numFmtId="3" fontId="20" fillId="0" borderId="30" xfId="0" applyNumberFormat="1" applyFont="1" applyFill="1" applyBorder="1" applyAlignment="1" applyProtection="1">
      <alignment horizontal="left"/>
      <protection hidden="1"/>
    </xf>
    <xf numFmtId="0" fontId="2" fillId="0" borderId="0" xfId="0" applyNumberFormat="1" applyFont="1" applyBorder="1" applyAlignment="1" applyProtection="1">
      <alignment vertical="center"/>
      <protection hidden="1"/>
    </xf>
    <xf numFmtId="0" fontId="2" fillId="0" borderId="0" xfId="0" applyNumberFormat="1" applyFont="1" applyAlignment="1" applyProtection="1">
      <alignment/>
      <protection hidden="1"/>
    </xf>
    <xf numFmtId="0" fontId="3" fillId="3" borderId="8" xfId="0" applyNumberFormat="1" applyFont="1" applyFill="1" applyBorder="1" applyAlignment="1" applyProtection="1">
      <alignment horizontal="left"/>
      <protection hidden="1"/>
    </xf>
    <xf numFmtId="177" fontId="5" fillId="3" borderId="3" xfId="39" applyFont="1" applyFill="1" applyBorder="1" applyAlignment="1" applyProtection="1">
      <alignment/>
      <protection hidden="1"/>
    </xf>
    <xf numFmtId="192" fontId="4" fillId="0" borderId="13" xfId="0" applyNumberFormat="1" applyFont="1" applyFill="1" applyBorder="1" applyAlignment="1" applyProtection="1">
      <alignment/>
      <protection hidden="1" locked="0"/>
    </xf>
    <xf numFmtId="192" fontId="4" fillId="0" borderId="40" xfId="0" applyNumberFormat="1" applyFont="1" applyFill="1" applyBorder="1" applyAlignment="1" applyProtection="1">
      <alignment horizontal="left"/>
      <protection hidden="1" locked="0"/>
    </xf>
    <xf numFmtId="192" fontId="4" fillId="0" borderId="23" xfId="0" applyNumberFormat="1" applyFont="1" applyFill="1" applyBorder="1" applyAlignment="1" applyProtection="1">
      <alignment horizontal="center"/>
      <protection hidden="1" locked="0"/>
    </xf>
    <xf numFmtId="177" fontId="4" fillId="0" borderId="23" xfId="36" applyFill="1" applyBorder="1" applyAlignment="1" applyProtection="1">
      <alignment/>
      <protection hidden="1" locked="0"/>
    </xf>
    <xf numFmtId="189" fontId="4" fillId="0" borderId="23" xfId="37" applyFill="1" applyBorder="1" applyAlignment="1" applyProtection="1">
      <alignment/>
      <protection hidden="1" locked="0"/>
    </xf>
    <xf numFmtId="189" fontId="4" fillId="0" borderId="23" xfId="37" applyFill="1" applyBorder="1" applyAlignment="1" applyProtection="1">
      <alignment/>
      <protection hidden="1"/>
    </xf>
    <xf numFmtId="177" fontId="4" fillId="0" borderId="23" xfId="36" applyFont="1" applyFill="1" applyBorder="1" applyAlignment="1" applyProtection="1">
      <alignment/>
      <protection hidden="1" locked="0"/>
    </xf>
    <xf numFmtId="0" fontId="4" fillId="0" borderId="5" xfId="0" applyFont="1" applyFill="1" applyBorder="1" applyAlignment="1" applyProtection="1">
      <alignment/>
      <protection hidden="1"/>
    </xf>
    <xf numFmtId="0" fontId="3" fillId="3" borderId="16" xfId="0" applyFont="1" applyFill="1" applyBorder="1" applyAlignment="1" applyProtection="1">
      <alignment horizontal="center"/>
      <protection hidden="1"/>
    </xf>
    <xf numFmtId="0" fontId="0" fillId="0" borderId="7" xfId="0" applyBorder="1" applyAlignment="1">
      <alignment horizontal="center"/>
    </xf>
    <xf numFmtId="0" fontId="2" fillId="0" borderId="0" xfId="0" applyNumberFormat="1" applyFont="1" applyAlignment="1" applyProtection="1">
      <alignment horizontal="justify"/>
      <protection hidden="1"/>
    </xf>
    <xf numFmtId="0" fontId="2" fillId="0" borderId="0" xfId="0" applyFont="1" applyAlignment="1">
      <alignment horizontal="justify"/>
    </xf>
    <xf numFmtId="49" fontId="3" fillId="3" borderId="16" xfId="0" applyNumberFormat="1" applyFont="1" applyFill="1" applyBorder="1" applyAlignment="1" applyProtection="1">
      <alignment horizontal="center" vertical="center"/>
      <protection hidden="1"/>
    </xf>
    <xf numFmtId="49" fontId="3" fillId="3" borderId="5" xfId="0" applyNumberFormat="1" applyFont="1" applyFill="1" applyBorder="1" applyAlignment="1" applyProtection="1">
      <alignment horizontal="center" vertical="center"/>
      <protection hidden="1"/>
    </xf>
    <xf numFmtId="49" fontId="3" fillId="3" borderId="16" xfId="0" applyNumberFormat="1" applyFont="1" applyFill="1" applyBorder="1" applyAlignment="1" applyProtection="1">
      <alignment horizontal="right" vertical="center"/>
      <protection hidden="1"/>
    </xf>
    <xf numFmtId="49" fontId="3" fillId="3" borderId="7" xfId="0" applyNumberFormat="1" applyFont="1" applyFill="1" applyBorder="1" applyAlignment="1" applyProtection="1">
      <alignment horizontal="right" vertical="center"/>
      <protection hidden="1"/>
    </xf>
    <xf numFmtId="177" fontId="4" fillId="0" borderId="41" xfId="36" applyFill="1" applyBorder="1" applyAlignment="1" applyProtection="1">
      <alignment/>
      <protection hidden="1" locked="0"/>
    </xf>
    <xf numFmtId="177" fontId="4" fillId="0" borderId="20" xfId="36" applyFill="1" applyBorder="1" applyAlignment="1" applyProtection="1">
      <alignment/>
      <protection hidden="1" locked="0"/>
    </xf>
    <xf numFmtId="177" fontId="5" fillId="0" borderId="0" xfId="36" applyFont="1" applyFill="1" applyBorder="1" applyAlignment="1" applyProtection="1">
      <alignment horizontal="right"/>
      <protection hidden="1"/>
    </xf>
    <xf numFmtId="177" fontId="14" fillId="0" borderId="0" xfId="36" applyFont="1" applyFill="1" applyBorder="1" applyAlignment="1" applyProtection="1">
      <alignment horizontal="right"/>
      <protection hidden="1"/>
    </xf>
    <xf numFmtId="0" fontId="4" fillId="0" borderId="0" xfId="32" applyFont="1" applyFill="1" applyBorder="1" applyAlignment="1" applyProtection="1">
      <alignment horizontal="left"/>
      <protection hidden="1"/>
    </xf>
    <xf numFmtId="37" fontId="4" fillId="0" borderId="0" xfId="0"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5" fillId="3" borderId="26" xfId="0" applyNumberFormat="1" applyFont="1" applyFill="1" applyBorder="1" applyAlignment="1" applyProtection="1">
      <alignment horizontal="left"/>
      <protection hidden="1"/>
    </xf>
    <xf numFmtId="0" fontId="5" fillId="3" borderId="5" xfId="0" applyNumberFormat="1" applyFont="1" applyFill="1" applyBorder="1" applyAlignment="1" applyProtection="1">
      <alignment horizontal="left"/>
      <protection hidden="1"/>
    </xf>
    <xf numFmtId="0" fontId="5" fillId="3" borderId="0" xfId="0" applyNumberFormat="1" applyFont="1" applyFill="1" applyBorder="1" applyAlignment="1" applyProtection="1">
      <alignment horizontal="left"/>
      <protection hidden="1"/>
    </xf>
    <xf numFmtId="177" fontId="4" fillId="3" borderId="23" xfId="36" applyFill="1" applyBorder="1" applyAlignment="1" applyProtection="1">
      <alignment/>
      <protection hidden="1"/>
    </xf>
    <xf numFmtId="177" fontId="5" fillId="3" borderId="3" xfId="39" applyAlignment="1" applyProtection="1">
      <alignment/>
      <protection hidden="1"/>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177" fontId="4" fillId="0" borderId="24" xfId="36" applyFill="1" applyBorder="1" applyAlignment="1" applyProtection="1">
      <alignment/>
      <protection hidden="1" locked="0"/>
    </xf>
    <xf numFmtId="37" fontId="4" fillId="0" borderId="6" xfId="0" applyNumberFormat="1" applyFont="1" applyFill="1" applyBorder="1" applyAlignment="1" applyProtection="1">
      <alignment/>
      <protection hidden="1"/>
    </xf>
    <xf numFmtId="37" fontId="4" fillId="0" borderId="42" xfId="0" applyNumberFormat="1" applyFont="1" applyFill="1" applyBorder="1" applyAlignment="1" applyProtection="1">
      <alignment/>
      <protection hidden="1"/>
    </xf>
    <xf numFmtId="177" fontId="4" fillId="0" borderId="43" xfId="36" applyFill="1" applyBorder="1" applyAlignment="1" applyProtection="1">
      <alignment/>
      <protection hidden="1"/>
    </xf>
    <xf numFmtId="37" fontId="3" fillId="3" borderId="7" xfId="0" applyNumberFormat="1"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2" fillId="3" borderId="5" xfId="0" applyFont="1" applyFill="1" applyBorder="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183" fontId="4" fillId="0" borderId="23" xfId="38" applyFill="1" applyBorder="1" applyAlignment="1" applyProtection="1">
      <alignment/>
      <protection hidden="1" locked="0"/>
    </xf>
    <xf numFmtId="177" fontId="4" fillId="0" borderId="23" xfId="36" applyFill="1" applyBorder="1" applyAlignment="1" applyProtection="1">
      <alignment/>
      <protection hidden="1"/>
    </xf>
    <xf numFmtId="183" fontId="4" fillId="0" borderId="36" xfId="38" applyFill="1" applyBorder="1" applyAlignment="1" applyProtection="1">
      <alignment/>
      <protection hidden="1" locked="0"/>
    </xf>
    <xf numFmtId="177" fontId="5" fillId="3" borderId="3" xfId="39" applyFill="1" applyAlignment="1" applyProtection="1">
      <alignment/>
      <protection hidden="1"/>
    </xf>
    <xf numFmtId="183" fontId="5" fillId="3" borderId="3" xfId="40" applyAlignment="1" applyProtection="1">
      <alignment/>
      <protection hidden="1"/>
    </xf>
    <xf numFmtId="177" fontId="4" fillId="0" borderId="0" xfId="36" applyFont="1" applyFill="1" applyBorder="1" applyAlignment="1" applyProtection="1">
      <alignment/>
      <protection hidden="1"/>
    </xf>
    <xf numFmtId="177" fontId="5" fillId="0" borderId="5" xfId="39" applyFill="1" applyBorder="1" applyAlignment="1" applyProtection="1">
      <alignment/>
      <protection hidden="1"/>
    </xf>
    <xf numFmtId="177" fontId="5" fillId="3" borderId="5" xfId="36" applyFont="1" applyFill="1" applyBorder="1" applyAlignment="1" applyProtection="1">
      <alignment/>
      <protection hidden="1"/>
    </xf>
    <xf numFmtId="0" fontId="3" fillId="0" borderId="0" xfId="0" applyNumberFormat="1" applyFont="1" applyBorder="1" applyAlignment="1" applyProtection="1">
      <alignment horizontal="left"/>
      <protection hidden="1"/>
    </xf>
    <xf numFmtId="37" fontId="4" fillId="0" borderId="0" xfId="32" applyNumberFormat="1" applyFont="1" applyAlignment="1" applyProtection="1">
      <alignment/>
      <protection hidden="1"/>
    </xf>
    <xf numFmtId="0" fontId="4" fillId="0" borderId="0" xfId="32" applyFont="1" applyAlignment="1" applyProtection="1">
      <alignment/>
      <protection hidden="1"/>
    </xf>
    <xf numFmtId="0" fontId="5" fillId="0" borderId="0" xfId="32" applyFont="1" applyAlignment="1" applyProtection="1">
      <alignment/>
      <protection hidden="1"/>
    </xf>
    <xf numFmtId="0" fontId="4" fillId="0" borderId="27" xfId="32" applyFont="1" applyFill="1" applyBorder="1" applyAlignment="1" applyProtection="1">
      <alignment/>
      <protection hidden="1"/>
    </xf>
    <xf numFmtId="177" fontId="4" fillId="0" borderId="25" xfId="36" applyFill="1" applyBorder="1" applyAlignment="1" applyProtection="1">
      <alignment/>
      <protection hidden="1" locked="0"/>
    </xf>
    <xf numFmtId="0" fontId="4" fillId="0" borderId="0" xfId="32" applyFont="1" applyBorder="1" applyAlignment="1" applyProtection="1">
      <alignment/>
      <protection hidden="1"/>
    </xf>
    <xf numFmtId="183" fontId="4" fillId="0" borderId="38" xfId="38" applyFill="1" applyBorder="1" applyAlignment="1" applyProtection="1">
      <alignment/>
      <protection hidden="1" locked="0"/>
    </xf>
    <xf numFmtId="0" fontId="4" fillId="0" borderId="28" xfId="32" applyFont="1" applyFill="1" applyBorder="1" applyAlignment="1" applyProtection="1">
      <alignment/>
      <protection hidden="1"/>
    </xf>
    <xf numFmtId="177" fontId="4" fillId="5" borderId="36" xfId="36" applyFill="1" applyBorder="1" applyAlignment="1" applyProtection="1">
      <alignment/>
      <protection hidden="1"/>
    </xf>
    <xf numFmtId="177" fontId="4" fillId="0" borderId="44" xfId="36" applyFill="1" applyBorder="1" applyAlignment="1" applyProtection="1">
      <alignment/>
      <protection hidden="1"/>
    </xf>
    <xf numFmtId="0" fontId="5" fillId="3" borderId="3" xfId="32" applyFont="1" applyFill="1" applyBorder="1" applyAlignment="1" applyProtection="1">
      <alignment/>
      <protection hidden="1"/>
    </xf>
    <xf numFmtId="0" fontId="4" fillId="0" borderId="0" xfId="32" applyFont="1" applyFill="1" applyBorder="1" applyAlignment="1" applyProtection="1">
      <alignment/>
      <protection hidden="1"/>
    </xf>
    <xf numFmtId="37" fontId="4" fillId="0" borderId="0" xfId="0" applyNumberFormat="1" applyFont="1" applyFill="1" applyBorder="1" applyAlignment="1" applyProtection="1">
      <alignment/>
      <protection hidden="1"/>
    </xf>
    <xf numFmtId="177" fontId="4" fillId="0" borderId="0" xfId="36" applyFill="1" applyBorder="1" applyAlignment="1" applyProtection="1">
      <alignment/>
      <protection hidden="1"/>
    </xf>
    <xf numFmtId="0" fontId="5" fillId="0" borderId="0" xfId="32" applyFont="1" applyFill="1" applyBorder="1" applyAlignment="1" applyProtection="1">
      <alignment/>
      <protection hidden="1"/>
    </xf>
    <xf numFmtId="177" fontId="5" fillId="0" borderId="0" xfId="39" applyFill="1" applyBorder="1" applyAlignment="1" applyProtection="1">
      <alignment/>
      <protection hidden="1"/>
    </xf>
    <xf numFmtId="183" fontId="5" fillId="3" borderId="3" xfId="40" applyAlignment="1">
      <alignment/>
      <protection/>
    </xf>
    <xf numFmtId="0" fontId="20" fillId="0" borderId="0" xfId="0" applyFont="1" applyFill="1" applyBorder="1" applyAlignment="1" applyProtection="1">
      <alignment/>
      <protection hidden="1"/>
    </xf>
    <xf numFmtId="183" fontId="4" fillId="0" borderId="0" xfId="38" applyFill="1" applyBorder="1" applyAlignment="1">
      <alignment/>
      <protection/>
    </xf>
    <xf numFmtId="177" fontId="4" fillId="0" borderId="17" xfId="36" applyFill="1" applyBorder="1" applyAlignment="1" applyProtection="1">
      <alignment/>
      <protection hidden="1" locked="0"/>
    </xf>
    <xf numFmtId="49" fontId="4" fillId="0" borderId="0" xfId="0" applyNumberFormat="1" applyFont="1" applyBorder="1" applyAlignment="1" applyProtection="1">
      <alignment/>
      <protection hidden="1"/>
    </xf>
    <xf numFmtId="0" fontId="4" fillId="0" borderId="27" xfId="0" applyFont="1" applyFill="1" applyBorder="1" applyAlignment="1" applyProtection="1">
      <alignment/>
      <protection hidden="1"/>
    </xf>
    <xf numFmtId="177" fontId="4" fillId="0" borderId="25" xfId="36" applyBorder="1" applyAlignment="1" applyProtection="1">
      <alignment/>
      <protection hidden="1"/>
    </xf>
    <xf numFmtId="177" fontId="4" fillId="0" borderId="23" xfId="36" applyBorder="1" applyAlignment="1" applyProtection="1">
      <alignment/>
      <protection hidden="1"/>
    </xf>
    <xf numFmtId="0" fontId="5" fillId="3" borderId="3" xfId="0" applyFont="1" applyFill="1" applyBorder="1" applyAlignment="1" applyProtection="1">
      <alignment/>
      <protection hidden="1"/>
    </xf>
    <xf numFmtId="177" fontId="4" fillId="5" borderId="12" xfId="36" applyFill="1" applyBorder="1" applyAlignment="1" applyProtection="1">
      <alignment/>
      <protection hidden="1"/>
    </xf>
    <xf numFmtId="0" fontId="4" fillId="0" borderId="45" xfId="0" applyFont="1" applyFill="1" applyBorder="1" applyAlignment="1" applyProtection="1">
      <alignment/>
      <protection hidden="1"/>
    </xf>
    <xf numFmtId="183" fontId="4" fillId="0" borderId="12" xfId="38" applyFill="1" applyBorder="1" applyAlignment="1" applyProtection="1">
      <alignment/>
      <protection hidden="1" locked="0"/>
    </xf>
    <xf numFmtId="183" fontId="4" fillId="0" borderId="23" xfId="38" applyBorder="1" applyAlignment="1" applyProtection="1">
      <alignment/>
      <protection hidden="1"/>
    </xf>
    <xf numFmtId="0" fontId="4" fillId="0" borderId="46" xfId="0" applyFont="1" applyFill="1" applyBorder="1" applyAlignment="1" applyProtection="1">
      <alignment/>
      <protection hidden="1"/>
    </xf>
    <xf numFmtId="177" fontId="4" fillId="0" borderId="47" xfId="36" applyFill="1" applyBorder="1" applyAlignment="1" applyProtection="1">
      <alignment/>
      <protection hidden="1" locked="0"/>
    </xf>
    <xf numFmtId="177" fontId="5" fillId="3" borderId="7" xfId="39" applyFont="1" applyBorder="1" applyAlignment="1" applyProtection="1">
      <alignment/>
      <protection hidden="1"/>
    </xf>
    <xf numFmtId="177" fontId="5" fillId="0" borderId="0" xfId="39" applyFont="1" applyFill="1" applyBorder="1" applyAlignment="1" applyProtection="1">
      <alignment/>
      <protection hidden="1"/>
    </xf>
    <xf numFmtId="177" fontId="4" fillId="0" borderId="31" xfId="36" applyFont="1" applyFill="1" applyBorder="1" applyAlignment="1" applyProtection="1">
      <alignment/>
      <protection hidden="1"/>
    </xf>
    <xf numFmtId="177" fontId="5" fillId="3" borderId="5" xfId="39" applyFont="1" applyBorder="1" applyAlignment="1" applyProtection="1">
      <alignment/>
      <protection hidden="1"/>
    </xf>
    <xf numFmtId="177" fontId="5" fillId="3" borderId="3" xfId="39" applyBorder="1" applyAlignment="1" applyProtection="1">
      <alignment/>
      <protection hidden="1"/>
    </xf>
    <xf numFmtId="177" fontId="4" fillId="0" borderId="13" xfId="39" applyFont="1" applyFill="1" applyBorder="1" applyAlignment="1" applyProtection="1">
      <alignment/>
      <protection hidden="1"/>
    </xf>
    <xf numFmtId="177" fontId="4" fillId="0" borderId="17" xfId="39" applyFont="1" applyFill="1" applyBorder="1" applyAlignment="1" applyProtection="1">
      <alignment/>
      <protection hidden="1"/>
    </xf>
    <xf numFmtId="0" fontId="4" fillId="0" borderId="13" xfId="0" applyFont="1" applyBorder="1" applyAlignment="1" applyProtection="1">
      <alignment/>
      <protection hidden="1"/>
    </xf>
    <xf numFmtId="183" fontId="4" fillId="0" borderId="13" xfId="38" applyBorder="1" applyAlignment="1" applyProtection="1">
      <alignment/>
      <protection hidden="1"/>
    </xf>
    <xf numFmtId="183" fontId="4" fillId="6" borderId="17" xfId="38" applyFont="1" applyFill="1" applyBorder="1" applyAlignment="1" applyProtection="1">
      <alignment/>
      <protection hidden="1"/>
    </xf>
    <xf numFmtId="183" fontId="4" fillId="0" borderId="23" xfId="38" applyFont="1" applyBorder="1" applyAlignment="1" applyProtection="1">
      <alignment/>
      <protection hidden="1"/>
    </xf>
    <xf numFmtId="183" fontId="4" fillId="0" borderId="0" xfId="38" applyFont="1" applyFill="1" applyBorder="1" applyAlignment="1" applyProtection="1">
      <alignment/>
      <protection hidden="1"/>
    </xf>
    <xf numFmtId="0" fontId="4" fillId="0" borderId="0" xfId="0" applyFont="1" applyFill="1" applyAlignment="1" applyProtection="1">
      <alignment/>
      <protection hidden="1"/>
    </xf>
    <xf numFmtId="0" fontId="4" fillId="0" borderId="29" xfId="0" applyFont="1" applyFill="1" applyBorder="1" applyAlignment="1" applyProtection="1">
      <alignment/>
      <protection hidden="1"/>
    </xf>
    <xf numFmtId="183" fontId="4" fillId="0" borderId="13" xfId="38" applyFont="1" applyFill="1" applyBorder="1" applyAlignment="1" applyProtection="1">
      <alignment/>
      <protection hidden="1"/>
    </xf>
    <xf numFmtId="183" fontId="4" fillId="0" borderId="17" xfId="38" applyFont="1" applyFill="1" applyBorder="1" applyAlignment="1" applyProtection="1">
      <alignment/>
      <protection hidden="1"/>
    </xf>
    <xf numFmtId="183" fontId="4" fillId="0" borderId="6" xfId="38" applyFont="1" applyFill="1" applyBorder="1" applyAlignment="1" applyProtection="1">
      <alignment/>
      <protection hidden="1"/>
    </xf>
    <xf numFmtId="183" fontId="4" fillId="0" borderId="42" xfId="38" applyFont="1" applyFill="1" applyBorder="1" applyAlignment="1" applyProtection="1">
      <alignment/>
      <protection hidden="1"/>
    </xf>
    <xf numFmtId="0" fontId="5" fillId="3" borderId="16" xfId="0" applyFont="1" applyFill="1" applyBorder="1" applyAlignment="1" applyProtection="1">
      <alignment/>
      <protection hidden="1"/>
    </xf>
    <xf numFmtId="183" fontId="5" fillId="3" borderId="5" xfId="38" applyFont="1" applyFill="1" applyBorder="1" applyAlignment="1" applyProtection="1">
      <alignment/>
      <protection hidden="1"/>
    </xf>
    <xf numFmtId="183" fontId="5" fillId="3" borderId="7" xfId="38" applyFont="1" applyFill="1" applyBorder="1" applyAlignment="1" applyProtection="1">
      <alignment/>
      <protection hidden="1"/>
    </xf>
    <xf numFmtId="177" fontId="5" fillId="3" borderId="3" xfId="39" applyFont="1" applyFill="1" applyAlignment="1" applyProtection="1">
      <alignment/>
      <protection hidden="1"/>
    </xf>
    <xf numFmtId="37" fontId="2" fillId="0" borderId="0" xfId="0" applyNumberFormat="1" applyFont="1" applyBorder="1" applyAlignment="1" applyProtection="1">
      <alignment/>
      <protection hidden="1"/>
    </xf>
    <xf numFmtId="177" fontId="4" fillId="0" borderId="23" xfId="36" applyFont="1" applyBorder="1" applyAlignment="1" applyProtection="1">
      <alignment/>
      <protection hidden="1"/>
    </xf>
    <xf numFmtId="0" fontId="4" fillId="0" borderId="35" xfId="0" applyFont="1" applyFill="1" applyBorder="1" applyAlignment="1" applyProtection="1">
      <alignment/>
      <protection hidden="1"/>
    </xf>
    <xf numFmtId="177" fontId="4" fillId="0" borderId="0" xfId="36" applyAlignment="1" applyProtection="1">
      <alignment/>
      <protection hidden="1"/>
    </xf>
    <xf numFmtId="0" fontId="4" fillId="0" borderId="30" xfId="0" applyFont="1" applyFill="1" applyBorder="1" applyAlignment="1" applyProtection="1">
      <alignment/>
      <protection hidden="1"/>
    </xf>
    <xf numFmtId="0" fontId="4" fillId="0" borderId="18" xfId="0" applyFont="1" applyBorder="1" applyAlignment="1" applyProtection="1">
      <alignment/>
      <protection hidden="1"/>
    </xf>
    <xf numFmtId="177" fontId="4" fillId="0" borderId="19" xfId="36" applyBorder="1" applyAlignment="1" applyProtection="1">
      <alignment/>
      <protection hidden="1"/>
    </xf>
    <xf numFmtId="177" fontId="5" fillId="3" borderId="5" xfId="39" applyFont="1" applyFill="1" applyBorder="1" applyAlignment="1" applyProtection="1">
      <alignment/>
      <protection hidden="1"/>
    </xf>
    <xf numFmtId="183" fontId="5" fillId="3" borderId="7" xfId="40" applyFont="1" applyBorder="1" applyAlignment="1" applyProtection="1">
      <alignment/>
      <protection hidden="1"/>
    </xf>
    <xf numFmtId="169" fontId="4" fillId="0" borderId="13" xfId="0" applyNumberFormat="1" applyFont="1" applyFill="1" applyBorder="1" applyAlignment="1" applyProtection="1">
      <alignment/>
      <protection hidden="1"/>
    </xf>
    <xf numFmtId="0" fontId="4" fillId="0" borderId="48" xfId="0" applyFont="1" applyFill="1" applyBorder="1" applyAlignment="1" applyProtection="1">
      <alignment/>
      <protection hidden="1"/>
    </xf>
    <xf numFmtId="177" fontId="4" fillId="0" borderId="48" xfId="36" applyFont="1" applyFill="1" applyBorder="1" applyAlignment="1" applyProtection="1">
      <alignment/>
      <protection hidden="1"/>
    </xf>
    <xf numFmtId="177" fontId="4" fillId="0" borderId="39" xfId="36" applyFont="1" applyFill="1" applyBorder="1" applyAlignment="1" applyProtection="1">
      <alignment/>
      <protection hidden="1"/>
    </xf>
    <xf numFmtId="177" fontId="4" fillId="0" borderId="18" xfId="36" applyFont="1" applyFill="1" applyBorder="1" applyAlignment="1" applyProtection="1">
      <alignment/>
      <protection hidden="1" locked="0"/>
    </xf>
    <xf numFmtId="177" fontId="4" fillId="0" borderId="19" xfId="36" applyFont="1" applyFill="1" applyBorder="1" applyAlignment="1" applyProtection="1">
      <alignment/>
      <protection hidden="1" locked="0"/>
    </xf>
    <xf numFmtId="0" fontId="20" fillId="0" borderId="29" xfId="0" applyFont="1" applyFill="1" applyBorder="1" applyAlignment="1" applyProtection="1">
      <alignment/>
      <protection hidden="1"/>
    </xf>
    <xf numFmtId="0" fontId="20" fillId="0" borderId="35" xfId="0" applyFont="1" applyFill="1" applyBorder="1" applyAlignment="1" applyProtection="1">
      <alignment/>
      <protection hidden="1"/>
    </xf>
    <xf numFmtId="0" fontId="4" fillId="0" borderId="49" xfId="0" applyFont="1" applyBorder="1" applyAlignment="1" applyProtection="1">
      <alignment/>
      <protection hidden="1"/>
    </xf>
    <xf numFmtId="193" fontId="4" fillId="0" borderId="23" xfId="36" applyNumberFormat="1" applyBorder="1" applyAlignment="1" applyProtection="1">
      <alignment/>
      <protection hidden="1"/>
    </xf>
    <xf numFmtId="0" fontId="14" fillId="3" borderId="16" xfId="0" applyFont="1" applyFill="1" applyBorder="1" applyAlignment="1" applyProtection="1">
      <alignment/>
      <protection hidden="1"/>
    </xf>
    <xf numFmtId="183" fontId="5" fillId="3" borderId="5" xfId="40" applyFont="1" applyBorder="1" applyAlignment="1" applyProtection="1">
      <alignment/>
      <protection hidden="1"/>
    </xf>
    <xf numFmtId="2" fontId="4" fillId="0" borderId="0" xfId="0" applyNumberFormat="1" applyFont="1" applyAlignment="1" applyProtection="1">
      <alignment/>
      <protection hidden="1"/>
    </xf>
    <xf numFmtId="37" fontId="4" fillId="0" borderId="27" xfId="0" applyNumberFormat="1" applyFont="1" applyFill="1" applyBorder="1" applyAlignment="1" applyProtection="1">
      <alignment/>
      <protection hidden="1"/>
    </xf>
    <xf numFmtId="177" fontId="4" fillId="0" borderId="17" xfId="36" applyFont="1" applyFill="1" applyBorder="1" applyAlignment="1" applyProtection="1">
      <alignment/>
      <protection hidden="1" locked="0"/>
    </xf>
    <xf numFmtId="183" fontId="4" fillId="0" borderId="23" xfId="38" applyFont="1" applyFill="1" applyBorder="1" applyAlignment="1" applyProtection="1">
      <alignment/>
      <protection hidden="1" locked="0"/>
    </xf>
    <xf numFmtId="183" fontId="19" fillId="6" borderId="25" xfId="38" applyFont="1" applyFill="1" applyBorder="1" applyAlignment="1" applyProtection="1">
      <alignment/>
      <protection hidden="1"/>
    </xf>
    <xf numFmtId="183" fontId="4" fillId="0" borderId="25" xfId="38" applyFont="1" applyFill="1" applyBorder="1" applyAlignment="1" applyProtection="1">
      <alignment/>
      <protection hidden="1" locked="0"/>
    </xf>
    <xf numFmtId="37" fontId="4" fillId="0" borderId="28" xfId="0" applyNumberFormat="1" applyFont="1" applyFill="1" applyBorder="1" applyAlignment="1" applyProtection="1">
      <alignment/>
      <protection hidden="1"/>
    </xf>
    <xf numFmtId="177" fontId="5" fillId="3" borderId="16" xfId="36" applyFont="1" applyFill="1" applyBorder="1" applyAlignment="1" applyProtection="1">
      <alignment/>
      <protection hidden="1"/>
    </xf>
    <xf numFmtId="183" fontId="5" fillId="3" borderId="16" xfId="40" applyBorder="1" applyAlignment="1" applyProtection="1">
      <alignment horizontal="right"/>
      <protection hidden="1"/>
    </xf>
    <xf numFmtId="183" fontId="5" fillId="3" borderId="5" xfId="40" applyBorder="1" applyAlignment="1" applyProtection="1">
      <alignment horizontal="right"/>
      <protection hidden="1"/>
    </xf>
    <xf numFmtId="183" fontId="4" fillId="5" borderId="23" xfId="38" applyFont="1" applyFill="1" applyBorder="1" applyAlignment="1" applyProtection="1">
      <alignment/>
      <protection hidden="1"/>
    </xf>
    <xf numFmtId="183" fontId="4" fillId="5" borderId="36" xfId="38" applyFont="1" applyFill="1" applyBorder="1" applyAlignment="1" applyProtection="1">
      <alignment/>
      <protection hidden="1"/>
    </xf>
    <xf numFmtId="177" fontId="5" fillId="3" borderId="5" xfId="39" applyBorder="1" applyAlignment="1" applyProtection="1">
      <alignment/>
      <protection hidden="1"/>
    </xf>
    <xf numFmtId="183" fontId="5" fillId="3" borderId="5" xfId="40" applyBorder="1" applyAlignment="1" applyProtection="1">
      <alignment/>
      <protection hidden="1"/>
    </xf>
    <xf numFmtId="177" fontId="5" fillId="3" borderId="7" xfId="39" applyBorder="1" applyAlignment="1" applyProtection="1">
      <alignment/>
      <protection hidden="1"/>
    </xf>
    <xf numFmtId="177" fontId="4" fillId="0" borderId="3" xfId="36" applyFont="1" applyFill="1" applyBorder="1" applyAlignment="1" applyProtection="1">
      <alignment/>
      <protection hidden="1" locked="0"/>
    </xf>
    <xf numFmtId="177" fontId="4" fillId="5" borderId="23" xfId="36" applyFont="1" applyFill="1" applyBorder="1" applyAlignment="1" applyProtection="1">
      <alignment/>
      <protection hidden="1"/>
    </xf>
    <xf numFmtId="37" fontId="3" fillId="3" borderId="50" xfId="0" applyNumberFormat="1" applyFont="1" applyFill="1" applyBorder="1" applyAlignment="1" applyProtection="1">
      <alignment horizontal="right" vertical="center"/>
      <protection hidden="1"/>
    </xf>
    <xf numFmtId="0" fontId="2" fillId="0" borderId="37" xfId="0" applyFont="1" applyBorder="1" applyAlignment="1">
      <alignment horizontal="right" vertical="center"/>
    </xf>
    <xf numFmtId="0" fontId="3" fillId="3" borderId="51" xfId="0" applyFont="1" applyFill="1" applyBorder="1" applyAlignment="1" applyProtection="1">
      <alignment horizontal="right" vertical="center"/>
      <protection hidden="1"/>
    </xf>
    <xf numFmtId="0" fontId="2" fillId="0" borderId="22" xfId="0" applyFont="1" applyBorder="1" applyAlignment="1">
      <alignment horizontal="right" vertical="center"/>
    </xf>
    <xf numFmtId="37" fontId="4" fillId="0" borderId="26" xfId="0" applyNumberFormat="1" applyFont="1" applyFill="1" applyBorder="1" applyAlignment="1" applyProtection="1">
      <alignment/>
      <protection hidden="1"/>
    </xf>
    <xf numFmtId="183" fontId="4" fillId="0" borderId="49" xfId="38" applyFont="1" applyFill="1" applyBorder="1" applyAlignment="1" applyProtection="1">
      <alignment/>
      <protection hidden="1" locked="0"/>
    </xf>
    <xf numFmtId="177" fontId="4" fillId="0" borderId="17" xfId="36" applyFont="1" applyFill="1" applyBorder="1" applyAlignment="1" applyProtection="1">
      <alignment/>
      <protection hidden="1"/>
    </xf>
    <xf numFmtId="3" fontId="3" fillId="3" borderId="16" xfId="0" applyNumberFormat="1" applyFont="1" applyFill="1" applyBorder="1" applyAlignment="1" applyProtection="1">
      <alignment horizontal="center" vertical="center"/>
      <protection hidden="1"/>
    </xf>
    <xf numFmtId="3" fontId="3" fillId="3" borderId="5" xfId="0" applyNumberFormat="1" applyFont="1" applyFill="1" applyBorder="1" applyAlignment="1" applyProtection="1">
      <alignment horizontal="center" vertical="center"/>
      <protection hidden="1"/>
    </xf>
    <xf numFmtId="3" fontId="3" fillId="3" borderId="7" xfId="0" applyNumberFormat="1" applyFont="1" applyFill="1" applyBorder="1" applyAlignment="1" applyProtection="1">
      <alignment horizontal="center" vertical="center"/>
      <protection hidden="1"/>
    </xf>
    <xf numFmtId="192" fontId="4" fillId="0" borderId="23" xfId="0" applyNumberFormat="1" applyFont="1" applyFill="1" applyBorder="1" applyAlignment="1" applyProtection="1">
      <alignment/>
      <protection hidden="1" locked="0"/>
    </xf>
    <xf numFmtId="2" fontId="4" fillId="0" borderId="23" xfId="0" applyNumberFormat="1" applyFont="1" applyFill="1" applyBorder="1" applyAlignment="1" applyProtection="1">
      <alignment/>
      <protection hidden="1" locked="0"/>
    </xf>
    <xf numFmtId="181" fontId="5" fillId="3" borderId="16" xfId="36" applyNumberFormat="1" applyFont="1" applyFill="1" applyBorder="1" applyAlignment="1" applyProtection="1">
      <alignment/>
      <protection hidden="1"/>
    </xf>
    <xf numFmtId="181" fontId="5" fillId="3" borderId="5" xfId="36" applyNumberFormat="1" applyFont="1" applyFill="1" applyBorder="1" applyAlignment="1" applyProtection="1">
      <alignment/>
      <protection hidden="1"/>
    </xf>
    <xf numFmtId="3" fontId="5" fillId="0" borderId="0" xfId="0" applyNumberFormat="1" applyFont="1" applyAlignment="1" applyProtection="1">
      <alignment/>
      <protection hidden="1"/>
    </xf>
    <xf numFmtId="183" fontId="4" fillId="0" borderId="36" xfId="38" applyFont="1" applyFill="1" applyBorder="1" applyAlignment="1" applyProtection="1">
      <alignment/>
      <protection hidden="1" locked="0"/>
    </xf>
    <xf numFmtId="183" fontId="4" fillId="0" borderId="36" xfId="38" applyFont="1" applyFill="1" applyBorder="1" applyAlignment="1" applyProtection="1">
      <alignment/>
      <protection hidden="1"/>
    </xf>
    <xf numFmtId="37" fontId="14" fillId="3" borderId="5" xfId="0" applyNumberFormat="1" applyFont="1" applyFill="1" applyBorder="1" applyAlignment="1" applyProtection="1">
      <alignment/>
      <protection hidden="1"/>
    </xf>
    <xf numFmtId="0" fontId="3" fillId="3" borderId="3" xfId="0" applyFont="1" applyFill="1" applyBorder="1" applyAlignment="1" applyProtection="1">
      <alignment/>
      <protection hidden="1"/>
    </xf>
    <xf numFmtId="177" fontId="4" fillId="0" borderId="0" xfId="36" applyFont="1" applyFill="1" applyBorder="1" applyAlignment="1" applyProtection="1">
      <alignment/>
      <protection hidden="1" locked="0"/>
    </xf>
    <xf numFmtId="177" fontId="4" fillId="0" borderId="13" xfId="36" applyFont="1" applyFill="1" applyBorder="1" applyAlignment="1" applyProtection="1">
      <alignment/>
      <protection hidden="1" locked="0"/>
    </xf>
    <xf numFmtId="177" fontId="4" fillId="0" borderId="26" xfId="36" applyFont="1" applyFill="1" applyBorder="1" applyAlignment="1" applyProtection="1">
      <alignment/>
      <protection hidden="1" locked="0"/>
    </xf>
    <xf numFmtId="177" fontId="4" fillId="0" borderId="52" xfId="36" applyFont="1" applyFill="1" applyBorder="1" applyAlignment="1" applyProtection="1">
      <alignment/>
      <protection hidden="1"/>
    </xf>
    <xf numFmtId="177" fontId="5" fillId="3" borderId="21" xfId="39" applyFont="1" applyFill="1" applyBorder="1" applyAlignment="1" applyProtection="1">
      <alignment/>
      <protection hidden="1"/>
    </xf>
    <xf numFmtId="177" fontId="4" fillId="3" borderId="14" xfId="36" applyFont="1" applyFill="1" applyBorder="1" applyAlignment="1" applyProtection="1">
      <alignment/>
      <protection hidden="1" locked="0"/>
    </xf>
    <xf numFmtId="177" fontId="4" fillId="0" borderId="32" xfId="36" applyFont="1" applyFill="1" applyBorder="1" applyAlignment="1" applyProtection="1">
      <alignment/>
      <protection hidden="1"/>
    </xf>
    <xf numFmtId="177" fontId="4" fillId="0" borderId="25" xfId="36" applyFont="1" applyFill="1" applyBorder="1" applyAlignment="1" applyProtection="1">
      <alignment/>
      <protection hidden="1" locked="0"/>
    </xf>
    <xf numFmtId="177" fontId="4" fillId="0" borderId="38" xfId="36" applyFont="1" applyBorder="1" applyAlignment="1" applyProtection="1">
      <alignment/>
      <protection hidden="1"/>
    </xf>
    <xf numFmtId="177" fontId="4" fillId="0" borderId="23" xfId="36" applyFill="1" applyBorder="1" applyProtection="1">
      <alignment/>
      <protection/>
    </xf>
    <xf numFmtId="177" fontId="4" fillId="0" borderId="23" xfId="36" applyFont="1" applyFill="1" applyBorder="1" applyProtection="1">
      <alignment/>
      <protection/>
    </xf>
    <xf numFmtId="177" fontId="4" fillId="0" borderId="23" xfId="36" applyFont="1" applyFill="1" applyBorder="1" applyProtection="1">
      <alignment/>
      <protection locked="0"/>
    </xf>
    <xf numFmtId="0" fontId="1" fillId="0" borderId="0" xfId="0" applyNumberFormat="1" applyFont="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1"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2" fillId="0" borderId="5" xfId="0" applyFont="1" applyBorder="1" applyAlignment="1" applyProtection="1">
      <alignment vertical="center"/>
      <protection/>
    </xf>
    <xf numFmtId="0" fontId="2" fillId="0" borderId="5" xfId="0" applyFont="1" applyBorder="1" applyAlignment="1" applyProtection="1">
      <alignment horizontal="left" vertical="center"/>
      <protection/>
    </xf>
    <xf numFmtId="0" fontId="3" fillId="0" borderId="5" xfId="0" applyNumberFormat="1" applyFont="1" applyBorder="1" applyAlignment="1" applyProtection="1">
      <alignment vertical="center"/>
      <protection/>
    </xf>
    <xf numFmtId="0" fontId="2"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5" fillId="0" borderId="0" xfId="0" applyNumberFormat="1" applyFont="1" applyBorder="1" applyAlignment="1" applyProtection="1">
      <alignment horizontal="left"/>
      <protection/>
    </xf>
    <xf numFmtId="37" fontId="5" fillId="0" borderId="0" xfId="0" applyNumberFormat="1" applyFont="1" applyBorder="1" applyAlignment="1" applyProtection="1">
      <alignment/>
      <protection/>
    </xf>
    <xf numFmtId="0" fontId="4" fillId="0" borderId="0" xfId="0" applyFont="1" applyBorder="1" applyAlignment="1" applyProtection="1">
      <alignment/>
      <protection/>
    </xf>
    <xf numFmtId="37" fontId="5" fillId="0" borderId="0" xfId="0" applyNumberFormat="1" applyFont="1" applyBorder="1" applyAlignment="1" applyProtection="1">
      <alignment horizontal="left"/>
      <protection/>
    </xf>
    <xf numFmtId="0" fontId="4" fillId="0" borderId="0" xfId="0" applyFont="1" applyAlignment="1" applyProtection="1">
      <alignment/>
      <protection/>
    </xf>
    <xf numFmtId="37" fontId="4" fillId="0" borderId="13" xfId="0" applyNumberFormat="1" applyFont="1" applyFill="1" applyBorder="1" applyAlignment="1" applyProtection="1">
      <alignment/>
      <protection locked="0"/>
    </xf>
    <xf numFmtId="0" fontId="5" fillId="0" borderId="0" xfId="0" applyNumberFormat="1" applyFont="1" applyAlignment="1" applyProtection="1">
      <alignment/>
      <protection/>
    </xf>
    <xf numFmtId="0" fontId="4" fillId="0" borderId="0" xfId="0" applyFont="1" applyAlignment="1" applyProtection="1">
      <alignment/>
      <protection/>
    </xf>
    <xf numFmtId="0" fontId="5" fillId="0" borderId="0" xfId="0" applyFont="1" applyBorder="1" applyAlignment="1" applyProtection="1">
      <alignment horizontal="left"/>
      <protection/>
    </xf>
    <xf numFmtId="0" fontId="5" fillId="0" borderId="0" xfId="0" applyFont="1" applyBorder="1" applyAlignment="1" applyProtection="1">
      <alignment/>
      <protection/>
    </xf>
    <xf numFmtId="0" fontId="4" fillId="0" borderId="0" xfId="0" applyFont="1" applyAlignment="1" applyProtection="1">
      <alignment horizontal="left"/>
      <protection/>
    </xf>
    <xf numFmtId="0" fontId="5" fillId="0" borderId="0" xfId="0" applyFont="1" applyAlignment="1" applyProtection="1">
      <alignment/>
      <protection/>
    </xf>
    <xf numFmtId="0" fontId="4" fillId="0" borderId="0" xfId="0" applyFont="1" applyAlignment="1" applyProtection="1">
      <alignment vertical="top"/>
      <protection/>
    </xf>
    <xf numFmtId="0" fontId="4" fillId="0" borderId="13" xfId="0" applyFont="1" applyFill="1" applyBorder="1" applyAlignment="1" applyProtection="1">
      <alignment/>
      <protection locked="0"/>
    </xf>
    <xf numFmtId="0" fontId="0" fillId="0" borderId="0" xfId="0" applyBorder="1" applyAlignment="1" applyProtection="1">
      <alignment/>
      <protection/>
    </xf>
    <xf numFmtId="0" fontId="0" fillId="0" borderId="0" xfId="0" applyFill="1" applyAlignment="1" applyProtection="1">
      <alignment/>
      <protection/>
    </xf>
    <xf numFmtId="0" fontId="4"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NumberFormat="1" applyFont="1" applyAlignment="1" applyProtection="1">
      <alignment/>
      <protection/>
    </xf>
    <xf numFmtId="17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0" xfId="0" applyFont="1" applyAlignment="1" applyProtection="1">
      <alignment/>
      <protection/>
    </xf>
    <xf numFmtId="0" fontId="4" fillId="0" borderId="0" xfId="0" applyFont="1" applyBorder="1" applyAlignment="1" applyProtection="1">
      <alignment/>
      <protection/>
    </xf>
    <xf numFmtId="0" fontId="4" fillId="0" borderId="17" xfId="0" applyFont="1" applyFill="1" applyBorder="1" applyAlignment="1" applyProtection="1">
      <alignment/>
      <protection/>
    </xf>
    <xf numFmtId="0" fontId="1" fillId="0" borderId="0" xfId="0" applyNumberFormat="1" applyFont="1" applyAlignment="1" applyProtection="1">
      <alignment/>
      <protection/>
    </xf>
    <xf numFmtId="0" fontId="4" fillId="0" borderId="0" xfId="0" applyFont="1" applyFill="1" applyAlignment="1" applyProtection="1">
      <alignment vertical="center"/>
      <protection/>
    </xf>
    <xf numFmtId="37" fontId="4" fillId="0" borderId="0" xfId="0" applyNumberFormat="1" applyFont="1" applyAlignment="1" applyProtection="1">
      <alignment/>
      <protection/>
    </xf>
    <xf numFmtId="0" fontId="4" fillId="0" borderId="0" xfId="0" applyFont="1" applyFill="1" applyBorder="1" applyAlignment="1" applyProtection="1">
      <alignment/>
      <protection/>
    </xf>
    <xf numFmtId="0" fontId="5" fillId="0" borderId="0" xfId="0" applyFont="1" applyBorder="1" applyAlignment="1" applyProtection="1">
      <alignment/>
      <protection/>
    </xf>
    <xf numFmtId="37" fontId="5" fillId="3" borderId="3" xfId="0" applyNumberFormat="1" applyFont="1" applyFill="1" applyBorder="1" applyAlignment="1" applyProtection="1">
      <alignment horizontal="right"/>
      <protection/>
    </xf>
    <xf numFmtId="177" fontId="4" fillId="0" borderId="17" xfId="36" applyFont="1" applyFill="1" applyBorder="1" applyProtection="1">
      <alignment/>
      <protection/>
    </xf>
    <xf numFmtId="0" fontId="4" fillId="0" borderId="0" xfId="0" applyFont="1" applyBorder="1" applyAlignment="1" applyProtection="1">
      <alignment horizontal="left"/>
      <protection/>
    </xf>
    <xf numFmtId="37" fontId="4" fillId="0" borderId="0" xfId="0" applyNumberFormat="1" applyFont="1" applyBorder="1" applyAlignment="1" applyProtection="1">
      <alignment/>
      <protection/>
    </xf>
    <xf numFmtId="49" fontId="4" fillId="0" borderId="23" xfId="0" applyNumberFormat="1" applyFont="1" applyFill="1" applyBorder="1" applyAlignment="1" applyProtection="1">
      <alignment horizontal="left"/>
      <protection locked="0"/>
    </xf>
    <xf numFmtId="177" fontId="4" fillId="0" borderId="23" xfId="36" applyFont="1" applyBorder="1" applyProtection="1">
      <alignment/>
      <protection/>
    </xf>
    <xf numFmtId="0" fontId="2" fillId="0" borderId="0" xfId="0" applyNumberFormat="1" applyFont="1" applyBorder="1" applyAlignment="1" applyProtection="1">
      <alignment/>
      <protection/>
    </xf>
    <xf numFmtId="0" fontId="5" fillId="0" borderId="0" xfId="0" applyFont="1" applyFill="1" applyBorder="1" applyAlignment="1" applyProtection="1">
      <alignment/>
      <protection/>
    </xf>
    <xf numFmtId="49" fontId="4" fillId="0" borderId="0" xfId="0" applyNumberFormat="1" applyFont="1" applyBorder="1" applyAlignment="1" applyProtection="1">
      <alignment horizontal="center"/>
      <protection/>
    </xf>
    <xf numFmtId="0" fontId="4" fillId="0" borderId="13" xfId="0" applyFont="1" applyBorder="1" applyAlignment="1" applyProtection="1">
      <alignment/>
      <protection/>
    </xf>
    <xf numFmtId="183" fontId="4" fillId="0" borderId="23" xfId="38" applyFont="1" applyBorder="1" applyProtection="1">
      <alignment/>
      <protection/>
    </xf>
    <xf numFmtId="183" fontId="4" fillId="0" borderId="0" xfId="38" applyFont="1" applyFill="1" applyBorder="1" applyAlignment="1" applyProtection="1">
      <alignment horizontal="right"/>
      <protection/>
    </xf>
    <xf numFmtId="49" fontId="5" fillId="0" borderId="0" xfId="0" applyNumberFormat="1" applyFont="1" applyFill="1" applyBorder="1" applyAlignment="1" applyProtection="1">
      <alignment horizontal="left"/>
      <protection/>
    </xf>
    <xf numFmtId="183" fontId="4" fillId="0" borderId="0" xfId="38" applyFont="1" applyFill="1" applyBorder="1" applyProtection="1">
      <alignment/>
      <protection/>
    </xf>
    <xf numFmtId="49" fontId="4" fillId="0" borderId="0" xfId="0" applyNumberFormat="1" applyFont="1" applyAlignment="1" applyProtection="1">
      <alignment/>
      <protection/>
    </xf>
    <xf numFmtId="0" fontId="4" fillId="0" borderId="0" xfId="0" applyFont="1" applyFill="1" applyAlignment="1" applyProtection="1">
      <alignment/>
      <protection/>
    </xf>
    <xf numFmtId="49" fontId="5" fillId="0" borderId="13" xfId="0" applyNumberFormat="1" applyFont="1" applyFill="1" applyBorder="1" applyAlignment="1" applyProtection="1">
      <alignment horizontal="left"/>
      <protection/>
    </xf>
    <xf numFmtId="183" fontId="4" fillId="0" borderId="13" xfId="38" applyFont="1" applyFill="1" applyBorder="1" applyProtection="1">
      <alignment/>
      <protection/>
    </xf>
    <xf numFmtId="183" fontId="4" fillId="0" borderId="17" xfId="38" applyFont="1" applyFill="1" applyBorder="1" applyProtection="1">
      <alignment/>
      <protection/>
    </xf>
    <xf numFmtId="0" fontId="0" fillId="0" borderId="0" xfId="0" applyFont="1" applyAlignment="1" applyProtection="1">
      <alignment/>
      <protection/>
    </xf>
    <xf numFmtId="37" fontId="4" fillId="0" borderId="0" xfId="0" applyNumberFormat="1" applyFont="1" applyAlignment="1" applyProtection="1">
      <alignment/>
      <protection/>
    </xf>
    <xf numFmtId="177" fontId="4" fillId="0" borderId="17" xfId="36" applyFont="1" applyFill="1" applyBorder="1" applyProtection="1">
      <alignment/>
      <protection locked="0"/>
    </xf>
    <xf numFmtId="183" fontId="4" fillId="0" borderId="23" xfId="38" applyFont="1" applyFill="1" applyBorder="1" applyProtection="1">
      <alignment/>
      <protection locked="0"/>
    </xf>
    <xf numFmtId="177" fontId="4" fillId="0" borderId="25" xfId="36" applyFont="1" applyBorder="1" applyAlignment="1" applyProtection="1">
      <alignment/>
      <protection/>
    </xf>
    <xf numFmtId="183" fontId="4" fillId="0" borderId="25" xfId="38" applyFont="1" applyFill="1" applyBorder="1" applyProtection="1">
      <alignment/>
      <protection locked="0"/>
    </xf>
    <xf numFmtId="37" fontId="5" fillId="0" borderId="0" xfId="0" applyNumberFormat="1" applyFont="1" applyBorder="1" applyAlignment="1" applyProtection="1">
      <alignment horizontal="right"/>
      <protection/>
    </xf>
    <xf numFmtId="177" fontId="4" fillId="0" borderId="25" xfId="36" applyFont="1" applyBorder="1" applyProtection="1">
      <alignment/>
      <protection/>
    </xf>
    <xf numFmtId="183" fontId="4" fillId="0" borderId="23" xfId="38" applyFont="1" applyFill="1" applyBorder="1" applyProtection="1">
      <alignment/>
      <protection/>
    </xf>
    <xf numFmtId="0" fontId="2" fillId="0" borderId="0" xfId="0" applyFont="1" applyBorder="1" applyAlignment="1" applyProtection="1">
      <alignment vertical="center"/>
      <protection/>
    </xf>
    <xf numFmtId="37" fontId="5" fillId="0" borderId="0" xfId="0" applyNumberFormat="1" applyFont="1" applyBorder="1" applyAlignment="1" applyProtection="1">
      <alignment horizontal="right" vertical="top"/>
      <protection/>
    </xf>
    <xf numFmtId="37" fontId="4" fillId="0" borderId="0" xfId="0" applyNumberFormat="1" applyFont="1" applyBorder="1" applyAlignment="1" applyProtection="1">
      <alignment/>
      <protection/>
    </xf>
    <xf numFmtId="167" fontId="4" fillId="0" borderId="23" xfId="0" applyNumberFormat="1" applyFont="1" applyFill="1" applyBorder="1" applyAlignment="1" applyProtection="1">
      <alignment horizontal="center"/>
      <protection/>
    </xf>
    <xf numFmtId="0" fontId="4" fillId="0" borderId="13" xfId="0" applyFont="1" applyFill="1" applyBorder="1" applyAlignment="1" applyProtection="1">
      <alignment/>
      <protection/>
    </xf>
    <xf numFmtId="0" fontId="2"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23" xfId="0" applyNumberFormat="1" applyFont="1" applyFill="1" applyBorder="1" applyAlignment="1" applyProtection="1">
      <alignment horizontal="center"/>
      <protection locked="0"/>
    </xf>
    <xf numFmtId="3" fontId="4" fillId="0" borderId="0" xfId="0" applyNumberFormat="1" applyFont="1" applyBorder="1" applyAlignment="1" applyProtection="1">
      <alignment horizontal="center"/>
      <protection/>
    </xf>
    <xf numFmtId="0" fontId="2" fillId="0" borderId="0" xfId="0" applyFont="1" applyBorder="1" applyAlignment="1" applyProtection="1">
      <alignment/>
      <protection/>
    </xf>
    <xf numFmtId="177" fontId="2" fillId="0" borderId="0" xfId="0" applyNumberFormat="1" applyFont="1" applyBorder="1" applyAlignment="1" applyProtection="1">
      <alignment/>
      <protection/>
    </xf>
    <xf numFmtId="37" fontId="4" fillId="0" borderId="0" xfId="0" applyNumberFormat="1" applyFont="1" applyFill="1" applyAlignment="1" applyProtection="1">
      <alignment vertical="center"/>
      <protection/>
    </xf>
    <xf numFmtId="188" fontId="4" fillId="0" borderId="23" xfId="36" applyNumberFormat="1" applyFill="1" applyBorder="1" applyProtection="1">
      <alignment/>
      <protection locked="0"/>
    </xf>
    <xf numFmtId="168" fontId="4" fillId="0" borderId="23" xfId="0" applyNumberFormat="1" applyFont="1" applyFill="1" applyBorder="1" applyAlignment="1" applyProtection="1">
      <alignment/>
      <protection locked="0"/>
    </xf>
    <xf numFmtId="0" fontId="4" fillId="0" borderId="0" xfId="0" applyFont="1" applyAlignment="1" applyProtection="1">
      <alignment horizontal="justify"/>
      <protection/>
    </xf>
    <xf numFmtId="0" fontId="3" fillId="0" borderId="0" xfId="0" applyFont="1" applyAlignment="1" applyProtection="1">
      <alignment/>
      <protection/>
    </xf>
    <xf numFmtId="0" fontId="17" fillId="0" borderId="0" xfId="0" applyFont="1" applyAlignment="1" applyProtection="1">
      <alignment/>
      <protection/>
    </xf>
    <xf numFmtId="0" fontId="0" fillId="0" borderId="0" xfId="0" applyAlignment="1" applyProtection="1">
      <alignment horizontal="justify" wrapText="1"/>
      <protection/>
    </xf>
    <xf numFmtId="0" fontId="0" fillId="0" borderId="53" xfId="0" applyBorder="1" applyAlignment="1" applyProtection="1">
      <alignment/>
      <protection/>
    </xf>
    <xf numFmtId="0" fontId="1" fillId="0" borderId="54" xfId="0" applyFont="1" applyBorder="1" applyAlignment="1" applyProtection="1">
      <alignment/>
      <protection/>
    </xf>
    <xf numFmtId="0" fontId="0" fillId="0" borderId="54" xfId="0"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0" fontId="0" fillId="0" borderId="56" xfId="0" applyBorder="1" applyAlignment="1" applyProtection="1">
      <alignment/>
      <protection/>
    </xf>
    <xf numFmtId="0" fontId="0" fillId="0" borderId="57" xfId="0" applyBorder="1" applyAlignment="1" applyProtection="1">
      <alignment/>
      <protection/>
    </xf>
    <xf numFmtId="0" fontId="1" fillId="0" borderId="16" xfId="0" applyFont="1" applyBorder="1" applyAlignment="1" applyProtection="1">
      <alignment vertical="top"/>
      <protection/>
    </xf>
    <xf numFmtId="0" fontId="0" fillId="0" borderId="7" xfId="0" applyBorder="1" applyAlignment="1" applyProtection="1">
      <alignment vertical="top" wrapText="1"/>
      <protection/>
    </xf>
    <xf numFmtId="0" fontId="0" fillId="0" borderId="0" xfId="0" applyBorder="1" applyAlignment="1" applyProtection="1">
      <alignment vertical="top" wrapText="1"/>
      <protection/>
    </xf>
    <xf numFmtId="0" fontId="0" fillId="0" borderId="57" xfId="0" applyBorder="1" applyAlignment="1" applyProtection="1">
      <alignment/>
      <protection/>
    </xf>
    <xf numFmtId="0" fontId="0" fillId="0" borderId="58" xfId="0" applyFill="1" applyBorder="1" applyAlignment="1" applyProtection="1">
      <alignment/>
      <protection/>
    </xf>
    <xf numFmtId="0" fontId="0" fillId="0" borderId="59" xfId="0" applyFill="1" applyBorder="1" applyAlignment="1" applyProtection="1">
      <alignment/>
      <protection/>
    </xf>
    <xf numFmtId="0" fontId="0" fillId="0" borderId="59" xfId="0" applyFill="1" applyBorder="1" applyAlignment="1" applyProtection="1">
      <alignment vertical="top" wrapText="1"/>
      <protection/>
    </xf>
    <xf numFmtId="0" fontId="0" fillId="0" borderId="59" xfId="0" applyFill="1" applyBorder="1" applyAlignment="1" applyProtection="1">
      <alignment vertical="top"/>
      <protection/>
    </xf>
    <xf numFmtId="0" fontId="0" fillId="0" borderId="60" xfId="0" applyFill="1" applyBorder="1" applyAlignment="1" applyProtection="1">
      <alignment/>
      <protection/>
    </xf>
    <xf numFmtId="0" fontId="4" fillId="0" borderId="5" xfId="0" applyFont="1" applyBorder="1" applyAlignment="1" applyProtection="1">
      <alignment vertical="center"/>
      <protection/>
    </xf>
    <xf numFmtId="0" fontId="0" fillId="0" borderId="0" xfId="0" applyBorder="1" applyAlignment="1" applyProtection="1">
      <alignment vertical="center"/>
      <protection/>
    </xf>
    <xf numFmtId="0" fontId="5" fillId="0" borderId="0" xfId="0" applyFont="1" applyBorder="1" applyAlignment="1" applyProtection="1">
      <alignment vertical="center" wrapText="1"/>
      <protection/>
    </xf>
    <xf numFmtId="37" fontId="4" fillId="0" borderId="13" xfId="0" applyNumberFormat="1" applyFont="1" applyFill="1" applyBorder="1" applyAlignment="1" applyProtection="1">
      <alignment vertical="center"/>
      <protection locked="0"/>
    </xf>
    <xf numFmtId="0" fontId="5" fillId="0" borderId="0" xfId="0" applyFont="1" applyBorder="1" applyAlignment="1" applyProtection="1">
      <alignment vertical="center"/>
      <protection/>
    </xf>
    <xf numFmtId="37" fontId="4" fillId="0" borderId="0" xfId="0" applyNumberFormat="1" applyFont="1" applyBorder="1" applyAlignment="1" applyProtection="1">
      <alignment vertical="center"/>
      <protection/>
    </xf>
    <xf numFmtId="37" fontId="5" fillId="0" borderId="0" xfId="0" applyNumberFormat="1" applyFont="1" applyBorder="1" applyAlignment="1" applyProtection="1">
      <alignment vertical="center"/>
      <protection/>
    </xf>
    <xf numFmtId="0" fontId="0" fillId="0" borderId="0" xfId="0" applyFont="1" applyAlignment="1" applyProtection="1">
      <alignment horizontal="left"/>
      <protection/>
    </xf>
    <xf numFmtId="0" fontId="1" fillId="0" borderId="0" xfId="0" applyNumberFormat="1" applyFont="1" applyAlignment="1" applyProtection="1">
      <alignment horizontal="justify"/>
      <protection/>
    </xf>
    <xf numFmtId="0" fontId="0" fillId="0" borderId="0" xfId="0" applyFont="1" applyAlignment="1" applyProtection="1">
      <alignment horizontal="justify"/>
      <protection/>
    </xf>
    <xf numFmtId="0" fontId="1" fillId="0" borderId="0" xfId="0" applyFont="1" applyBorder="1" applyAlignment="1" applyProtection="1">
      <alignment horizontal="justify"/>
      <protection/>
    </xf>
    <xf numFmtId="170" fontId="4" fillId="0" borderId="0" xfId="0" applyNumberFormat="1" applyFont="1" applyAlignment="1" applyProtection="1">
      <alignment/>
      <protection/>
    </xf>
    <xf numFmtId="37" fontId="5" fillId="0" borderId="0" xfId="0" applyNumberFormat="1" applyFont="1" applyAlignment="1" applyProtection="1">
      <alignment/>
      <protection/>
    </xf>
    <xf numFmtId="0" fontId="4" fillId="0" borderId="0" xfId="0" applyNumberFormat="1" applyFont="1" applyAlignment="1" applyProtection="1">
      <alignment/>
      <protection/>
    </xf>
    <xf numFmtId="0" fontId="4" fillId="0" borderId="0" xfId="0" applyFont="1" applyAlignment="1" applyProtection="1">
      <alignment wrapText="1"/>
      <protection/>
    </xf>
    <xf numFmtId="0" fontId="4" fillId="0" borderId="0" xfId="0" applyFont="1" applyBorder="1" applyAlignment="1" applyProtection="1">
      <alignment horizontal="justify"/>
      <protection/>
    </xf>
    <xf numFmtId="37" fontId="4" fillId="0" borderId="0" xfId="0" applyNumberFormat="1" applyFont="1" applyAlignment="1" applyProtection="1">
      <alignment horizontal="justify"/>
      <protection/>
    </xf>
    <xf numFmtId="170" fontId="0" fillId="0" borderId="0" xfId="0" applyNumberFormat="1" applyFont="1" applyAlignment="1" applyProtection="1">
      <alignment/>
      <protection/>
    </xf>
    <xf numFmtId="170" fontId="0" fillId="0" borderId="0" xfId="0" applyNumberFormat="1" applyFont="1" applyAlignment="1" applyProtection="1">
      <alignment horizontal="justify"/>
      <protection/>
    </xf>
    <xf numFmtId="0" fontId="5" fillId="0" borderId="0" xfId="0" applyNumberFormat="1" applyFont="1" applyAlignment="1" applyProtection="1">
      <alignment horizontal="justify"/>
      <protection/>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4" fillId="0" borderId="0" xfId="0" applyFont="1" applyFill="1" applyAlignment="1" applyProtection="1">
      <alignment/>
      <protection hidden="1"/>
    </xf>
    <xf numFmtId="0" fontId="5" fillId="0" borderId="0" xfId="0" applyFont="1" applyFill="1" applyAlignment="1" applyProtection="1">
      <alignment/>
      <protection hidden="1"/>
    </xf>
    <xf numFmtId="175" fontId="4" fillId="0" borderId="61" xfId="0" applyNumberFormat="1" applyFont="1" applyFill="1" applyBorder="1" applyAlignment="1" applyProtection="1">
      <alignment horizontal="left"/>
      <protection locked="0"/>
    </xf>
    <xf numFmtId="175" fontId="4" fillId="0" borderId="36" xfId="0" applyNumberFormat="1" applyFont="1" applyFill="1" applyBorder="1" applyAlignment="1" applyProtection="1">
      <alignment horizontal="left"/>
      <protection locked="0"/>
    </xf>
    <xf numFmtId="14" fontId="4" fillId="0" borderId="23" xfId="0" applyNumberFormat="1" applyFont="1" applyFill="1" applyBorder="1" applyAlignment="1" applyProtection="1">
      <alignment horizontal="left"/>
      <protection locked="0"/>
    </xf>
    <xf numFmtId="0" fontId="4" fillId="0" borderId="25" xfId="0" applyFont="1" applyFill="1" applyBorder="1" applyAlignment="1" applyProtection="1">
      <alignment/>
      <protection hidden="1"/>
    </xf>
    <xf numFmtId="0" fontId="4" fillId="0" borderId="13" xfId="0" applyFont="1" applyFill="1" applyBorder="1" applyAlignment="1" applyProtection="1">
      <alignment/>
      <protection hidden="1"/>
    </xf>
    <xf numFmtId="37" fontId="4" fillId="0" borderId="3" xfId="0" applyNumberFormat="1" applyFont="1" applyFill="1" applyBorder="1" applyAlignment="1" applyProtection="1">
      <alignment vertical="center"/>
      <protection locked="0"/>
    </xf>
    <xf numFmtId="0" fontId="4" fillId="3" borderId="13" xfId="0" applyFont="1" applyFill="1" applyBorder="1" applyAlignment="1" applyProtection="1">
      <alignment/>
      <protection hidden="1"/>
    </xf>
    <xf numFmtId="0" fontId="5" fillId="0" borderId="0" xfId="32" applyFont="1" applyBorder="1" applyAlignment="1" applyProtection="1">
      <alignment horizontal="left"/>
      <protection/>
    </xf>
    <xf numFmtId="0" fontId="4" fillId="0" borderId="0" xfId="0" applyFont="1" applyAlignment="1" applyProtection="1">
      <alignment/>
      <protection locked="0"/>
    </xf>
    <xf numFmtId="187" fontId="15" fillId="0" borderId="6" xfId="0" applyNumberFormat="1" applyFont="1" applyBorder="1" applyAlignment="1" applyProtection="1">
      <alignment horizontal="right" vertical="center"/>
      <protection/>
    </xf>
    <xf numFmtId="0" fontId="15" fillId="0" borderId="5" xfId="0" applyFont="1" applyBorder="1" applyAlignment="1" applyProtection="1">
      <alignment vertical="center"/>
      <protection/>
    </xf>
    <xf numFmtId="0" fontId="5" fillId="0" borderId="0" xfId="0" applyNumberFormat="1" applyFont="1" applyBorder="1" applyAlignment="1" applyProtection="1">
      <alignment vertical="center"/>
      <protection/>
    </xf>
    <xf numFmtId="0" fontId="4" fillId="0" borderId="0" xfId="0" applyNumberFormat="1" applyFont="1" applyAlignment="1" applyProtection="1">
      <alignment horizontal="right"/>
      <protection/>
    </xf>
    <xf numFmtId="181" fontId="4" fillId="0" borderId="52" xfId="36" applyNumberFormat="1" applyFont="1" applyFill="1" applyBorder="1" applyAlignment="1" applyProtection="1">
      <alignment/>
      <protection hidden="1"/>
    </xf>
    <xf numFmtId="0" fontId="4" fillId="0" borderId="0" xfId="0" applyFont="1" applyAlignment="1">
      <alignment/>
    </xf>
    <xf numFmtId="181" fontId="4" fillId="0" borderId="0" xfId="36" applyNumberFormat="1" applyFont="1" applyFill="1" applyBorder="1" applyAlignment="1" applyProtection="1">
      <alignment/>
      <protection hidden="1"/>
    </xf>
    <xf numFmtId="0" fontId="4" fillId="0" borderId="13" xfId="0" applyFont="1" applyBorder="1" applyAlignment="1" applyProtection="1">
      <alignment/>
      <protection/>
    </xf>
    <xf numFmtId="177" fontId="4" fillId="0" borderId="13" xfId="36" applyFont="1" applyFill="1" applyBorder="1" applyProtection="1">
      <alignment/>
      <protection locked="0"/>
    </xf>
    <xf numFmtId="0" fontId="4" fillId="0" borderId="5" xfId="0" applyFont="1" applyBorder="1" applyAlignment="1" applyProtection="1">
      <alignment horizontal="left" vertical="center"/>
      <protection/>
    </xf>
    <xf numFmtId="0" fontId="5" fillId="0" borderId="5" xfId="0" applyNumberFormat="1" applyFont="1" applyBorder="1" applyAlignment="1" applyProtection="1">
      <alignment vertical="center"/>
      <protection/>
    </xf>
    <xf numFmtId="0" fontId="16" fillId="0" borderId="5" xfId="0" applyNumberFormat="1" applyFont="1" applyBorder="1" applyAlignment="1" applyProtection="1">
      <alignment vertical="center"/>
      <protection/>
    </xf>
    <xf numFmtId="0" fontId="5" fillId="0" borderId="0" xfId="0" applyFont="1" applyFill="1" applyBorder="1" applyAlignment="1" applyProtection="1">
      <alignment horizontal="right" vertical="top"/>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vertical="center"/>
      <protection/>
    </xf>
    <xf numFmtId="0" fontId="5" fillId="0" borderId="0" xfId="0" applyNumberFormat="1" applyFont="1" applyBorder="1" applyAlignment="1" applyProtection="1">
      <alignment horizontal="left" wrapText="1"/>
      <protection/>
    </xf>
    <xf numFmtId="170" fontId="4" fillId="0" borderId="0" xfId="0" applyNumberFormat="1" applyFont="1" applyAlignment="1" applyProtection="1">
      <alignment horizontal="left"/>
      <protection/>
    </xf>
    <xf numFmtId="0" fontId="5" fillId="3" borderId="3" xfId="0" applyFont="1" applyFill="1" applyBorder="1" applyAlignment="1" applyProtection="1">
      <alignment vertical="center"/>
      <protection/>
    </xf>
    <xf numFmtId="176" fontId="4" fillId="0" borderId="61" xfId="36" applyNumberFormat="1" applyFont="1" applyFill="1" applyBorder="1" applyProtection="1">
      <alignment/>
      <protection locked="0"/>
    </xf>
    <xf numFmtId="176" fontId="4" fillId="0" borderId="39" xfId="36" applyNumberFormat="1" applyFont="1" applyFill="1" applyBorder="1" applyProtection="1">
      <alignment/>
      <protection locked="0"/>
    </xf>
    <xf numFmtId="176" fontId="4" fillId="0" borderId="23" xfId="36" applyNumberFormat="1" applyFont="1" applyFill="1" applyBorder="1" applyProtection="1">
      <alignment/>
      <protection locked="0"/>
    </xf>
    <xf numFmtId="176" fontId="4" fillId="0" borderId="17" xfId="36" applyNumberFormat="1" applyFont="1" applyFill="1" applyBorder="1" applyProtection="1">
      <alignment/>
      <protection locked="0"/>
    </xf>
    <xf numFmtId="0" fontId="5" fillId="0" borderId="0" xfId="0" applyFont="1" applyBorder="1" applyAlignment="1" applyProtection="1">
      <alignment horizontal="center" vertical="center"/>
      <protection/>
    </xf>
    <xf numFmtId="183" fontId="4" fillId="0" borderId="25" xfId="38" applyFont="1" applyBorder="1" applyProtection="1">
      <alignment/>
      <protection/>
    </xf>
    <xf numFmtId="183" fontId="4" fillId="0" borderId="12" xfId="38" applyFont="1" applyFill="1" applyBorder="1" applyProtection="1">
      <alignment/>
      <protection locked="0"/>
    </xf>
    <xf numFmtId="183" fontId="4" fillId="0" borderId="13" xfId="38" applyFont="1" applyBorder="1" applyProtection="1">
      <alignment/>
      <protection/>
    </xf>
    <xf numFmtId="183" fontId="4" fillId="0" borderId="25" xfId="38" applyFont="1" applyBorder="1" applyAlignment="1" applyProtection="1">
      <alignment/>
      <protection/>
    </xf>
    <xf numFmtId="0" fontId="4" fillId="0" borderId="0" xfId="0" applyFont="1" applyAlignment="1" applyProtection="1">
      <alignment/>
      <protection hidden="1"/>
    </xf>
    <xf numFmtId="3" fontId="4" fillId="0" borderId="23" xfId="36" applyNumberFormat="1" applyFont="1" applyFill="1" applyBorder="1" applyProtection="1">
      <alignment/>
      <protection locked="0"/>
    </xf>
    <xf numFmtId="3" fontId="4" fillId="0" borderId="24" xfId="36" applyNumberFormat="1" applyFont="1" applyFill="1" applyBorder="1" applyProtection="1">
      <alignment/>
      <protection locked="0"/>
    </xf>
    <xf numFmtId="0" fontId="4" fillId="0" borderId="0" xfId="0" applyFont="1" applyAlignment="1" applyProtection="1">
      <alignment horizontal="left" vertical="top" wrapText="1"/>
      <protection hidden="1"/>
    </xf>
    <xf numFmtId="171" fontId="4" fillId="0" borderId="23" xfId="36" applyNumberFormat="1" applyFont="1" applyFill="1" applyBorder="1" applyProtection="1">
      <alignment/>
      <protection locked="0"/>
    </xf>
    <xf numFmtId="171" fontId="4" fillId="0" borderId="23" xfId="36" applyNumberFormat="1" applyFont="1" applyFill="1" applyBorder="1" applyProtection="1">
      <alignment/>
      <protection/>
    </xf>
    <xf numFmtId="171" fontId="4" fillId="0" borderId="0" xfId="0" applyNumberFormat="1" applyFont="1" applyAlignment="1" applyProtection="1">
      <alignment/>
      <protection/>
    </xf>
    <xf numFmtId="171" fontId="4" fillId="0" borderId="0" xfId="0" applyNumberFormat="1" applyFont="1" applyBorder="1" applyAlignment="1" applyProtection="1">
      <alignment/>
      <protection/>
    </xf>
    <xf numFmtId="171" fontId="4" fillId="0" borderId="23" xfId="38" applyNumberFormat="1" applyFont="1" applyFill="1" applyBorder="1" applyProtection="1">
      <alignment/>
      <protection locked="0"/>
    </xf>
    <xf numFmtId="171" fontId="5" fillId="0" borderId="0" xfId="0" applyNumberFormat="1" applyFont="1" applyAlignment="1" applyProtection="1">
      <alignment/>
      <protection/>
    </xf>
    <xf numFmtId="0" fontId="2" fillId="0" borderId="0" xfId="0" applyFont="1" applyAlignment="1" applyProtection="1">
      <alignment horizontal="right" vertical="center"/>
      <protection/>
    </xf>
    <xf numFmtId="0" fontId="16" fillId="0" borderId="0" xfId="0" applyNumberFormat="1" applyFont="1" applyBorder="1" applyAlignment="1" applyProtection="1">
      <alignment vertical="center"/>
      <protection/>
    </xf>
    <xf numFmtId="172" fontId="4" fillId="0" borderId="23" xfId="0" applyNumberFormat="1" applyFont="1" applyFill="1" applyBorder="1" applyAlignment="1" applyProtection="1">
      <alignment horizontal="right"/>
      <protection locked="0"/>
    </xf>
    <xf numFmtId="0" fontId="4" fillId="0" borderId="5" xfId="0" applyNumberFormat="1" applyFont="1" applyBorder="1" applyAlignment="1" applyProtection="1">
      <alignment vertical="center"/>
      <protection hidden="1"/>
    </xf>
    <xf numFmtId="0" fontId="5" fillId="0" borderId="0" xfId="0" applyFont="1" applyAlignment="1" applyProtection="1">
      <alignment horizontal="left" vertical="top" wrapText="1"/>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left" vertical="center" wrapText="1"/>
      <protection hidden="1"/>
    </xf>
    <xf numFmtId="0" fontId="5" fillId="0" borderId="0" xfId="0" applyFont="1" applyAlignment="1" applyProtection="1">
      <alignment horizontal="left" vertical="center" wrapText="1"/>
      <protection hidden="1"/>
    </xf>
    <xf numFmtId="37" fontId="4" fillId="0" borderId="0" xfId="0" applyNumberFormat="1" applyFont="1" applyAlignment="1" applyProtection="1">
      <alignment horizontal="center"/>
      <protection hidden="1"/>
    </xf>
    <xf numFmtId="37" fontId="15" fillId="0" borderId="0" xfId="0" applyNumberFormat="1" applyFont="1" applyAlignment="1" applyProtection="1">
      <alignment/>
      <protection hidden="1"/>
    </xf>
    <xf numFmtId="0" fontId="15" fillId="0" borderId="0" xfId="0" applyFont="1" applyAlignment="1" applyProtection="1">
      <alignment/>
      <protection hidden="1"/>
    </xf>
    <xf numFmtId="0" fontId="4" fillId="0" borderId="0" xfId="0" applyFont="1" applyAlignment="1" applyProtection="1">
      <alignment horizontal="justify" wrapText="1"/>
      <protection hidden="1"/>
    </xf>
    <xf numFmtId="0" fontId="4" fillId="0" borderId="0" xfId="0" applyFont="1" applyAlignment="1" applyProtection="1">
      <alignment horizontal="justify"/>
      <protection hidden="1"/>
    </xf>
    <xf numFmtId="0" fontId="5" fillId="0" borderId="0" xfId="0" applyNumberFormat="1" applyFont="1" applyBorder="1" applyAlignment="1" applyProtection="1">
      <alignment vertical="center"/>
      <protection hidden="1"/>
    </xf>
    <xf numFmtId="0" fontId="16" fillId="0" borderId="0" xfId="0" applyNumberFormat="1" applyFont="1" applyBorder="1" applyAlignment="1" applyProtection="1">
      <alignment vertical="center"/>
      <protection hidden="1"/>
    </xf>
    <xf numFmtId="187" fontId="4" fillId="0" borderId="0" xfId="0" applyNumberFormat="1" applyFont="1" applyBorder="1" applyAlignment="1" applyProtection="1">
      <alignment horizontal="right" vertical="center"/>
      <protection hidden="1"/>
    </xf>
    <xf numFmtId="0" fontId="4" fillId="0" borderId="0" xfId="0" applyNumberFormat="1" applyFont="1" applyBorder="1" applyAlignment="1" applyProtection="1">
      <alignment vertical="center"/>
      <protection hidden="1"/>
    </xf>
    <xf numFmtId="0" fontId="4" fillId="0" borderId="0" xfId="0" applyFont="1" applyAlignment="1" applyProtection="1">
      <alignment wrapText="1"/>
      <protection hidden="1"/>
    </xf>
    <xf numFmtId="0" fontId="4" fillId="0" borderId="5" xfId="0" applyFont="1" applyBorder="1" applyAlignment="1" applyProtection="1">
      <alignment vertical="center"/>
      <protection hidden="1"/>
    </xf>
    <xf numFmtId="0" fontId="4" fillId="0" borderId="5" xfId="0" applyFont="1" applyBorder="1" applyAlignment="1" applyProtection="1">
      <alignment horizontal="left" vertical="center"/>
      <protection hidden="1"/>
    </xf>
    <xf numFmtId="0" fontId="5" fillId="0" borderId="5" xfId="0" applyNumberFormat="1" applyFont="1" applyBorder="1" applyAlignment="1" applyProtection="1">
      <alignment vertical="center"/>
      <protection hidden="1"/>
    </xf>
    <xf numFmtId="0" fontId="16" fillId="0" borderId="5" xfId="0" applyNumberFormat="1" applyFont="1" applyBorder="1" applyAlignment="1" applyProtection="1">
      <alignment vertical="center"/>
      <protection hidden="1"/>
    </xf>
    <xf numFmtId="0" fontId="15" fillId="0" borderId="5" xfId="0" applyFont="1" applyBorder="1" applyAlignment="1" applyProtection="1">
      <alignment vertical="center"/>
      <protection hidden="1"/>
    </xf>
    <xf numFmtId="2" fontId="4" fillId="0" borderId="0" xfId="0" applyNumberFormat="1" applyFont="1" applyAlignment="1" applyProtection="1">
      <alignment horizontal="left"/>
      <protection hidden="1"/>
    </xf>
    <xf numFmtId="0" fontId="14" fillId="0" borderId="0" xfId="32" applyFont="1" applyBorder="1" applyAlignment="1" applyProtection="1">
      <alignment horizontal="left"/>
      <protection hidden="1"/>
    </xf>
    <xf numFmtId="37" fontId="5" fillId="0" borderId="0" xfId="0" applyNumberFormat="1" applyFont="1" applyBorder="1" applyAlignment="1" applyProtection="1">
      <alignment horizontal="center"/>
      <protection hidden="1"/>
    </xf>
    <xf numFmtId="0" fontId="5" fillId="0" borderId="0" xfId="32" applyFont="1" applyBorder="1" applyAlignment="1" applyProtection="1">
      <alignment horizontal="left"/>
      <protection hidden="1"/>
    </xf>
    <xf numFmtId="37" fontId="5" fillId="3" borderId="16" xfId="0" applyNumberFormat="1" applyFont="1" applyFill="1" applyBorder="1" applyAlignment="1" applyProtection="1">
      <alignment vertical="center"/>
      <protection hidden="1"/>
    </xf>
    <xf numFmtId="37" fontId="5" fillId="3" borderId="3" xfId="0" applyNumberFormat="1" applyFont="1" applyFill="1" applyBorder="1" applyAlignment="1" applyProtection="1">
      <alignment horizontal="left" vertical="center"/>
      <protection hidden="1"/>
    </xf>
    <xf numFmtId="37" fontId="5" fillId="3" borderId="7" xfId="0" applyNumberFormat="1" applyFont="1" applyFill="1" applyBorder="1" applyAlignment="1" applyProtection="1">
      <alignment horizontal="right" vertical="center"/>
      <protection hidden="1"/>
    </xf>
    <xf numFmtId="0" fontId="5" fillId="0" borderId="0" xfId="0" applyNumberFormat="1" applyFont="1" applyFill="1" applyBorder="1" applyAlignment="1" applyProtection="1">
      <alignment vertical="center"/>
      <protection hidden="1"/>
    </xf>
    <xf numFmtId="0" fontId="4" fillId="0" borderId="0" xfId="0" applyNumberFormat="1" applyFont="1" applyAlignment="1" applyProtection="1">
      <alignment horizontal="right"/>
      <protection hidden="1"/>
    </xf>
    <xf numFmtId="37" fontId="4" fillId="0" borderId="17" xfId="0" applyNumberFormat="1" applyFont="1" applyFill="1" applyBorder="1" applyAlignment="1" applyProtection="1">
      <alignment/>
      <protection hidden="1"/>
    </xf>
    <xf numFmtId="0" fontId="4" fillId="0" borderId="0" xfId="0" applyNumberFormat="1" applyFont="1" applyAlignment="1" applyProtection="1">
      <alignment/>
      <protection hidden="1"/>
    </xf>
    <xf numFmtId="37" fontId="5" fillId="3" borderId="21" xfId="0" applyNumberFormat="1" applyFont="1" applyFill="1" applyBorder="1" applyAlignment="1" applyProtection="1">
      <alignment horizontal="right" vertical="center"/>
      <protection hidden="1"/>
    </xf>
    <xf numFmtId="37" fontId="5" fillId="3" borderId="51" xfId="0" applyNumberFormat="1" applyFont="1" applyFill="1" applyBorder="1" applyAlignment="1" applyProtection="1">
      <alignment horizontal="left" vertical="center"/>
      <protection hidden="1"/>
    </xf>
    <xf numFmtId="37" fontId="5" fillId="3" borderId="6" xfId="0" applyNumberFormat="1" applyFont="1" applyFill="1" applyBorder="1" applyAlignment="1" applyProtection="1">
      <alignment horizontal="left" vertical="center"/>
      <protection hidden="1"/>
    </xf>
    <xf numFmtId="37" fontId="5" fillId="3" borderId="22" xfId="0" applyNumberFormat="1" applyFont="1" applyFill="1" applyBorder="1" applyAlignment="1" applyProtection="1">
      <alignment horizontal="left" vertical="center"/>
      <protection hidden="1"/>
    </xf>
    <xf numFmtId="37" fontId="5" fillId="3" borderId="14" xfId="0" applyNumberFormat="1" applyFont="1" applyFill="1" applyBorder="1" applyAlignment="1" applyProtection="1">
      <alignment horizontal="right" vertical="center"/>
      <protection hidden="1"/>
    </xf>
    <xf numFmtId="37" fontId="4" fillId="0" borderId="13" xfId="0" applyNumberFormat="1" applyFont="1" applyFill="1" applyBorder="1" applyAlignment="1" applyProtection="1">
      <alignment/>
      <protection hidden="1"/>
    </xf>
    <xf numFmtId="0" fontId="14" fillId="0" borderId="17" xfId="0" applyFont="1" applyFill="1" applyBorder="1" applyAlignment="1" applyProtection="1">
      <alignment horizontal="right"/>
      <protection hidden="1"/>
    </xf>
    <xf numFmtId="37" fontId="5" fillId="0" borderId="17" xfId="0" applyNumberFormat="1" applyFont="1" applyFill="1" applyBorder="1" applyAlignment="1" applyProtection="1">
      <alignment horizontal="left"/>
      <protection hidden="1"/>
    </xf>
    <xf numFmtId="37" fontId="4" fillId="0" borderId="17" xfId="0" applyNumberFormat="1" applyFont="1" applyFill="1" applyBorder="1" applyAlignment="1" applyProtection="1">
      <alignment/>
      <protection hidden="1" locked="0"/>
    </xf>
    <xf numFmtId="0" fontId="4" fillId="0" borderId="0" xfId="0" applyFont="1" applyBorder="1" applyAlignment="1" applyProtection="1">
      <alignment/>
      <protection hidden="1"/>
    </xf>
    <xf numFmtId="0" fontId="4" fillId="3" borderId="7" xfId="0" applyFont="1" applyFill="1" applyBorder="1" applyAlignment="1" applyProtection="1">
      <alignment vertical="center"/>
      <protection hidden="1"/>
    </xf>
    <xf numFmtId="195" fontId="4" fillId="0" borderId="0" xfId="0" applyNumberFormat="1" applyFont="1" applyFill="1" applyBorder="1" applyAlignment="1" applyProtection="1">
      <alignment/>
      <protection hidden="1"/>
    </xf>
    <xf numFmtId="0" fontId="4" fillId="0" borderId="17" xfId="0" applyFont="1" applyBorder="1" applyAlignment="1" applyProtection="1">
      <alignment/>
      <protection hidden="1"/>
    </xf>
    <xf numFmtId="177" fontId="4" fillId="0" borderId="13" xfId="36" applyFont="1" applyFill="1" applyBorder="1" applyProtection="1">
      <alignment/>
      <protection hidden="1"/>
    </xf>
    <xf numFmtId="0" fontId="4" fillId="0" borderId="13" xfId="0" applyFont="1" applyBorder="1" applyAlignment="1" applyProtection="1">
      <alignment/>
      <protection hidden="1"/>
    </xf>
    <xf numFmtId="177" fontId="4" fillId="0" borderId="32" xfId="36" applyFont="1" applyFill="1" applyBorder="1" applyProtection="1">
      <alignment/>
      <protection hidden="1"/>
    </xf>
    <xf numFmtId="0" fontId="4" fillId="0" borderId="17" xfId="0" applyFont="1" applyBorder="1" applyAlignment="1" applyProtection="1">
      <alignment horizontal="left"/>
      <protection hidden="1"/>
    </xf>
    <xf numFmtId="0" fontId="5" fillId="0" borderId="0" xfId="0" applyFont="1" applyAlignment="1" applyProtection="1">
      <alignment/>
      <protection hidden="1"/>
    </xf>
    <xf numFmtId="196" fontId="4" fillId="0" borderId="23" xfId="0" applyNumberFormat="1" applyFont="1" applyBorder="1" applyAlignment="1" applyProtection="1">
      <alignment/>
      <protection hidden="1"/>
    </xf>
    <xf numFmtId="0" fontId="5" fillId="0" borderId="0" xfId="0" applyNumberFormat="1" applyFont="1" applyFill="1" applyBorder="1" applyAlignment="1" applyProtection="1">
      <alignment horizontal="left" wrapText="1"/>
      <protection hidden="1"/>
    </xf>
    <xf numFmtId="191" fontId="5" fillId="3" borderId="14" xfId="0" applyNumberFormat="1" applyFont="1" applyFill="1" applyBorder="1" applyAlignment="1" applyProtection="1">
      <alignment horizontal="right" vertical="center"/>
      <protection hidden="1"/>
    </xf>
    <xf numFmtId="0" fontId="5" fillId="3" borderId="22" xfId="0" applyFont="1" applyFill="1" applyBorder="1" applyAlignment="1" applyProtection="1">
      <alignment horizontal="right" vertical="center"/>
      <protection hidden="1"/>
    </xf>
    <xf numFmtId="0" fontId="5" fillId="3" borderId="3" xfId="0" applyFont="1" applyFill="1" applyBorder="1" applyAlignment="1" applyProtection="1">
      <alignment horizontal="right" vertical="center"/>
      <protection hidden="1"/>
    </xf>
    <xf numFmtId="0" fontId="5" fillId="3" borderId="14" xfId="0" applyFont="1" applyFill="1" applyBorder="1" applyAlignment="1" applyProtection="1">
      <alignment horizontal="right" vertical="center"/>
      <protection hidden="1"/>
    </xf>
    <xf numFmtId="0" fontId="5" fillId="0" borderId="0" xfId="0" applyNumberFormat="1" applyFont="1" applyAlignment="1" applyProtection="1">
      <alignment/>
      <protection hidden="1"/>
    </xf>
    <xf numFmtId="170" fontId="4" fillId="0" borderId="0" xfId="0" applyNumberFormat="1" applyFont="1" applyFill="1" applyBorder="1" applyAlignment="1" applyProtection="1">
      <alignment horizontal="left"/>
      <protection hidden="1"/>
    </xf>
    <xf numFmtId="177" fontId="4" fillId="0" borderId="0" xfId="36" applyFont="1" applyFill="1" applyBorder="1" applyProtection="1">
      <alignment/>
      <protection hidden="1"/>
    </xf>
    <xf numFmtId="37" fontId="4" fillId="0" borderId="17" xfId="0" applyNumberFormat="1" applyFont="1" applyFill="1" applyBorder="1" applyAlignment="1" applyProtection="1">
      <alignment/>
      <protection hidden="1"/>
    </xf>
    <xf numFmtId="0" fontId="4" fillId="0" borderId="17" xfId="0" applyFont="1" applyFill="1" applyBorder="1" applyAlignment="1" applyProtection="1">
      <alignment/>
      <protection hidden="1"/>
    </xf>
    <xf numFmtId="37" fontId="5" fillId="0" borderId="0" xfId="0" applyNumberFormat="1" applyFont="1" applyAlignment="1" applyProtection="1">
      <alignment/>
      <protection hidden="1"/>
    </xf>
    <xf numFmtId="37" fontId="4" fillId="0" borderId="0" xfId="0" applyNumberFormat="1" applyFont="1" applyAlignment="1" applyProtection="1">
      <alignment horizontal="left"/>
      <protection hidden="1"/>
    </xf>
    <xf numFmtId="0" fontId="5" fillId="3" borderId="3" xfId="0" applyFont="1" applyFill="1" applyBorder="1" applyAlignment="1" applyProtection="1">
      <alignment vertical="center"/>
      <protection hidden="1"/>
    </xf>
    <xf numFmtId="0" fontId="5" fillId="0" borderId="0" xfId="0" applyFont="1" applyAlignment="1" applyProtection="1">
      <alignment vertical="center"/>
      <protection hidden="1"/>
    </xf>
    <xf numFmtId="0" fontId="4" fillId="0" borderId="34" xfId="0" applyFont="1" applyBorder="1" applyAlignment="1" applyProtection="1">
      <alignment vertical="center"/>
      <protection hidden="1"/>
    </xf>
    <xf numFmtId="0" fontId="5" fillId="3" borderId="33" xfId="0" applyFont="1" applyFill="1" applyBorder="1" applyAlignment="1" applyProtection="1">
      <alignment horizontal="left" vertical="center"/>
      <protection hidden="1"/>
    </xf>
    <xf numFmtId="0" fontId="5" fillId="3" borderId="14" xfId="0" applyFont="1" applyFill="1" applyBorder="1" applyAlignment="1" applyProtection="1">
      <alignment horizontal="left" vertical="center"/>
      <protection hidden="1"/>
    </xf>
    <xf numFmtId="0" fontId="4" fillId="0" borderId="34" xfId="0" applyFont="1" applyBorder="1" applyAlignment="1" applyProtection="1">
      <alignment/>
      <protection hidden="1"/>
    </xf>
    <xf numFmtId="172" fontId="4" fillId="0" borderId="0" xfId="0" applyNumberFormat="1" applyFont="1" applyAlignment="1" applyProtection="1">
      <alignment/>
      <protection hidden="1"/>
    </xf>
    <xf numFmtId="0" fontId="3" fillId="0" borderId="5" xfId="0" applyNumberFormat="1" applyFont="1" applyBorder="1" applyAlignment="1" applyProtection="1">
      <alignment vertical="center"/>
      <protection hidden="1"/>
    </xf>
    <xf numFmtId="0" fontId="5" fillId="0" borderId="0" xfId="0" applyFont="1" applyBorder="1" applyAlignment="1" applyProtection="1">
      <alignment/>
      <protection hidden="1"/>
    </xf>
    <xf numFmtId="0" fontId="5" fillId="0" borderId="0" xfId="32" applyFont="1" applyProtection="1">
      <alignment/>
      <protection hidden="1"/>
    </xf>
    <xf numFmtId="0" fontId="4" fillId="0" borderId="0" xfId="0" applyFont="1" applyBorder="1" applyAlignment="1" applyProtection="1">
      <alignment horizontal="left"/>
      <protection hidden="1"/>
    </xf>
    <xf numFmtId="37" fontId="4" fillId="0" borderId="0" xfId="0" applyNumberFormat="1" applyFont="1" applyAlignment="1" applyProtection="1">
      <alignment/>
      <protection hidden="1"/>
    </xf>
    <xf numFmtId="177" fontId="5" fillId="0" borderId="17" xfId="36" applyFont="1" applyFill="1" applyBorder="1" applyAlignment="1" applyProtection="1">
      <alignment horizontal="right"/>
      <protection hidden="1"/>
    </xf>
    <xf numFmtId="37" fontId="4" fillId="0" borderId="0" xfId="0" applyNumberFormat="1" applyFont="1" applyBorder="1" applyAlignment="1" applyProtection="1">
      <alignment/>
      <protection hidden="1"/>
    </xf>
    <xf numFmtId="0" fontId="0" fillId="0" borderId="0" xfId="0" applyAlignment="1" applyProtection="1">
      <alignment/>
      <protection hidden="1"/>
    </xf>
    <xf numFmtId="0" fontId="5" fillId="0" borderId="0" xfId="0" applyFont="1" applyBorder="1" applyAlignment="1" applyProtection="1">
      <alignment horizontal="left" vertical="center"/>
      <protection hidden="1"/>
    </xf>
    <xf numFmtId="0" fontId="5" fillId="0" borderId="0" xfId="0" applyFont="1" applyBorder="1" applyAlignment="1" applyProtection="1">
      <alignment horizontal="center" vertical="center"/>
      <protection hidden="1"/>
    </xf>
    <xf numFmtId="49" fontId="5" fillId="3" borderId="3" xfId="0" applyNumberFormat="1" applyFont="1" applyFill="1" applyBorder="1" applyAlignment="1" applyProtection="1">
      <alignment horizontal="center" vertical="center"/>
      <protection hidden="1"/>
    </xf>
    <xf numFmtId="0" fontId="4" fillId="0" borderId="0" xfId="0" applyNumberFormat="1" applyFont="1" applyBorder="1" applyAlignment="1" applyProtection="1">
      <alignment/>
      <protection hidden="1"/>
    </xf>
    <xf numFmtId="0" fontId="4" fillId="0" borderId="0" xfId="0" applyFont="1" applyFill="1" applyBorder="1" applyAlignment="1" applyProtection="1">
      <alignment/>
      <protection hidden="1"/>
    </xf>
    <xf numFmtId="37" fontId="4" fillId="0" borderId="0" xfId="0" applyNumberFormat="1" applyFont="1" applyBorder="1" applyAlignment="1" applyProtection="1">
      <alignment vertical="center"/>
      <protection hidden="1"/>
    </xf>
    <xf numFmtId="177" fontId="4" fillId="0" borderId="0" xfId="36" applyFont="1" applyBorder="1" applyProtection="1">
      <alignment/>
      <protection hidden="1"/>
    </xf>
    <xf numFmtId="177" fontId="5" fillId="0" borderId="0" xfId="39" applyFont="1" applyFill="1" applyBorder="1" applyProtection="1">
      <alignment/>
      <protection hidden="1"/>
    </xf>
    <xf numFmtId="0" fontId="4"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NumberFormat="1" applyFont="1" applyBorder="1" applyAlignment="1" applyProtection="1">
      <alignment/>
      <protection hidden="1"/>
    </xf>
    <xf numFmtId="37" fontId="5" fillId="3" borderId="16" xfId="0" applyNumberFormat="1" applyFont="1" applyFill="1" applyBorder="1" applyAlignment="1" applyProtection="1">
      <alignment horizontal="center" vertical="center"/>
      <protection hidden="1"/>
    </xf>
    <xf numFmtId="37" fontId="5" fillId="0" borderId="0" xfId="0" applyNumberFormat="1" applyFont="1" applyBorder="1" applyAlignment="1" applyProtection="1">
      <alignment/>
      <protection hidden="1"/>
    </xf>
    <xf numFmtId="37" fontId="4" fillId="0" borderId="12" xfId="0" applyNumberFormat="1" applyFont="1" applyFill="1" applyBorder="1" applyAlignment="1" applyProtection="1">
      <alignment/>
      <protection hidden="1"/>
    </xf>
    <xf numFmtId="0" fontId="5" fillId="3" borderId="51" xfId="0" applyFont="1" applyFill="1" applyBorder="1" applyAlignment="1" applyProtection="1">
      <alignment horizontal="right" vertical="center"/>
      <protection hidden="1"/>
    </xf>
    <xf numFmtId="37" fontId="5" fillId="3" borderId="5" xfId="0" applyNumberFormat="1" applyFont="1" applyFill="1" applyBorder="1" applyAlignment="1" applyProtection="1">
      <alignment horizontal="center" vertical="center"/>
      <protection hidden="1"/>
    </xf>
    <xf numFmtId="174" fontId="4" fillId="0" borderId="23" xfId="36" applyNumberFormat="1" applyFont="1" applyFill="1" applyBorder="1" applyAlignment="1" applyProtection="1">
      <alignment horizontal="center"/>
      <protection hidden="1"/>
    </xf>
    <xf numFmtId="0" fontId="4" fillId="0" borderId="13" xfId="0" applyFont="1" applyFill="1" applyBorder="1" applyAlignment="1" applyProtection="1">
      <alignment wrapText="1"/>
      <protection hidden="1"/>
    </xf>
    <xf numFmtId="0" fontId="4" fillId="0" borderId="32" xfId="0" applyFont="1" applyFill="1" applyBorder="1" applyAlignment="1" applyProtection="1">
      <alignment wrapText="1"/>
      <protection hidden="1"/>
    </xf>
    <xf numFmtId="0" fontId="4" fillId="0" borderId="32" xfId="0" applyFont="1" applyBorder="1" applyAlignment="1" applyProtection="1">
      <alignment/>
      <protection hidden="1"/>
    </xf>
    <xf numFmtId="0" fontId="4" fillId="0" borderId="12" xfId="0" applyFont="1" applyBorder="1" applyAlignment="1" applyProtection="1">
      <alignment/>
      <protection hidden="1"/>
    </xf>
    <xf numFmtId="0" fontId="5" fillId="0" borderId="0" xfId="0" applyNumberFormat="1" applyFont="1" applyBorder="1" applyAlignment="1" applyProtection="1">
      <alignment horizontal="left" vertical="center"/>
      <protection hidden="1"/>
    </xf>
    <xf numFmtId="37" fontId="5" fillId="3" borderId="21" xfId="0" applyNumberFormat="1" applyFont="1" applyFill="1" applyBorder="1" applyAlignment="1" applyProtection="1">
      <alignment horizontal="center" vertical="center"/>
      <protection hidden="1"/>
    </xf>
    <xf numFmtId="37" fontId="5" fillId="3" borderId="14" xfId="0" applyNumberFormat="1" applyFont="1" applyFill="1" applyBorder="1" applyAlignment="1" applyProtection="1">
      <alignment horizontal="center" vertical="center"/>
      <protection hidden="1"/>
    </xf>
    <xf numFmtId="0" fontId="1" fillId="0" borderId="0" xfId="0" applyNumberFormat="1" applyFont="1" applyAlignment="1" applyProtection="1">
      <alignment/>
      <protection hidden="1"/>
    </xf>
    <xf numFmtId="3" fontId="4" fillId="0" borderId="0" xfId="0" applyNumberFormat="1" applyFont="1" applyAlignment="1" applyProtection="1">
      <alignment/>
      <protection hidden="1"/>
    </xf>
    <xf numFmtId="3" fontId="5" fillId="0" borderId="0" xfId="0" applyNumberFormat="1" applyFont="1" applyAlignment="1" applyProtection="1">
      <alignment/>
      <protection hidden="1"/>
    </xf>
    <xf numFmtId="0" fontId="4" fillId="3" borderId="5" xfId="0" applyFont="1" applyFill="1" applyBorder="1" applyAlignment="1" applyProtection="1">
      <alignment horizontal="left"/>
      <protection hidden="1"/>
    </xf>
    <xf numFmtId="0" fontId="3" fillId="0" borderId="0" xfId="0" applyFont="1" applyBorder="1" applyAlignment="1" applyProtection="1">
      <alignment/>
      <protection hidden="1"/>
    </xf>
    <xf numFmtId="0" fontId="0" fillId="0" borderId="0" xfId="0" applyBorder="1" applyAlignment="1" applyProtection="1">
      <alignment/>
      <protection locked="0"/>
    </xf>
    <xf numFmtId="0" fontId="1" fillId="0" borderId="0" xfId="0" applyNumberFormat="1" applyFont="1" applyBorder="1" applyAlignment="1" applyProtection="1">
      <alignment/>
      <protection locked="0"/>
    </xf>
    <xf numFmtId="0" fontId="0" fillId="0" borderId="0" xfId="0" applyBorder="1" applyAlignment="1" applyProtection="1">
      <alignment/>
      <protection locked="0"/>
    </xf>
    <xf numFmtId="0" fontId="1"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protection locked="0"/>
    </xf>
    <xf numFmtId="0" fontId="0" fillId="0" borderId="0" xfId="0" applyAlignment="1" applyProtection="1">
      <alignment/>
      <protection locked="0"/>
    </xf>
    <xf numFmtId="0" fontId="4" fillId="0" borderId="0" xfId="0" applyFont="1" applyAlignment="1" applyProtection="1">
      <alignment/>
      <protection locked="0"/>
    </xf>
    <xf numFmtId="0" fontId="4" fillId="0" borderId="0" xfId="0" applyFont="1" applyFill="1" applyAlignment="1" applyProtection="1">
      <alignment/>
      <protection locked="0"/>
    </xf>
    <xf numFmtId="184" fontId="4" fillId="0" borderId="23" xfId="38" applyNumberFormat="1" applyFont="1" applyFill="1" applyBorder="1" applyProtection="1">
      <alignment/>
      <protection locked="0"/>
    </xf>
    <xf numFmtId="3" fontId="4" fillId="0" borderId="17" xfId="36" applyNumberFormat="1" applyFont="1" applyFill="1" applyBorder="1" applyProtection="1">
      <alignment/>
      <protection locked="0"/>
    </xf>
    <xf numFmtId="0" fontId="3" fillId="0" borderId="5" xfId="0" applyFont="1" applyBorder="1" applyAlignment="1" applyProtection="1">
      <alignment vertical="center"/>
      <protection hidden="1"/>
    </xf>
    <xf numFmtId="0" fontId="3" fillId="0" borderId="5"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protection hidden="1"/>
    </xf>
    <xf numFmtId="0" fontId="17" fillId="0" borderId="0" xfId="0" applyFont="1" applyAlignment="1" applyProtection="1">
      <alignment/>
      <protection hidden="1"/>
    </xf>
    <xf numFmtId="0" fontId="17" fillId="0" borderId="0" xfId="0" applyFont="1" applyAlignment="1" applyProtection="1">
      <alignment/>
      <protection hidden="1"/>
    </xf>
    <xf numFmtId="0" fontId="18" fillId="0" borderId="5" xfId="0" applyFont="1" applyBorder="1" applyAlignment="1" applyProtection="1">
      <alignment/>
      <protection hidden="1"/>
    </xf>
    <xf numFmtId="0" fontId="18" fillId="0" borderId="5" xfId="0" applyFont="1" applyBorder="1" applyAlignment="1" applyProtection="1">
      <alignment horizontal="left"/>
      <protection hidden="1"/>
    </xf>
    <xf numFmtId="0" fontId="0" fillId="0" borderId="5" xfId="0" applyBorder="1" applyAlignment="1" applyProtection="1">
      <alignment vertical="center"/>
      <protection hidden="1"/>
    </xf>
    <xf numFmtId="37" fontId="0" fillId="0" borderId="5" xfId="0" applyNumberFormat="1" applyBorder="1" applyAlignment="1" applyProtection="1">
      <alignment/>
      <protection hidden="1"/>
    </xf>
    <xf numFmtId="0" fontId="0" fillId="0" borderId="5" xfId="0" applyBorder="1" applyAlignment="1" applyProtection="1">
      <alignment/>
      <protection hidden="1"/>
    </xf>
    <xf numFmtId="0" fontId="0" fillId="0" borderId="5" xfId="0" applyBorder="1" applyAlignment="1" applyProtection="1">
      <alignment/>
      <protection hidden="1"/>
    </xf>
    <xf numFmtId="0" fontId="11" fillId="0" borderId="5" xfId="0" applyFont="1" applyBorder="1" applyAlignment="1" applyProtection="1">
      <alignment/>
      <protection hidden="1"/>
    </xf>
    <xf numFmtId="0" fontId="0" fillId="0" borderId="0" xfId="0" applyBorder="1" applyAlignment="1" applyProtection="1">
      <alignment/>
      <protection hidden="1"/>
    </xf>
    <xf numFmtId="0" fontId="4" fillId="0" borderId="35" xfId="0" applyFont="1" applyBorder="1" applyAlignment="1" applyProtection="1">
      <alignment/>
      <protection hidden="1"/>
    </xf>
    <xf numFmtId="0" fontId="5" fillId="0" borderId="0" xfId="0" applyFont="1" applyBorder="1" applyAlignment="1" applyProtection="1">
      <alignment horizontal="center" wrapText="1"/>
      <protection hidden="1"/>
    </xf>
    <xf numFmtId="0" fontId="4" fillId="0" borderId="13" xfId="0" applyFont="1" applyBorder="1" applyAlignment="1" applyProtection="1">
      <alignment vertical="center"/>
      <protection hidden="1"/>
    </xf>
    <xf numFmtId="37" fontId="4" fillId="0" borderId="0" xfId="0" applyNumberFormat="1"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49" fontId="4" fillId="0" borderId="0" xfId="0" applyNumberFormat="1" applyFont="1" applyAlignment="1" applyProtection="1">
      <alignment horizontal="right"/>
      <protection/>
    </xf>
    <xf numFmtId="49" fontId="5" fillId="0" borderId="0" xfId="0" applyNumberFormat="1" applyFont="1" applyAlignment="1" applyProtection="1">
      <alignment horizontal="right"/>
      <protection/>
    </xf>
    <xf numFmtId="49" fontId="4" fillId="0" borderId="0" xfId="0" applyNumberFormat="1" applyFont="1" applyAlignment="1" applyProtection="1">
      <alignment horizontal="right"/>
      <protection locked="0"/>
    </xf>
    <xf numFmtId="49" fontId="4" fillId="0" borderId="0" xfId="0" applyNumberFormat="1" applyFont="1" applyAlignment="1" applyProtection="1">
      <alignment horizontal="justify"/>
      <protection locked="0"/>
    </xf>
    <xf numFmtId="49" fontId="0" fillId="0" borderId="0" xfId="0" applyNumberFormat="1" applyFont="1" applyAlignment="1" applyProtection="1">
      <alignment horizontal="justify"/>
      <protection locked="0"/>
    </xf>
    <xf numFmtId="49" fontId="4" fillId="0" borderId="0" xfId="0" applyNumberFormat="1" applyFont="1" applyAlignment="1" applyProtection="1">
      <alignment/>
      <protection locked="0"/>
    </xf>
    <xf numFmtId="49" fontId="4" fillId="0" borderId="0" xfId="0" applyNumberFormat="1" applyFont="1" applyAlignment="1" applyProtection="1">
      <alignment wrapText="1"/>
      <protection locked="0"/>
    </xf>
    <xf numFmtId="0" fontId="11" fillId="0" borderId="59" xfId="0" applyFont="1" applyBorder="1" applyAlignment="1" applyProtection="1">
      <alignment vertical="top" wrapText="1"/>
      <protection hidden="1" locked="0"/>
    </xf>
    <xf numFmtId="0" fontId="5" fillId="3" borderId="23" xfId="0" applyNumberFormat="1" applyFont="1" applyFill="1" applyBorder="1" applyAlignment="1" applyProtection="1">
      <alignment horizontal="left"/>
      <protection hidden="1"/>
    </xf>
    <xf numFmtId="37" fontId="5" fillId="3" borderId="25" xfId="0" applyNumberFormat="1" applyFont="1" applyFill="1" applyBorder="1" applyAlignment="1" applyProtection="1">
      <alignment/>
      <protection hidden="1"/>
    </xf>
    <xf numFmtId="37" fontId="5" fillId="3" borderId="17" xfId="0" applyNumberFormat="1" applyFont="1" applyFill="1" applyBorder="1" applyAlignment="1" applyProtection="1">
      <alignment/>
      <protection hidden="1"/>
    </xf>
    <xf numFmtId="177" fontId="4" fillId="0" borderId="24" xfId="36" applyFont="1" applyFill="1" applyBorder="1" applyProtection="1">
      <alignment/>
      <protection locked="0"/>
    </xf>
    <xf numFmtId="177" fontId="4" fillId="0" borderId="24" xfId="36" applyFont="1" applyFill="1" applyBorder="1" applyProtection="1">
      <alignment/>
      <protection/>
    </xf>
    <xf numFmtId="177" fontId="5" fillId="3" borderId="23" xfId="39" applyFont="1" applyFill="1" applyBorder="1" applyProtection="1">
      <alignment/>
      <protection/>
    </xf>
    <xf numFmtId="185" fontId="4" fillId="3" borderId="23" xfId="38" applyNumberFormat="1" applyFont="1" applyFill="1" applyBorder="1" applyAlignment="1" applyProtection="1">
      <alignment/>
      <protection/>
    </xf>
    <xf numFmtId="0" fontId="5" fillId="3" borderId="23" xfId="0" applyNumberFormat="1" applyFont="1" applyFill="1" applyBorder="1" applyAlignment="1" applyProtection="1">
      <alignment horizontal="left"/>
      <protection/>
    </xf>
    <xf numFmtId="37" fontId="5" fillId="3" borderId="13" xfId="0" applyNumberFormat="1" applyFont="1" applyFill="1" applyBorder="1" applyAlignment="1" applyProtection="1">
      <alignment/>
      <protection hidden="1"/>
    </xf>
    <xf numFmtId="177" fontId="5" fillId="3" borderId="13" xfId="39" applyFont="1" applyFill="1" applyBorder="1" applyAlignment="1" applyProtection="1">
      <alignment horizontal="right"/>
      <protection/>
    </xf>
    <xf numFmtId="177" fontId="5" fillId="3" borderId="17" xfId="39" applyFont="1" applyFill="1" applyBorder="1" applyAlignment="1" applyProtection="1">
      <alignment horizontal="right"/>
      <protection/>
    </xf>
    <xf numFmtId="37" fontId="5" fillId="3" borderId="25" xfId="0" applyNumberFormat="1" applyFont="1" applyFill="1" applyBorder="1" applyAlignment="1" applyProtection="1">
      <alignment/>
      <protection/>
    </xf>
    <xf numFmtId="37" fontId="5" fillId="3" borderId="17" xfId="0" applyNumberFormat="1" applyFont="1" applyFill="1" applyBorder="1" applyAlignment="1" applyProtection="1">
      <alignment/>
      <protection/>
    </xf>
    <xf numFmtId="0" fontId="5" fillId="3" borderId="23" xfId="0" applyFont="1" applyFill="1" applyBorder="1" applyAlignment="1" applyProtection="1">
      <alignment horizontal="left"/>
      <protection hidden="1"/>
    </xf>
    <xf numFmtId="0" fontId="4" fillId="3" borderId="25" xfId="0" applyFont="1" applyFill="1" applyBorder="1" applyAlignment="1" applyProtection="1">
      <alignment/>
      <protection hidden="1"/>
    </xf>
    <xf numFmtId="0" fontId="5" fillId="3" borderId="25" xfId="0" applyFont="1" applyFill="1" applyBorder="1" applyAlignment="1" applyProtection="1">
      <alignment/>
      <protection hidden="1"/>
    </xf>
    <xf numFmtId="0" fontId="4" fillId="0" borderId="32" xfId="0" applyFont="1" applyFill="1" applyBorder="1" applyAlignment="1" applyProtection="1">
      <alignment/>
      <protection hidden="1"/>
    </xf>
    <xf numFmtId="0" fontId="4" fillId="0" borderId="26" xfId="0" applyFont="1" applyFill="1" applyBorder="1" applyAlignment="1" applyProtection="1">
      <alignment/>
      <protection hidden="1"/>
    </xf>
    <xf numFmtId="185" fontId="4" fillId="3" borderId="17" xfId="36" applyNumberFormat="1" applyFont="1" applyFill="1" applyBorder="1" applyAlignment="1" applyProtection="1">
      <alignment horizontal="left"/>
      <protection hidden="1"/>
    </xf>
    <xf numFmtId="177" fontId="4" fillId="0" borderId="12" xfId="36" applyFont="1" applyFill="1" applyBorder="1" applyProtection="1">
      <alignment/>
      <protection locked="0"/>
    </xf>
    <xf numFmtId="185" fontId="4" fillId="3" borderId="13" xfId="36" applyNumberFormat="1" applyFont="1" applyFill="1" applyBorder="1" applyAlignment="1" applyProtection="1">
      <alignment horizontal="left"/>
      <protection hidden="1"/>
    </xf>
    <xf numFmtId="185" fontId="4" fillId="3" borderId="17" xfId="38" applyNumberFormat="1" applyFont="1" applyFill="1" applyBorder="1" applyAlignment="1" applyProtection="1">
      <alignment/>
      <protection hidden="1"/>
    </xf>
    <xf numFmtId="177" fontId="4" fillId="0" borderId="12" xfId="36" applyFont="1" applyFill="1" applyBorder="1" applyAlignment="1" applyProtection="1">
      <alignment/>
      <protection hidden="1"/>
    </xf>
    <xf numFmtId="0" fontId="4" fillId="3" borderId="13" xfId="0" applyFont="1" applyFill="1" applyBorder="1" applyAlignment="1" applyProtection="1">
      <alignment/>
      <protection hidden="1"/>
    </xf>
    <xf numFmtId="177" fontId="4" fillId="3" borderId="17" xfId="36" applyFont="1" applyFill="1" applyBorder="1" applyAlignment="1" applyProtection="1">
      <alignment/>
      <protection hidden="1"/>
    </xf>
    <xf numFmtId="177" fontId="5" fillId="3" borderId="23" xfId="39" applyFont="1" applyBorder="1" applyProtection="1">
      <alignment/>
      <protection/>
    </xf>
    <xf numFmtId="0" fontId="5" fillId="3" borderId="13" xfId="0" applyFont="1" applyFill="1" applyBorder="1" applyAlignment="1" applyProtection="1">
      <alignment/>
      <protection hidden="1"/>
    </xf>
    <xf numFmtId="0" fontId="5" fillId="3" borderId="24" xfId="0" applyNumberFormat="1" applyFont="1" applyFill="1" applyBorder="1" applyAlignment="1" applyProtection="1">
      <alignment horizontal="left"/>
      <protection hidden="1"/>
    </xf>
    <xf numFmtId="0" fontId="5" fillId="3" borderId="38" xfId="0" applyNumberFormat="1" applyFont="1" applyFill="1" applyBorder="1" applyAlignment="1" applyProtection="1">
      <alignment horizontal="left"/>
      <protection hidden="1"/>
    </xf>
    <xf numFmtId="0" fontId="4" fillId="3" borderId="17" xfId="0" applyFont="1" applyFill="1" applyBorder="1" applyAlignment="1" applyProtection="1">
      <alignment/>
      <protection hidden="1"/>
    </xf>
    <xf numFmtId="3" fontId="4" fillId="0" borderId="62" xfId="36" applyNumberFormat="1" applyFont="1" applyFill="1" applyBorder="1" applyProtection="1">
      <alignment/>
      <protection locked="0"/>
    </xf>
    <xf numFmtId="37" fontId="4" fillId="0" borderId="0"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37" fontId="4" fillId="3" borderId="13" xfId="0" applyNumberFormat="1" applyFont="1" applyFill="1" applyBorder="1" applyAlignment="1" applyProtection="1">
      <alignment/>
      <protection hidden="1"/>
    </xf>
    <xf numFmtId="185" fontId="4" fillId="3" borderId="17" xfId="38" applyNumberFormat="1" applyFont="1" applyFill="1" applyBorder="1" applyAlignment="1" applyProtection="1">
      <alignment/>
      <protection/>
    </xf>
    <xf numFmtId="37" fontId="20" fillId="0" borderId="12" xfId="0" applyNumberFormat="1" applyFont="1" applyFill="1" applyBorder="1" applyAlignment="1" applyProtection="1">
      <alignment/>
      <protection hidden="1"/>
    </xf>
    <xf numFmtId="0" fontId="4" fillId="3" borderId="23" xfId="0" applyFont="1" applyFill="1" applyBorder="1" applyAlignment="1" applyProtection="1">
      <alignment/>
      <protection/>
    </xf>
    <xf numFmtId="37" fontId="4" fillId="3" borderId="25" xfId="0" applyNumberFormat="1" applyFont="1" applyFill="1" applyBorder="1" applyAlignment="1" applyProtection="1">
      <alignment/>
      <protection hidden="1"/>
    </xf>
    <xf numFmtId="170" fontId="4" fillId="3" borderId="17" xfId="0" applyNumberFormat="1" applyFont="1" applyFill="1" applyBorder="1" applyAlignment="1" applyProtection="1">
      <alignment horizontal="left"/>
      <protection hidden="1"/>
    </xf>
    <xf numFmtId="183" fontId="4" fillId="0" borderId="24" xfId="38" applyFont="1" applyFill="1" applyBorder="1" applyProtection="1">
      <alignment/>
      <protection locked="0"/>
    </xf>
    <xf numFmtId="183" fontId="5" fillId="3" borderId="23" xfId="40" applyFont="1" applyBorder="1" applyProtection="1">
      <alignment/>
      <protection/>
    </xf>
    <xf numFmtId="178" fontId="5" fillId="3" borderId="23" xfId="39" applyNumberFormat="1" applyFont="1" applyBorder="1" applyProtection="1">
      <alignment/>
      <protection/>
    </xf>
    <xf numFmtId="170" fontId="5" fillId="3" borderId="13" xfId="0" applyNumberFormat="1" applyFont="1" applyFill="1" applyBorder="1" applyAlignment="1" applyProtection="1">
      <alignment horizontal="left"/>
      <protection hidden="1"/>
    </xf>
    <xf numFmtId="177" fontId="5" fillId="3" borderId="13" xfId="36" applyFont="1" applyFill="1" applyBorder="1" applyProtection="1">
      <alignment/>
      <protection hidden="1"/>
    </xf>
    <xf numFmtId="177" fontId="5" fillId="3" borderId="17" xfId="36" applyFont="1" applyFill="1" applyBorder="1" applyProtection="1">
      <alignment/>
      <protection hidden="1"/>
    </xf>
    <xf numFmtId="170" fontId="5" fillId="0" borderId="13" xfId="0" applyNumberFormat="1" applyFont="1" applyFill="1" applyBorder="1" applyAlignment="1" applyProtection="1">
      <alignment horizontal="left"/>
      <protection hidden="1"/>
    </xf>
    <xf numFmtId="177" fontId="5" fillId="0" borderId="13" xfId="36" applyFont="1" applyFill="1" applyBorder="1" applyProtection="1">
      <alignment/>
      <protection hidden="1"/>
    </xf>
    <xf numFmtId="177" fontId="5" fillId="0" borderId="17" xfId="36" applyFont="1" applyFill="1" applyBorder="1" applyProtection="1">
      <alignment/>
      <protection hidden="1"/>
    </xf>
    <xf numFmtId="177" fontId="4" fillId="0" borderId="62" xfId="36" applyFont="1" applyFill="1" applyBorder="1" applyProtection="1">
      <alignment/>
      <protection locked="0"/>
    </xf>
    <xf numFmtId="179" fontId="5" fillId="3" borderId="23" xfId="39" applyNumberFormat="1" applyFont="1" applyBorder="1" applyProtection="1">
      <alignment/>
      <protection/>
    </xf>
    <xf numFmtId="177" fontId="5" fillId="0" borderId="23" xfId="36" applyFont="1" applyFill="1" applyBorder="1" applyProtection="1">
      <alignment/>
      <protection/>
    </xf>
    <xf numFmtId="37" fontId="4" fillId="0" borderId="13" xfId="0" applyNumberFormat="1" applyFont="1" applyFill="1" applyBorder="1" applyAlignment="1" applyProtection="1">
      <alignment/>
      <protection hidden="1"/>
    </xf>
    <xf numFmtId="37" fontId="4" fillId="0" borderId="32" xfId="0" applyNumberFormat="1" applyFont="1" applyFill="1" applyBorder="1" applyAlignment="1" applyProtection="1">
      <alignment/>
      <protection hidden="1"/>
    </xf>
    <xf numFmtId="176" fontId="4" fillId="0" borderId="12" xfId="36" applyNumberFormat="1" applyFont="1" applyFill="1" applyBorder="1" applyProtection="1">
      <alignment/>
      <protection locked="0"/>
    </xf>
    <xf numFmtId="37" fontId="5" fillId="3" borderId="23" xfId="0" applyNumberFormat="1" applyFont="1" applyFill="1" applyBorder="1" applyAlignment="1" applyProtection="1">
      <alignment/>
      <protection hidden="1"/>
    </xf>
    <xf numFmtId="176" fontId="5" fillId="3" borderId="23" xfId="36" applyNumberFormat="1" applyFont="1" applyFill="1" applyBorder="1" applyProtection="1">
      <alignment/>
      <protection/>
    </xf>
    <xf numFmtId="176" fontId="5" fillId="3" borderId="23" xfId="39" applyNumberFormat="1" applyFont="1" applyBorder="1" applyProtection="1">
      <alignment/>
      <protection/>
    </xf>
    <xf numFmtId="182" fontId="4" fillId="0" borderId="17" xfId="0" applyNumberFormat="1" applyFont="1" applyFill="1" applyBorder="1" applyAlignment="1" applyProtection="1">
      <alignment horizontal="left"/>
      <protection locked="0"/>
    </xf>
    <xf numFmtId="182" fontId="4" fillId="0" borderId="12" xfId="0" applyNumberFormat="1" applyFont="1" applyFill="1" applyBorder="1" applyAlignment="1" applyProtection="1">
      <alignment horizontal="left"/>
      <protection locked="0"/>
    </xf>
    <xf numFmtId="3" fontId="4" fillId="0" borderId="12" xfId="36" applyNumberFormat="1" applyFont="1" applyFill="1" applyBorder="1" applyProtection="1">
      <alignment/>
      <protection locked="0"/>
    </xf>
    <xf numFmtId="177" fontId="4" fillId="0" borderId="24" xfId="36" applyFont="1" applyBorder="1" applyProtection="1">
      <alignment/>
      <protection/>
    </xf>
    <xf numFmtId="177" fontId="5" fillId="3" borderId="23" xfId="39" applyFont="1" applyFill="1" applyBorder="1" applyProtection="1">
      <alignment/>
      <protection hidden="1"/>
    </xf>
    <xf numFmtId="177" fontId="5" fillId="3" borderId="23" xfId="36" applyFont="1" applyFill="1" applyBorder="1" applyProtection="1">
      <alignment/>
      <protection/>
    </xf>
    <xf numFmtId="171" fontId="5" fillId="3" borderId="23" xfId="39" applyNumberFormat="1" applyFont="1" applyBorder="1" applyProtection="1">
      <alignment/>
      <protection/>
    </xf>
    <xf numFmtId="177" fontId="5" fillId="3" borderId="23" xfId="36" applyFont="1" applyFill="1" applyBorder="1" applyProtection="1">
      <alignment/>
      <protection hidden="1"/>
    </xf>
    <xf numFmtId="191" fontId="5" fillId="3" borderId="23" xfId="0" applyNumberFormat="1" applyFont="1" applyFill="1" applyBorder="1" applyAlignment="1" applyProtection="1">
      <alignment horizontal="right" vertical="center"/>
      <protection hidden="1"/>
    </xf>
    <xf numFmtId="0" fontId="5" fillId="3" borderId="23" xfId="32" applyFont="1" applyFill="1" applyBorder="1" applyAlignment="1" applyProtection="1">
      <alignment horizontal="left"/>
      <protection hidden="1"/>
    </xf>
    <xf numFmtId="0" fontId="4" fillId="0" borderId="12" xfId="0" applyFont="1" applyFill="1" applyBorder="1" applyAlignment="1" applyProtection="1">
      <alignment/>
      <protection hidden="1"/>
    </xf>
    <xf numFmtId="0" fontId="5" fillId="3" borderId="25" xfId="32" applyFont="1" applyFill="1" applyBorder="1" applyProtection="1">
      <alignment/>
      <protection hidden="1"/>
    </xf>
    <xf numFmtId="37" fontId="5" fillId="3" borderId="17" xfId="0" applyNumberFormat="1" applyFont="1" applyFill="1" applyBorder="1" applyAlignment="1" applyProtection="1">
      <alignment/>
      <protection hidden="1"/>
    </xf>
    <xf numFmtId="177" fontId="4" fillId="0" borderId="24" xfId="36" applyFill="1" applyBorder="1" applyProtection="1">
      <alignment/>
      <protection/>
    </xf>
    <xf numFmtId="177" fontId="5" fillId="3" borderId="23" xfId="39" applyBorder="1" applyProtection="1">
      <alignment/>
      <protection/>
    </xf>
    <xf numFmtId="0" fontId="4" fillId="0" borderId="63" xfId="0" applyFont="1" applyFill="1" applyBorder="1" applyAlignment="1" applyProtection="1">
      <alignment horizontal="left" vertical="center"/>
      <protection hidden="1"/>
    </xf>
    <xf numFmtId="0" fontId="5" fillId="0" borderId="64" xfId="0" applyFont="1" applyFill="1" applyBorder="1" applyAlignment="1" applyProtection="1">
      <alignment horizontal="left" vertical="center"/>
      <protection hidden="1"/>
    </xf>
    <xf numFmtId="176" fontId="4" fillId="0" borderId="38" xfId="36" applyNumberFormat="1" applyFont="1" applyFill="1" applyBorder="1" applyProtection="1">
      <alignment/>
      <protection/>
    </xf>
    <xf numFmtId="176" fontId="4" fillId="0" borderId="61" xfId="36" applyNumberFormat="1" applyFont="1" applyFill="1" applyBorder="1" applyProtection="1">
      <alignment/>
      <protection/>
    </xf>
    <xf numFmtId="183" fontId="4" fillId="0" borderId="24" xfId="36" applyNumberFormat="1" applyFill="1" applyBorder="1" applyProtection="1">
      <alignment/>
      <protection/>
    </xf>
    <xf numFmtId="177" fontId="4" fillId="0" borderId="62" xfId="36" applyFill="1" applyBorder="1" applyProtection="1">
      <alignment/>
      <protection/>
    </xf>
    <xf numFmtId="0" fontId="5" fillId="3" borderId="23" xfId="32" applyFont="1" applyFill="1" applyBorder="1" applyProtection="1">
      <alignment/>
      <protection hidden="1"/>
    </xf>
    <xf numFmtId="177" fontId="5" fillId="3" borderId="23" xfId="39" applyFill="1" applyBorder="1" applyProtection="1">
      <alignment/>
      <protection/>
    </xf>
    <xf numFmtId="177" fontId="4" fillId="0" borderId="12" xfId="36" applyFont="1" applyFill="1" applyBorder="1" applyProtection="1">
      <alignment/>
      <protection hidden="1"/>
    </xf>
    <xf numFmtId="37" fontId="5" fillId="3" borderId="13" xfId="0" applyNumberFormat="1" applyFont="1" applyFill="1" applyBorder="1" applyAlignment="1" applyProtection="1">
      <alignment/>
      <protection hidden="1"/>
    </xf>
    <xf numFmtId="0" fontId="4" fillId="0" borderId="47" xfId="0" applyFont="1" applyFill="1" applyBorder="1" applyAlignment="1" applyProtection="1">
      <alignment/>
      <protection hidden="1"/>
    </xf>
    <xf numFmtId="177" fontId="4" fillId="0" borderId="31" xfId="36" applyFont="1" applyFill="1" applyBorder="1" applyProtection="1">
      <alignment/>
      <protection locked="0"/>
    </xf>
    <xf numFmtId="177" fontId="4" fillId="0" borderId="38" xfId="36" applyFont="1" applyBorder="1" applyProtection="1">
      <alignment/>
      <protection/>
    </xf>
    <xf numFmtId="49" fontId="5" fillId="3" borderId="13" xfId="0" applyNumberFormat="1" applyFont="1" applyFill="1" applyBorder="1" applyAlignment="1" applyProtection="1">
      <alignment horizontal="left"/>
      <protection/>
    </xf>
    <xf numFmtId="183" fontId="5" fillId="3" borderId="13" xfId="38" applyFont="1" applyFill="1" applyBorder="1" applyProtection="1">
      <alignment/>
      <protection/>
    </xf>
    <xf numFmtId="183" fontId="5" fillId="3" borderId="17" xfId="38" applyFont="1" applyFill="1" applyBorder="1" applyProtection="1">
      <alignment/>
      <protection/>
    </xf>
    <xf numFmtId="177" fontId="5" fillId="3" borderId="13" xfId="39" applyFont="1" applyFill="1" applyBorder="1" applyProtection="1">
      <alignment/>
      <protection hidden="1"/>
    </xf>
    <xf numFmtId="177" fontId="5" fillId="3" borderId="23" xfId="39" applyFont="1" applyFill="1" applyBorder="1" applyAlignment="1" applyProtection="1">
      <alignment/>
      <protection/>
    </xf>
    <xf numFmtId="166" fontId="5" fillId="3" borderId="23" xfId="0" applyNumberFormat="1" applyFont="1" applyFill="1" applyBorder="1" applyAlignment="1" applyProtection="1">
      <alignment horizontal="center"/>
      <protection/>
    </xf>
    <xf numFmtId="37" fontId="5" fillId="3" borderId="25" xfId="0" applyNumberFormat="1" applyFont="1" applyFill="1" applyBorder="1" applyAlignment="1" applyProtection="1">
      <alignment/>
      <protection hidden="1"/>
    </xf>
    <xf numFmtId="0" fontId="5" fillId="3" borderId="23" xfId="0" applyNumberFormat="1" applyFont="1" applyFill="1" applyBorder="1" applyAlignment="1" applyProtection="1">
      <alignment horizontal="left" wrapText="1"/>
      <protection hidden="1"/>
    </xf>
    <xf numFmtId="0" fontId="5" fillId="0" borderId="25" xfId="0" applyFont="1" applyFill="1" applyBorder="1" applyAlignment="1" applyProtection="1">
      <alignment/>
      <protection hidden="1"/>
    </xf>
    <xf numFmtId="0" fontId="5" fillId="0" borderId="13" xfId="0" applyFont="1" applyFill="1" applyBorder="1" applyAlignment="1" applyProtection="1">
      <alignment wrapText="1"/>
      <protection hidden="1"/>
    </xf>
    <xf numFmtId="177" fontId="5" fillId="3" borderId="23" xfId="39" applyFont="1" applyBorder="1" applyAlignment="1" applyProtection="1">
      <alignment/>
      <protection/>
    </xf>
    <xf numFmtId="167" fontId="4" fillId="0" borderId="24" xfId="0" applyNumberFormat="1" applyFont="1" applyFill="1" applyBorder="1" applyAlignment="1" applyProtection="1">
      <alignment horizontal="center"/>
      <protection/>
    </xf>
    <xf numFmtId="37" fontId="4" fillId="0" borderId="23" xfId="0" applyNumberFormat="1" applyFont="1" applyFill="1" applyBorder="1" applyAlignment="1" applyProtection="1">
      <alignment/>
      <protection hidden="1"/>
    </xf>
    <xf numFmtId="177" fontId="4" fillId="0" borderId="23" xfId="36" applyFont="1" applyBorder="1" applyAlignment="1" applyProtection="1">
      <alignment/>
      <protection/>
    </xf>
    <xf numFmtId="171" fontId="21" fillId="3" borderId="23" xfId="39" applyNumberFormat="1" applyFont="1" applyBorder="1" applyAlignment="1" applyProtection="1">
      <alignment/>
      <protection/>
    </xf>
    <xf numFmtId="171" fontId="5" fillId="3" borderId="23" xfId="39" applyNumberFormat="1" applyFont="1" applyBorder="1" applyAlignment="1" applyProtection="1">
      <alignment/>
      <protection/>
    </xf>
    <xf numFmtId="49" fontId="4" fillId="0" borderId="17" xfId="0" applyNumberFormat="1" applyFont="1" applyFill="1" applyBorder="1" applyAlignment="1" applyProtection="1">
      <alignment horizontal="left"/>
      <protection locked="0"/>
    </xf>
    <xf numFmtId="171" fontId="5" fillId="3" borderId="23" xfId="39" applyNumberFormat="1" applyBorder="1" applyProtection="1">
      <alignment/>
      <protection/>
    </xf>
    <xf numFmtId="171" fontId="4" fillId="3" borderId="23" xfId="0" applyNumberFormat="1" applyFont="1" applyFill="1" applyBorder="1" applyAlignment="1" applyProtection="1">
      <alignment horizontal="left"/>
      <protection/>
    </xf>
    <xf numFmtId="171" fontId="4" fillId="3" borderId="23" xfId="0" applyNumberFormat="1" applyFont="1" applyFill="1" applyBorder="1" applyAlignment="1" applyProtection="1">
      <alignment/>
      <protection/>
    </xf>
    <xf numFmtId="171" fontId="5" fillId="3" borderId="23" xfId="0" applyNumberFormat="1" applyFont="1" applyFill="1" applyBorder="1" applyAlignment="1" applyProtection="1">
      <alignment horizontal="left"/>
      <protection/>
    </xf>
    <xf numFmtId="0" fontId="3" fillId="3" borderId="23" xfId="0" applyNumberFormat="1" applyFont="1" applyFill="1" applyBorder="1" applyAlignment="1" applyProtection="1">
      <alignment horizontal="left"/>
      <protection hidden="1"/>
    </xf>
    <xf numFmtId="177" fontId="2" fillId="3" borderId="25" xfId="36" applyFont="1" applyFill="1" applyBorder="1" applyAlignment="1" applyProtection="1">
      <alignment horizontal="right"/>
      <protection/>
    </xf>
    <xf numFmtId="177" fontId="2" fillId="3" borderId="13" xfId="36" applyFont="1" applyFill="1" applyBorder="1" applyAlignment="1" applyProtection="1">
      <alignment horizontal="right"/>
      <protection/>
    </xf>
    <xf numFmtId="177" fontId="2" fillId="3" borderId="17" xfId="36" applyFont="1" applyFill="1" applyBorder="1" applyAlignment="1" applyProtection="1">
      <alignment horizontal="right"/>
      <protection/>
    </xf>
    <xf numFmtId="0" fontId="4" fillId="0" borderId="17" xfId="0" applyFont="1" applyFill="1" applyBorder="1" applyAlignment="1" applyProtection="1">
      <alignment horizontal="left"/>
      <protection hidden="1"/>
    </xf>
    <xf numFmtId="183" fontId="4" fillId="0" borderId="24" xfId="38" applyNumberFormat="1" applyFont="1" applyFill="1" applyBorder="1" applyProtection="1">
      <alignment/>
      <protection locked="0"/>
    </xf>
    <xf numFmtId="183" fontId="4" fillId="0" borderId="24" xfId="38" applyNumberFormat="1" applyFont="1" applyFill="1" applyBorder="1" applyProtection="1">
      <alignment/>
      <protection/>
    </xf>
    <xf numFmtId="3" fontId="4" fillId="0" borderId="13" xfId="0" applyNumberFormat="1"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3" fontId="4" fillId="0" borderId="32" xfId="0" applyNumberFormat="1" applyFont="1" applyFill="1" applyBorder="1" applyAlignment="1" applyProtection="1">
      <alignment horizontal="left"/>
      <protection hidden="1"/>
    </xf>
    <xf numFmtId="0" fontId="4" fillId="0" borderId="32" xfId="0" applyFont="1" applyFill="1" applyBorder="1" applyAlignment="1" applyProtection="1">
      <alignment/>
      <protection/>
    </xf>
    <xf numFmtId="0" fontId="4" fillId="0" borderId="12" xfId="0" applyFont="1" applyFill="1" applyBorder="1" applyAlignment="1" applyProtection="1">
      <alignment/>
      <protection/>
    </xf>
    <xf numFmtId="0" fontId="5" fillId="3" borderId="13" xfId="0" applyFont="1" applyFill="1" applyBorder="1" applyAlignment="1" applyProtection="1">
      <alignment/>
      <protection/>
    </xf>
    <xf numFmtId="0" fontId="5" fillId="3" borderId="17" xfId="0" applyFont="1" applyFill="1" applyBorder="1" applyAlignment="1" applyProtection="1">
      <alignment/>
      <protection/>
    </xf>
    <xf numFmtId="0" fontId="4" fillId="0" borderId="6" xfId="0" applyFont="1" applyBorder="1" applyAlignment="1" applyProtection="1">
      <alignment/>
      <protection/>
    </xf>
    <xf numFmtId="181" fontId="5" fillId="0" borderId="49" xfId="36" applyNumberFormat="1" applyFont="1" applyFill="1" applyBorder="1" applyProtection="1">
      <alignment/>
      <protection/>
    </xf>
    <xf numFmtId="181" fontId="5" fillId="0" borderId="32" xfId="36" applyNumberFormat="1" applyFont="1" applyFill="1" applyBorder="1" applyProtection="1">
      <alignment/>
      <protection/>
    </xf>
    <xf numFmtId="181" fontId="5" fillId="0" borderId="12" xfId="36" applyNumberFormat="1" applyFont="1" applyFill="1" applyBorder="1" applyProtection="1">
      <alignment/>
      <protection/>
    </xf>
    <xf numFmtId="37" fontId="5" fillId="3" borderId="24" xfId="0" applyNumberFormat="1" applyFont="1" applyFill="1" applyBorder="1" applyAlignment="1" applyProtection="1">
      <alignment/>
      <protection hidden="1"/>
    </xf>
    <xf numFmtId="179" fontId="5" fillId="3" borderId="24" xfId="39" applyNumberFormat="1" applyBorder="1" applyProtection="1">
      <alignment/>
      <protection/>
    </xf>
    <xf numFmtId="179" fontId="5" fillId="3" borderId="24" xfId="36" applyNumberFormat="1" applyFont="1" applyFill="1" applyBorder="1" applyProtection="1">
      <alignment/>
      <protection/>
    </xf>
    <xf numFmtId="0" fontId="4" fillId="3" borderId="25"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3" xfId="0" applyFont="1" applyFill="1" applyBorder="1" applyAlignment="1" applyProtection="1">
      <alignment horizontal="left"/>
      <protection/>
    </xf>
    <xf numFmtId="0" fontId="4" fillId="3" borderId="17" xfId="0" applyFont="1" applyFill="1" applyBorder="1" applyAlignment="1" applyProtection="1">
      <alignment horizontal="left"/>
      <protection/>
    </xf>
    <xf numFmtId="0" fontId="4" fillId="3" borderId="25" xfId="0" applyFont="1" applyFill="1" applyBorder="1" applyAlignment="1" applyProtection="1">
      <alignment/>
      <protection hidden="1"/>
    </xf>
    <xf numFmtId="0" fontId="4" fillId="3" borderId="13" xfId="0" applyFont="1" applyFill="1" applyBorder="1" applyAlignment="1" applyProtection="1">
      <alignment/>
      <protection/>
    </xf>
    <xf numFmtId="0" fontId="4" fillId="3" borderId="17" xfId="0" applyFont="1" applyFill="1" applyBorder="1" applyAlignment="1" applyProtection="1">
      <alignment/>
      <protection/>
    </xf>
    <xf numFmtId="0" fontId="5" fillId="3" borderId="13" xfId="0" applyFont="1" applyFill="1" applyBorder="1" applyAlignment="1" applyProtection="1">
      <alignment horizontal="left"/>
      <protection hidden="1"/>
    </xf>
    <xf numFmtId="0" fontId="5" fillId="3" borderId="13" xfId="0" applyFont="1" applyFill="1" applyBorder="1" applyAlignment="1" applyProtection="1">
      <alignment horizontal="left"/>
      <protection/>
    </xf>
    <xf numFmtId="0" fontId="5" fillId="3" borderId="17" xfId="0" applyFont="1" applyFill="1" applyBorder="1" applyAlignment="1" applyProtection="1">
      <alignment horizontal="left"/>
      <protection/>
    </xf>
    <xf numFmtId="177" fontId="5" fillId="3" borderId="13" xfId="39" applyBorder="1" applyProtection="1">
      <alignment/>
      <protection hidden="1"/>
    </xf>
    <xf numFmtId="177" fontId="5" fillId="3" borderId="17" xfId="39" applyBorder="1" applyProtection="1">
      <alignment/>
      <protection hidden="1"/>
    </xf>
    <xf numFmtId="0" fontId="5" fillId="3" borderId="49" xfId="0" applyFont="1" applyFill="1" applyBorder="1" applyAlignment="1" applyProtection="1">
      <alignment/>
      <protection hidden="1"/>
    </xf>
    <xf numFmtId="0" fontId="4" fillId="0" borderId="0" xfId="0" applyNumberFormat="1" applyFont="1" applyAlignment="1" applyProtection="1">
      <alignment horizontal="right"/>
      <protection locked="0"/>
    </xf>
    <xf numFmtId="0" fontId="0" fillId="0" borderId="0" xfId="0" applyNumberFormat="1" applyFont="1" applyAlignment="1" applyProtection="1">
      <alignment horizontal="right"/>
      <protection locked="0"/>
    </xf>
    <xf numFmtId="183" fontId="5" fillId="3" borderId="23" xfId="39" applyNumberFormat="1" applyFont="1" applyFill="1" applyBorder="1" applyAlignment="1" applyProtection="1">
      <alignment/>
      <protection/>
    </xf>
    <xf numFmtId="0" fontId="4" fillId="0" borderId="0" xfId="0" applyNumberFormat="1" applyFont="1" applyAlignment="1" applyProtection="1">
      <alignment/>
      <protection/>
    </xf>
    <xf numFmtId="0" fontId="4" fillId="0" borderId="0" xfId="0" applyNumberFormat="1" applyFont="1" applyAlignment="1" applyProtection="1">
      <alignment/>
      <protection locked="0"/>
    </xf>
    <xf numFmtId="0" fontId="0" fillId="0" borderId="0" xfId="0" applyAlignment="1" applyProtection="1">
      <alignment horizontal="left" vertical="top" wrapText="1"/>
      <protection hidden="1"/>
    </xf>
    <xf numFmtId="197" fontId="4" fillId="0" borderId="23" xfId="0" applyNumberFormat="1" applyFont="1" applyFill="1" applyBorder="1" applyAlignment="1" applyProtection="1">
      <alignment/>
      <protection hidden="1"/>
    </xf>
    <xf numFmtId="0" fontId="4" fillId="0" borderId="25" xfId="0" applyFont="1" applyBorder="1" applyAlignment="1">
      <alignment/>
    </xf>
    <xf numFmtId="177" fontId="4" fillId="0" borderId="23" xfId="36" applyNumberFormat="1" applyFont="1" applyFill="1" applyBorder="1" applyProtection="1">
      <alignment/>
      <protection locked="0"/>
    </xf>
    <xf numFmtId="3" fontId="4" fillId="0" borderId="23" xfId="37" applyNumberFormat="1" applyFont="1" applyFill="1" applyBorder="1" applyProtection="1">
      <alignment/>
      <protection locked="0"/>
    </xf>
    <xf numFmtId="3" fontId="4" fillId="0" borderId="24" xfId="37" applyNumberFormat="1" applyFont="1" applyFill="1" applyBorder="1" applyProtection="1">
      <alignment/>
      <protection locked="0"/>
    </xf>
    <xf numFmtId="194" fontId="4" fillId="0" borderId="23" xfId="0" applyNumberFormat="1" applyFont="1" applyBorder="1" applyAlignment="1" applyProtection="1">
      <alignment horizontal="right"/>
      <protection locked="0"/>
    </xf>
    <xf numFmtId="177" fontId="4" fillId="0" borderId="23" xfId="37" applyNumberFormat="1" applyFont="1" applyFill="1" applyBorder="1" applyProtection="1">
      <alignment/>
      <protection/>
    </xf>
    <xf numFmtId="177" fontId="4" fillId="0" borderId="0" xfId="36" applyFill="1" applyBorder="1" applyProtection="1">
      <alignment/>
      <protection/>
    </xf>
    <xf numFmtId="0" fontId="4" fillId="0" borderId="52" xfId="0" applyFont="1" applyFill="1" applyBorder="1" applyAlignment="1" applyProtection="1">
      <alignment/>
      <protection/>
    </xf>
    <xf numFmtId="0" fontId="4" fillId="0" borderId="31" xfId="0" applyFont="1" applyFill="1" applyBorder="1" applyAlignment="1">
      <alignment/>
    </xf>
    <xf numFmtId="0" fontId="5" fillId="0" borderId="26" xfId="0" applyFont="1" applyFill="1" applyBorder="1" applyAlignment="1" applyProtection="1">
      <alignment horizontal="right"/>
      <protection/>
    </xf>
    <xf numFmtId="177" fontId="4" fillId="0" borderId="32" xfId="36" applyFill="1" applyBorder="1" applyProtection="1">
      <alignment/>
      <protection/>
    </xf>
    <xf numFmtId="177" fontId="4" fillId="0" borderId="12" xfId="36" applyFill="1" applyBorder="1" applyProtection="1">
      <alignment/>
      <protection/>
    </xf>
    <xf numFmtId="17" fontId="4" fillId="0" borderId="23" xfId="0" applyNumberFormat="1" applyFont="1" applyBorder="1" applyAlignment="1" applyProtection="1">
      <alignment horizontal="right"/>
      <protection hidden="1"/>
    </xf>
    <xf numFmtId="173" fontId="4" fillId="0" borderId="0" xfId="0" applyNumberFormat="1" applyFont="1" applyAlignment="1" applyProtection="1">
      <alignment/>
      <protection/>
    </xf>
    <xf numFmtId="188" fontId="4" fillId="0" borderId="24" xfId="36" applyNumberFormat="1" applyFill="1" applyBorder="1" applyProtection="1">
      <alignment/>
      <protection locked="0"/>
    </xf>
    <xf numFmtId="188" fontId="5" fillId="3" borderId="23" xfId="39" applyNumberFormat="1" applyBorder="1" applyProtection="1">
      <alignment/>
      <protection/>
    </xf>
    <xf numFmtId="183" fontId="4" fillId="0" borderId="49" xfId="38" applyFont="1" applyFill="1" applyBorder="1" applyAlignment="1" applyProtection="1">
      <alignment horizontal="right"/>
      <protection/>
    </xf>
    <xf numFmtId="49" fontId="5" fillId="0" borderId="32" xfId="0" applyNumberFormat="1" applyFont="1" applyFill="1" applyBorder="1" applyAlignment="1" applyProtection="1">
      <alignment horizontal="left"/>
      <protection/>
    </xf>
    <xf numFmtId="183" fontId="4" fillId="0" borderId="12" xfId="38" applyFont="1" applyFill="1" applyBorder="1" applyProtection="1">
      <alignment/>
      <protection/>
    </xf>
    <xf numFmtId="183" fontId="4" fillId="0" borderId="65" xfId="38" applyFont="1" applyFill="1" applyBorder="1" applyAlignment="1" applyProtection="1">
      <alignment horizontal="right"/>
      <protection/>
    </xf>
    <xf numFmtId="49" fontId="5" fillId="0" borderId="26" xfId="0" applyNumberFormat="1" applyFont="1" applyFill="1" applyBorder="1" applyAlignment="1" applyProtection="1">
      <alignment horizontal="left"/>
      <protection/>
    </xf>
    <xf numFmtId="183" fontId="4" fillId="0" borderId="47" xfId="38" applyFont="1" applyFill="1" applyBorder="1" applyProtection="1">
      <alignment/>
      <protection/>
    </xf>
    <xf numFmtId="1" fontId="4" fillId="0" borderId="25" xfId="38" applyNumberFormat="1" applyFont="1" applyFill="1" applyBorder="1" applyAlignment="1" applyProtection="1">
      <alignment horizontal="right"/>
      <protection/>
    </xf>
    <xf numFmtId="0" fontId="5" fillId="3" borderId="49" xfId="0" applyFont="1" applyFill="1" applyBorder="1" applyAlignment="1" applyProtection="1">
      <alignment/>
      <protection hidden="1"/>
    </xf>
    <xf numFmtId="180" fontId="4" fillId="0" borderId="23" xfId="38" applyNumberFormat="1" applyFont="1" applyBorder="1" applyProtection="1">
      <alignment/>
      <protection/>
    </xf>
    <xf numFmtId="0" fontId="1" fillId="0" borderId="0" xfId="0" applyFont="1" applyAlignment="1" applyProtection="1">
      <alignment/>
      <protection hidden="1"/>
    </xf>
    <xf numFmtId="0" fontId="5" fillId="0" borderId="17" xfId="0" applyFont="1" applyFill="1" applyBorder="1" applyAlignment="1" applyProtection="1">
      <alignment horizontal="right"/>
      <protection/>
    </xf>
    <xf numFmtId="177" fontId="5" fillId="0" borderId="13" xfId="36" applyFont="1" applyFill="1" applyBorder="1" applyAlignment="1" applyProtection="1">
      <alignment horizontal="right"/>
      <protection hidden="1"/>
    </xf>
    <xf numFmtId="170" fontId="4" fillId="0" borderId="25" xfId="36" applyNumberFormat="1" applyFont="1" applyBorder="1" applyAlignment="1" applyProtection="1">
      <alignment horizontal="center"/>
      <protection hidden="1"/>
    </xf>
    <xf numFmtId="4" fontId="4" fillId="0" borderId="25" xfId="36" applyNumberFormat="1" applyFont="1" applyFill="1" applyBorder="1" applyAlignment="1" applyProtection="1">
      <alignment horizontal="center"/>
      <protection hidden="1"/>
    </xf>
    <xf numFmtId="171" fontId="5" fillId="0" borderId="0" xfId="39" applyNumberFormat="1" applyFill="1" applyBorder="1" applyProtection="1">
      <alignment/>
      <protection/>
    </xf>
    <xf numFmtId="174" fontId="4" fillId="0" borderId="25" xfId="36" applyNumberFormat="1" applyFont="1" applyBorder="1" applyAlignment="1" applyProtection="1">
      <alignment horizontal="center"/>
      <protection hidden="1"/>
    </xf>
    <xf numFmtId="183" fontId="4" fillId="0" borderId="49" xfId="38" applyFont="1" applyFill="1" applyBorder="1" applyProtection="1">
      <alignment/>
      <protection locked="0"/>
    </xf>
    <xf numFmtId="177" fontId="4" fillId="0" borderId="49" xfId="36" applyFont="1" applyBorder="1" applyAlignment="1" applyProtection="1">
      <alignment/>
      <protection/>
    </xf>
    <xf numFmtId="174" fontId="4" fillId="0" borderId="49" xfId="36" applyNumberFormat="1" applyFont="1" applyBorder="1" applyAlignment="1" applyProtection="1">
      <alignment horizontal="center"/>
      <protection hidden="1"/>
    </xf>
    <xf numFmtId="174" fontId="4" fillId="0" borderId="25" xfId="36" applyNumberFormat="1" applyFont="1" applyFill="1" applyBorder="1" applyAlignment="1" applyProtection="1">
      <alignment horizontal="center"/>
      <protection hidden="1"/>
    </xf>
    <xf numFmtId="166" fontId="4" fillId="0" borderId="23" xfId="0" applyNumberFormat="1" applyFont="1" applyBorder="1" applyAlignment="1" applyProtection="1">
      <alignment horizontal="center"/>
      <protection/>
    </xf>
    <xf numFmtId="37" fontId="4" fillId="0" borderId="26" xfId="0" applyNumberFormat="1" applyFont="1" applyFill="1" applyBorder="1" applyAlignment="1" applyProtection="1">
      <alignment/>
      <protection locked="0"/>
    </xf>
    <xf numFmtId="0" fontId="5" fillId="3" borderId="25" xfId="0" applyFont="1" applyFill="1" applyBorder="1" applyAlignment="1" applyProtection="1">
      <alignment horizontal="left"/>
      <protection hidden="1"/>
    </xf>
    <xf numFmtId="177" fontId="5" fillId="3" borderId="38" xfId="39" applyFont="1" applyBorder="1" applyProtection="1">
      <alignment/>
      <protection/>
    </xf>
    <xf numFmtId="0" fontId="4" fillId="0" borderId="0" xfId="0" applyFont="1" applyAlignment="1" applyProtection="1">
      <alignment horizontal="justify" vertical="top" wrapText="1"/>
      <protection hidden="1"/>
    </xf>
    <xf numFmtId="0" fontId="4" fillId="0" borderId="16" xfId="0" applyFont="1" applyBorder="1" applyAlignment="1" applyProtection="1">
      <alignment/>
      <protection hidden="1"/>
    </xf>
    <xf numFmtId="0" fontId="5" fillId="3" borderId="25" xfId="32" applyFont="1" applyFill="1" applyBorder="1" applyAlignment="1" applyProtection="1">
      <alignment/>
      <protection hidden="1"/>
    </xf>
    <xf numFmtId="177" fontId="4" fillId="0" borderId="17" xfId="36" applyFont="1" applyBorder="1" applyProtection="1">
      <alignment/>
      <protection/>
    </xf>
    <xf numFmtId="177" fontId="5" fillId="3" borderId="23" xfId="39" applyFont="1" applyBorder="1" applyProtection="1" quotePrefix="1">
      <alignment/>
      <protection/>
    </xf>
    <xf numFmtId="0" fontId="1" fillId="0" borderId="0" xfId="35" applyNumberFormat="1" applyFont="1" applyAlignment="1" applyProtection="1">
      <alignment/>
      <protection hidden="1"/>
    </xf>
    <xf numFmtId="0" fontId="0" fillId="0" borderId="0" xfId="35" applyAlignment="1" applyProtection="1">
      <alignment horizontal="left"/>
      <protection hidden="1"/>
    </xf>
    <xf numFmtId="0" fontId="0" fillId="0" borderId="0" xfId="35" applyAlignment="1" applyProtection="1">
      <alignment/>
      <protection hidden="1"/>
    </xf>
    <xf numFmtId="0" fontId="1" fillId="0" borderId="0" xfId="35" applyFont="1" applyBorder="1" applyAlignment="1" applyProtection="1">
      <alignment/>
      <protection hidden="1"/>
    </xf>
    <xf numFmtId="0" fontId="2" fillId="0" borderId="5" xfId="35" applyNumberFormat="1" applyFont="1" applyBorder="1" applyAlignment="1" applyProtection="1" quotePrefix="1">
      <alignment vertical="center"/>
      <protection hidden="1"/>
    </xf>
    <xf numFmtId="0" fontId="2" fillId="0" borderId="5" xfId="35" applyFont="1" applyBorder="1" applyAlignment="1" applyProtection="1">
      <alignment horizontal="left" vertical="center"/>
      <protection hidden="1"/>
    </xf>
    <xf numFmtId="0" fontId="1" fillId="0" borderId="0" xfId="35" applyFont="1">
      <alignment/>
      <protection/>
    </xf>
    <xf numFmtId="0" fontId="2" fillId="0" borderId="0" xfId="35" applyFont="1" applyAlignment="1" applyProtection="1">
      <alignment vertical="center"/>
      <protection/>
    </xf>
    <xf numFmtId="0" fontId="0" fillId="0" borderId="0" xfId="35">
      <alignment/>
      <protection/>
    </xf>
    <xf numFmtId="0" fontId="0" fillId="0" borderId="0" xfId="35" applyFont="1">
      <alignment/>
      <protection/>
    </xf>
    <xf numFmtId="0" fontId="4" fillId="0" borderId="0" xfId="35" applyFont="1" applyBorder="1" applyProtection="1">
      <alignment/>
      <protection/>
    </xf>
    <xf numFmtId="0" fontId="4" fillId="0" borderId="0" xfId="35" applyFont="1" applyProtection="1">
      <alignment/>
      <protection/>
    </xf>
    <xf numFmtId="0" fontId="0" fillId="3" borderId="3" xfId="35" applyFill="1" applyBorder="1" applyAlignment="1">
      <alignment horizontal="center"/>
      <protection/>
    </xf>
    <xf numFmtId="0" fontId="4" fillId="0" borderId="0" xfId="35" applyFont="1" applyAlignment="1" applyProtection="1">
      <alignment/>
      <protection/>
    </xf>
    <xf numFmtId="170" fontId="5" fillId="0" borderId="0" xfId="0" applyNumberFormat="1" applyFont="1" applyAlignment="1" applyProtection="1">
      <alignment/>
      <protection hidden="1"/>
    </xf>
    <xf numFmtId="0" fontId="4" fillId="0" borderId="0" xfId="0" applyNumberFormat="1" applyFont="1" applyAlignment="1" applyProtection="1">
      <alignment horizontal="right" wrapText="1"/>
      <protection hidden="1"/>
    </xf>
    <xf numFmtId="0" fontId="5" fillId="0" borderId="0" xfId="0" applyNumberFormat="1" applyFont="1" applyAlignment="1" applyProtection="1">
      <alignment horizontal="right"/>
      <protection hidden="1"/>
    </xf>
    <xf numFmtId="49" fontId="4" fillId="0" borderId="0" xfId="0" applyNumberFormat="1" applyFont="1" applyAlignment="1" applyProtection="1">
      <alignment horizontal="justify"/>
      <protection hidden="1"/>
    </xf>
    <xf numFmtId="0" fontId="5" fillId="0" borderId="0" xfId="0" applyFont="1" applyAlignment="1" applyProtection="1">
      <alignment vertical="top"/>
      <protection hidden="1"/>
    </xf>
    <xf numFmtId="0" fontId="5" fillId="0" borderId="0" xfId="0" applyFont="1" applyAlignment="1" applyProtection="1">
      <alignment horizontal="left" vertical="top"/>
      <protection hidden="1"/>
    </xf>
    <xf numFmtId="170" fontId="4" fillId="0" borderId="0" xfId="0" applyNumberFormat="1" applyFont="1" applyAlignment="1" applyProtection="1">
      <alignment/>
      <protection hidden="1"/>
    </xf>
    <xf numFmtId="0" fontId="4" fillId="0" borderId="0" xfId="0" applyFont="1" applyAlignment="1" applyProtection="1">
      <alignment horizontal="justify"/>
      <protection locked="0"/>
    </xf>
    <xf numFmtId="177" fontId="4" fillId="0" borderId="24" xfId="36" applyFont="1" applyFill="1" applyBorder="1" applyAlignment="1" applyProtection="1">
      <alignment/>
      <protection locked="0"/>
    </xf>
    <xf numFmtId="177" fontId="4" fillId="0" borderId="38" xfId="36" applyFont="1" applyFill="1" applyBorder="1" applyProtection="1">
      <alignment/>
      <protection locked="0"/>
    </xf>
    <xf numFmtId="182" fontId="4" fillId="0" borderId="13" xfId="0" applyNumberFormat="1" applyFont="1" applyFill="1" applyBorder="1" applyAlignment="1" applyProtection="1">
      <alignment horizontal="left"/>
      <protection locked="0"/>
    </xf>
    <xf numFmtId="0" fontId="4" fillId="3" borderId="23" xfId="0" applyFont="1" applyFill="1" applyBorder="1" applyAlignment="1" applyProtection="1">
      <alignment horizontal="left" vertical="center"/>
      <protection locked="0"/>
    </xf>
    <xf numFmtId="183" fontId="4" fillId="0" borderId="25" xfId="38" applyNumberFormat="1" applyFont="1" applyBorder="1" applyProtection="1">
      <alignment/>
      <protection/>
    </xf>
    <xf numFmtId="49" fontId="4" fillId="0" borderId="23" xfId="36" applyNumberFormat="1" applyFont="1" applyFill="1" applyBorder="1" applyAlignment="1" applyProtection="1">
      <alignment horizontal="center"/>
      <protection locked="0"/>
    </xf>
    <xf numFmtId="0" fontId="1" fillId="0" borderId="0" xfId="0" applyFont="1" applyBorder="1" applyAlignment="1" applyProtection="1">
      <alignment/>
      <protection locked="0"/>
    </xf>
    <xf numFmtId="0" fontId="2" fillId="0" borderId="5" xfId="0" applyNumberFormat="1" applyFont="1" applyBorder="1" applyAlignment="1" applyProtection="1" quotePrefix="1">
      <alignment vertical="center"/>
      <protection hidden="1"/>
    </xf>
    <xf numFmtId="0" fontId="4" fillId="0" borderId="0" xfId="0" applyFont="1" applyAlignment="1" applyProtection="1" quotePrefix="1">
      <alignment/>
      <protection/>
    </xf>
    <xf numFmtId="0" fontId="4" fillId="0" borderId="25" xfId="0" applyFont="1" applyBorder="1" applyAlignment="1" applyProtection="1">
      <alignment/>
      <protection/>
    </xf>
    <xf numFmtId="0" fontId="0" fillId="0" borderId="0" xfId="35" applyBorder="1" applyAlignment="1">
      <alignment vertical="center" wrapText="1"/>
      <protection/>
    </xf>
    <xf numFmtId="0" fontId="0" fillId="0" borderId="0" xfId="0" applyAlignment="1">
      <alignment wrapText="1"/>
    </xf>
    <xf numFmtId="3" fontId="4" fillId="0" borderId="23" xfId="0" applyNumberFormat="1" applyFont="1" applyFill="1" applyBorder="1" applyAlignment="1" applyProtection="1">
      <alignment horizontal="center"/>
      <protection hidden="1"/>
    </xf>
    <xf numFmtId="170" fontId="4" fillId="0" borderId="23" xfId="0" applyNumberFormat="1" applyFont="1" applyFill="1" applyBorder="1" applyAlignment="1" applyProtection="1">
      <alignment horizontal="center"/>
      <protection hidden="1"/>
    </xf>
    <xf numFmtId="170" fontId="4" fillId="0" borderId="24" xfId="0" applyNumberFormat="1" applyFont="1" applyFill="1" applyBorder="1" applyAlignment="1" applyProtection="1">
      <alignment horizontal="center"/>
      <protection hidden="1"/>
    </xf>
    <xf numFmtId="3" fontId="4" fillId="0" borderId="24" xfId="0" applyNumberFormat="1" applyFont="1" applyFill="1" applyBorder="1" applyAlignment="1" applyProtection="1">
      <alignment horizontal="center"/>
      <protection hidden="1"/>
    </xf>
    <xf numFmtId="0" fontId="4" fillId="0" borderId="32" xfId="0" applyFont="1" applyFill="1" applyBorder="1" applyAlignment="1" applyProtection="1" quotePrefix="1">
      <alignment/>
      <protection hidden="1"/>
    </xf>
    <xf numFmtId="0" fontId="5" fillId="3" borderId="50" xfId="0" applyFont="1" applyFill="1" applyBorder="1" applyAlignment="1" applyProtection="1">
      <alignment/>
      <protection/>
    </xf>
    <xf numFmtId="0" fontId="5" fillId="3" borderId="14" xfId="0" applyFont="1" applyFill="1" applyBorder="1" applyAlignment="1" applyProtection="1">
      <alignment/>
      <protection/>
    </xf>
    <xf numFmtId="0" fontId="5" fillId="0" borderId="23" xfId="0" applyFont="1" applyBorder="1" applyAlignment="1" applyProtection="1">
      <alignment horizontal="center"/>
      <protection/>
    </xf>
    <xf numFmtId="0" fontId="4" fillId="0" borderId="23" xfId="0" applyFont="1" applyBorder="1" applyAlignment="1" applyProtection="1">
      <alignment/>
      <protection/>
    </xf>
    <xf numFmtId="2" fontId="4" fillId="0" borderId="23" xfId="0" applyNumberFormat="1" applyFont="1" applyBorder="1" applyAlignment="1" applyProtection="1">
      <alignment/>
      <protection/>
    </xf>
    <xf numFmtId="0" fontId="5" fillId="3" borderId="25" xfId="0" applyFont="1" applyFill="1" applyBorder="1" applyAlignment="1" applyProtection="1">
      <alignment/>
      <protection/>
    </xf>
    <xf numFmtId="0" fontId="5" fillId="3" borderId="21" xfId="0" applyFont="1" applyFill="1" applyBorder="1" applyAlignment="1" applyProtection="1">
      <alignment horizontal="center"/>
      <protection/>
    </xf>
    <xf numFmtId="0" fontId="5" fillId="3" borderId="5" xfId="0" applyFont="1" applyFill="1" applyBorder="1" applyAlignment="1" applyProtection="1">
      <alignment horizontal="center"/>
      <protection/>
    </xf>
    <xf numFmtId="0" fontId="5" fillId="3" borderId="5" xfId="0" applyFont="1" applyFill="1" applyBorder="1" applyAlignment="1" applyProtection="1">
      <alignment horizontal="right"/>
      <protection/>
    </xf>
    <xf numFmtId="0" fontId="4" fillId="3" borderId="5" xfId="0" applyFont="1" applyFill="1" applyBorder="1" applyAlignment="1" applyProtection="1">
      <alignment/>
      <protection/>
    </xf>
    <xf numFmtId="0" fontId="4" fillId="3" borderId="21" xfId="0" applyFont="1" applyFill="1" applyBorder="1" applyAlignment="1" applyProtection="1">
      <alignment horizontal="center"/>
      <protection/>
    </xf>
    <xf numFmtId="0" fontId="4" fillId="3" borderId="37" xfId="0" applyFont="1" applyFill="1" applyBorder="1" applyAlignment="1" applyProtection="1">
      <alignment horizontal="center"/>
      <protection/>
    </xf>
    <xf numFmtId="0" fontId="5" fillId="3" borderId="14" xfId="0" applyFont="1" applyFill="1" applyBorder="1" applyAlignment="1" applyProtection="1">
      <alignment horizontal="center"/>
      <protection/>
    </xf>
    <xf numFmtId="0" fontId="5" fillId="3" borderId="3" xfId="0" applyFont="1" applyFill="1" applyBorder="1" applyAlignment="1" applyProtection="1">
      <alignment horizontal="center"/>
      <protection/>
    </xf>
    <xf numFmtId="0" fontId="4" fillId="3" borderId="14" xfId="0" applyFont="1" applyFill="1" applyBorder="1" applyAlignment="1" applyProtection="1">
      <alignment horizontal="center"/>
      <protection/>
    </xf>
    <xf numFmtId="0" fontId="4" fillId="3" borderId="22" xfId="0" applyFont="1" applyFill="1" applyBorder="1" applyAlignment="1" applyProtection="1">
      <alignment horizontal="center"/>
      <protection/>
    </xf>
    <xf numFmtId="0" fontId="4" fillId="0" borderId="23" xfId="0" applyFont="1" applyBorder="1" applyAlignment="1" applyProtection="1">
      <alignment horizontal="center"/>
      <protection/>
    </xf>
    <xf numFmtId="0" fontId="5" fillId="3" borderId="23" xfId="0" applyFont="1" applyFill="1" applyBorder="1" applyAlignment="1" applyProtection="1">
      <alignment/>
      <protection/>
    </xf>
    <xf numFmtId="0" fontId="4" fillId="0" borderId="23" xfId="0" applyNumberFormat="1" applyFont="1" applyFill="1" applyBorder="1" applyAlignment="1" applyProtection="1">
      <alignment horizontal="center"/>
      <protection hidden="1"/>
    </xf>
    <xf numFmtId="0" fontId="4" fillId="0" borderId="32" xfId="0" applyFont="1" applyBorder="1" applyAlignment="1" applyProtection="1">
      <alignment horizontal="right"/>
      <protection hidden="1"/>
    </xf>
    <xf numFmtId="37" fontId="4" fillId="0" borderId="0" xfId="0" applyNumberFormat="1" applyFont="1" applyFill="1" applyBorder="1" applyAlignment="1" applyProtection="1">
      <alignment vertical="center"/>
      <protection/>
    </xf>
    <xf numFmtId="177" fontId="4" fillId="0" borderId="23" xfId="0" applyNumberFormat="1" applyFont="1" applyBorder="1" applyAlignment="1" applyProtection="1">
      <alignment/>
      <protection/>
    </xf>
    <xf numFmtId="177" fontId="5" fillId="3" borderId="23" xfId="0" applyNumberFormat="1" applyFont="1" applyFill="1" applyBorder="1" applyAlignment="1" applyProtection="1">
      <alignment/>
      <protection/>
    </xf>
    <xf numFmtId="177" fontId="4" fillId="0" borderId="23" xfId="0" applyNumberFormat="1" applyFont="1" applyBorder="1" applyAlignment="1" applyProtection="1">
      <alignment/>
      <protection/>
    </xf>
    <xf numFmtId="177" fontId="5" fillId="0" borderId="23" xfId="36" applyNumberFormat="1" applyFont="1" applyFill="1" applyBorder="1" applyProtection="1">
      <alignment/>
      <protection/>
    </xf>
    <xf numFmtId="177" fontId="5" fillId="3" borderId="38" xfId="0" applyNumberFormat="1" applyFont="1" applyFill="1" applyBorder="1" applyAlignment="1" applyProtection="1">
      <alignment/>
      <protection/>
    </xf>
    <xf numFmtId="0" fontId="0" fillId="0" borderId="0" xfId="35" applyBorder="1" applyAlignment="1">
      <alignment horizontal="center"/>
      <protection/>
    </xf>
    <xf numFmtId="0" fontId="0" fillId="0" borderId="66" xfId="35" applyBorder="1" applyAlignment="1">
      <alignment horizontal="center"/>
      <protection/>
    </xf>
    <xf numFmtId="37" fontId="5" fillId="3" borderId="21" xfId="0" applyNumberFormat="1" applyFont="1" applyFill="1" applyBorder="1" applyAlignment="1" applyProtection="1">
      <alignment vertical="center"/>
      <protection/>
    </xf>
    <xf numFmtId="37" fontId="5" fillId="3" borderId="2" xfId="0" applyNumberFormat="1" applyFont="1" applyFill="1" applyBorder="1" applyAlignment="1" applyProtection="1">
      <alignment vertical="center"/>
      <protection/>
    </xf>
    <xf numFmtId="37" fontId="5" fillId="3" borderId="14" xfId="0" applyNumberFormat="1" applyFont="1" applyFill="1" applyBorder="1" applyAlignment="1" applyProtection="1">
      <alignment vertical="center"/>
      <protection/>
    </xf>
    <xf numFmtId="0" fontId="5" fillId="3" borderId="25" xfId="0" applyNumberFormat="1" applyFont="1" applyFill="1" applyBorder="1" applyAlignment="1" applyProtection="1">
      <alignment horizontal="left"/>
      <protection hidden="1"/>
    </xf>
    <xf numFmtId="0" fontId="4" fillId="0" borderId="24" xfId="0" applyFont="1" applyBorder="1" applyAlignment="1">
      <alignment/>
    </xf>
    <xf numFmtId="177" fontId="4" fillId="0" borderId="23" xfId="0" applyNumberFormat="1" applyFont="1" applyBorder="1" applyAlignment="1">
      <alignment/>
    </xf>
    <xf numFmtId="177" fontId="4" fillId="0" borderId="23" xfId="0" applyNumberFormat="1" applyFont="1" applyBorder="1" applyAlignment="1" applyProtection="1">
      <alignment/>
      <protection locked="0"/>
    </xf>
    <xf numFmtId="0" fontId="4" fillId="0" borderId="23" xfId="0" applyFont="1" applyBorder="1" applyAlignment="1">
      <alignment/>
    </xf>
    <xf numFmtId="0" fontId="4" fillId="0" borderId="23" xfId="0" applyFont="1" applyBorder="1" applyAlignment="1" applyProtection="1">
      <alignment/>
      <protection locked="0"/>
    </xf>
    <xf numFmtId="0" fontId="4" fillId="0" borderId="23" xfId="0" applyFont="1" applyFill="1" applyBorder="1" applyAlignment="1">
      <alignment/>
    </xf>
    <xf numFmtId="0" fontId="0" fillId="0" borderId="0" xfId="0" applyFill="1" applyAlignment="1">
      <alignment/>
    </xf>
    <xf numFmtId="0" fontId="4" fillId="0" borderId="23" xfId="0" applyFont="1" applyBorder="1" applyAlignment="1" applyProtection="1">
      <alignment horizontal="center"/>
      <protection locked="0"/>
    </xf>
    <xf numFmtId="0" fontId="4" fillId="0" borderId="0" xfId="0" applyFont="1" applyBorder="1" applyAlignment="1">
      <alignment/>
    </xf>
    <xf numFmtId="0" fontId="4" fillId="0" borderId="23" xfId="0" applyFont="1" applyBorder="1" applyAlignment="1">
      <alignment horizontal="center"/>
    </xf>
    <xf numFmtId="0" fontId="4" fillId="0" borderId="62" xfId="0" applyFont="1" applyBorder="1" applyAlignment="1">
      <alignment horizontal="center"/>
    </xf>
    <xf numFmtId="0" fontId="5" fillId="0" borderId="0" xfId="0" applyNumberFormat="1" applyFont="1" applyAlignment="1" applyProtection="1">
      <alignment/>
      <protection locked="0"/>
    </xf>
    <xf numFmtId="49" fontId="4" fillId="0" borderId="0" xfId="0" applyNumberFormat="1" applyFont="1" applyBorder="1" applyAlignment="1" applyProtection="1">
      <alignment horizontal="center"/>
      <protection locked="0"/>
    </xf>
    <xf numFmtId="49" fontId="4" fillId="0" borderId="25" xfId="0" applyNumberFormat="1" applyFont="1" applyFill="1" applyBorder="1" applyAlignment="1" applyProtection="1">
      <alignment horizontal="left"/>
      <protection/>
    </xf>
    <xf numFmtId="14" fontId="4" fillId="0" borderId="13" xfId="0" applyNumberFormat="1" applyFont="1" applyFill="1" applyBorder="1" applyAlignment="1" applyProtection="1">
      <alignment horizontal="left"/>
      <protection/>
    </xf>
    <xf numFmtId="168" fontId="4" fillId="0" borderId="13" xfId="0" applyNumberFormat="1" applyFont="1" applyFill="1" applyBorder="1" applyAlignment="1" applyProtection="1">
      <alignment/>
      <protection/>
    </xf>
    <xf numFmtId="168" fontId="4" fillId="0" borderId="13" xfId="36" applyNumberFormat="1" applyFont="1" applyFill="1" applyBorder="1" applyProtection="1">
      <alignment/>
      <protection/>
    </xf>
    <xf numFmtId="49" fontId="4" fillId="0" borderId="17" xfId="36" applyNumberFormat="1" applyFont="1" applyFill="1" applyBorder="1" applyAlignment="1" applyProtection="1">
      <alignment horizontal="center"/>
      <protection/>
    </xf>
    <xf numFmtId="0" fontId="4" fillId="0" borderId="25"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4" fillId="0" borderId="17" xfId="0" applyNumberFormat="1" applyFont="1" applyFill="1" applyBorder="1" applyAlignment="1" applyProtection="1">
      <alignment horizontal="center"/>
      <protection/>
    </xf>
    <xf numFmtId="177" fontId="4" fillId="0" borderId="24" xfId="36" applyFont="1" applyFill="1" applyBorder="1" applyProtection="1" quotePrefix="1">
      <alignment/>
      <protection/>
    </xf>
    <xf numFmtId="177" fontId="4" fillId="0" borderId="25" xfId="36" applyFont="1" applyFill="1" applyBorder="1" applyProtection="1">
      <alignment/>
      <protection/>
    </xf>
    <xf numFmtId="0" fontId="2" fillId="0" borderId="0" xfId="35" applyNumberFormat="1" applyFont="1" applyBorder="1" applyAlignment="1" applyProtection="1" quotePrefix="1">
      <alignment vertical="center"/>
      <protection hidden="1"/>
    </xf>
    <xf numFmtId="0" fontId="2" fillId="0" borderId="0" xfId="35" applyFont="1" applyBorder="1" applyAlignment="1" applyProtection="1">
      <alignment horizontal="left" vertical="center"/>
      <protection hidden="1"/>
    </xf>
    <xf numFmtId="0" fontId="3" fillId="0" borderId="0" xfId="35" applyNumberFormat="1" applyFont="1" applyBorder="1" applyAlignment="1" applyProtection="1">
      <alignment vertical="center"/>
      <protection hidden="1"/>
    </xf>
    <xf numFmtId="0" fontId="13" fillId="0" borderId="0" xfId="35" applyNumberFormat="1" applyFont="1" applyBorder="1" applyAlignment="1" applyProtection="1">
      <alignment vertical="center"/>
      <protection hidden="1"/>
    </xf>
    <xf numFmtId="187" fontId="2" fillId="0" borderId="0" xfId="35" applyNumberFormat="1" applyFont="1" applyBorder="1" applyAlignment="1" applyProtection="1">
      <alignment horizontal="right" vertical="center"/>
      <protection hidden="1"/>
    </xf>
    <xf numFmtId="0" fontId="4" fillId="0" borderId="13" xfId="0" applyFont="1" applyBorder="1" applyAlignment="1">
      <alignment/>
    </xf>
    <xf numFmtId="0" fontId="4" fillId="0" borderId="17" xfId="0" applyFont="1" applyBorder="1" applyAlignment="1">
      <alignment/>
    </xf>
    <xf numFmtId="177" fontId="4" fillId="0" borderId="61" xfId="0" applyNumberFormat="1" applyFont="1" applyBorder="1" applyAlignment="1">
      <alignment/>
    </xf>
    <xf numFmtId="177" fontId="4" fillId="0" borderId="23" xfId="36" applyFont="1" applyFill="1" applyBorder="1" applyAlignment="1" applyProtection="1">
      <alignment horizontal="center"/>
      <protection locked="0"/>
    </xf>
    <xf numFmtId="9" fontId="4" fillId="0" borderId="17" xfId="0" applyNumberFormat="1" applyFont="1" applyBorder="1" applyAlignment="1">
      <alignment horizontal="center"/>
    </xf>
    <xf numFmtId="177" fontId="4" fillId="0" borderId="24" xfId="36" applyFont="1" applyFill="1" applyBorder="1" applyAlignment="1" applyProtection="1">
      <alignment horizontal="right"/>
      <protection/>
    </xf>
    <xf numFmtId="0" fontId="4" fillId="0" borderId="12" xfId="0" applyFont="1" applyFill="1" applyBorder="1" applyAlignment="1" applyProtection="1" quotePrefix="1">
      <alignment/>
      <protection hidden="1"/>
    </xf>
    <xf numFmtId="0" fontId="4" fillId="0" borderId="67" xfId="0" applyFont="1" applyBorder="1" applyAlignment="1" applyProtection="1">
      <alignment/>
      <protection hidden="1"/>
    </xf>
    <xf numFmtId="177" fontId="1" fillId="0" borderId="16" xfId="39" applyFont="1" applyFill="1" applyBorder="1" applyAlignment="1" applyProtection="1">
      <alignment vertical="center"/>
      <protection/>
    </xf>
    <xf numFmtId="177" fontId="5" fillId="0" borderId="7" xfId="39" applyFill="1" applyBorder="1" applyAlignment="1" applyProtection="1">
      <alignment vertical="center"/>
      <protection/>
    </xf>
    <xf numFmtId="177" fontId="5" fillId="0" borderId="3" xfId="39" applyFill="1" applyBorder="1" applyAlignment="1" applyProtection="1">
      <alignment horizontal="right" vertical="center"/>
      <protection/>
    </xf>
    <xf numFmtId="4" fontId="4" fillId="0" borderId="23" xfId="37" applyNumberFormat="1" applyFont="1" applyFill="1" applyBorder="1" applyProtection="1">
      <alignment/>
      <protection/>
    </xf>
    <xf numFmtId="0" fontId="4" fillId="0" borderId="0" xfId="0" applyFont="1" applyFill="1" applyBorder="1" applyAlignment="1" applyProtection="1">
      <alignment vertical="top"/>
      <protection locked="0"/>
    </xf>
    <xf numFmtId="0" fontId="4" fillId="0" borderId="0" xfId="0" applyFont="1" applyBorder="1" applyAlignment="1" applyProtection="1">
      <alignment/>
      <protection locked="0"/>
    </xf>
    <xf numFmtId="37" fontId="4" fillId="0" borderId="0" xfId="0" applyNumberFormat="1" applyFont="1" applyFill="1" applyBorder="1" applyAlignment="1" applyProtection="1">
      <alignment horizontal="right" vertical="center"/>
      <protection/>
    </xf>
    <xf numFmtId="186" fontId="4" fillId="0" borderId="0" xfId="0" applyNumberFormat="1" applyFont="1" applyFill="1" applyBorder="1" applyAlignment="1" applyProtection="1">
      <alignment horizontal="right" vertical="center"/>
      <protection/>
    </xf>
    <xf numFmtId="177" fontId="4" fillId="0" borderId="13" xfId="39" applyFont="1" applyFill="1" applyBorder="1" applyProtection="1">
      <alignment/>
      <protection/>
    </xf>
    <xf numFmtId="0" fontId="4" fillId="0" borderId="13" xfId="0" applyNumberFormat="1" applyFont="1" applyFill="1" applyBorder="1" applyAlignment="1" applyProtection="1">
      <alignment horizontal="left"/>
      <protection/>
    </xf>
    <xf numFmtId="177" fontId="4" fillId="0" borderId="17" xfId="39" applyFont="1" applyFill="1" applyBorder="1" applyProtection="1">
      <alignment/>
      <protection/>
    </xf>
    <xf numFmtId="177" fontId="4" fillId="0" borderId="0" xfId="36" applyFont="1" applyFill="1" applyBorder="1" applyProtection="1">
      <alignment/>
      <protection/>
    </xf>
    <xf numFmtId="0" fontId="4" fillId="0" borderId="0" xfId="0" applyFont="1" applyAlignment="1" applyProtection="1">
      <alignment horizontal="justify" vertical="top"/>
      <protection hidden="1"/>
    </xf>
    <xf numFmtId="0" fontId="4" fillId="0" borderId="0" xfId="0" applyFont="1" applyBorder="1" applyAlignment="1" applyProtection="1">
      <alignment horizontal="left" vertical="center"/>
      <protection/>
    </xf>
    <xf numFmtId="0" fontId="15" fillId="0" borderId="0" xfId="0" applyFont="1" applyBorder="1" applyAlignment="1" applyProtection="1">
      <alignment vertical="center"/>
      <protection/>
    </xf>
    <xf numFmtId="37" fontId="4" fillId="0" borderId="25" xfId="0" applyNumberFormat="1" applyFont="1" applyFill="1" applyBorder="1" applyAlignment="1" applyProtection="1">
      <alignment/>
      <protection hidden="1"/>
    </xf>
    <xf numFmtId="177" fontId="4" fillId="0" borderId="17" xfId="36" applyFont="1" applyFill="1" applyBorder="1" applyProtection="1">
      <alignment/>
      <protection hidden="1"/>
    </xf>
    <xf numFmtId="0" fontId="4" fillId="0" borderId="17" xfId="0" applyFont="1" applyBorder="1" applyAlignment="1" applyProtection="1">
      <alignment horizontal="left"/>
      <protection/>
    </xf>
    <xf numFmtId="0" fontId="24" fillId="3" borderId="17" xfId="0" applyFont="1" applyFill="1" applyBorder="1" applyAlignment="1" applyProtection="1" quotePrefix="1">
      <alignment horizontal="right"/>
      <protection hidden="1"/>
    </xf>
    <xf numFmtId="0" fontId="4" fillId="7" borderId="24" xfId="0" applyFont="1" applyFill="1" applyBorder="1" applyAlignment="1" applyProtection="1">
      <alignment/>
      <protection/>
    </xf>
    <xf numFmtId="0" fontId="4" fillId="7" borderId="38" xfId="0" applyFont="1" applyFill="1" applyBorder="1" applyAlignment="1" applyProtection="1">
      <alignment/>
      <protection/>
    </xf>
    <xf numFmtId="0" fontId="4" fillId="7" borderId="62" xfId="0" applyFont="1" applyFill="1" applyBorder="1" applyAlignment="1" applyProtection="1">
      <alignment/>
      <protection/>
    </xf>
    <xf numFmtId="0" fontId="5" fillId="3" borderId="3" xfId="0" applyFont="1" applyFill="1" applyBorder="1" applyAlignment="1" applyProtection="1">
      <alignment horizontal="center" vertical="center"/>
      <protection hidden="1"/>
    </xf>
    <xf numFmtId="191" fontId="5" fillId="3" borderId="14" xfId="0" applyNumberFormat="1" applyFont="1" applyFill="1" applyBorder="1" applyAlignment="1" applyProtection="1">
      <alignment horizontal="center" vertical="center"/>
      <protection hidden="1"/>
    </xf>
    <xf numFmtId="37" fontId="5" fillId="0" borderId="0" xfId="0" applyNumberFormat="1" applyFont="1" applyFill="1" applyBorder="1" applyAlignment="1" applyProtection="1">
      <alignment horizontal="center" vertical="center" wrapText="1"/>
      <protection hidden="1"/>
    </xf>
    <xf numFmtId="37" fontId="5" fillId="3" borderId="33" xfId="0" applyNumberFormat="1" applyFont="1" applyFill="1" applyBorder="1" applyAlignment="1" applyProtection="1">
      <alignment horizontal="center" vertical="center" wrapText="1"/>
      <protection hidden="1"/>
    </xf>
    <xf numFmtId="0" fontId="5" fillId="3" borderId="33" xfId="0" applyFont="1" applyFill="1" applyBorder="1" applyAlignment="1" applyProtection="1">
      <alignment horizontal="center" vertical="center"/>
      <protection hidden="1"/>
    </xf>
    <xf numFmtId="191" fontId="5" fillId="3" borderId="51" xfId="0" applyNumberFormat="1" applyFont="1" applyFill="1" applyBorder="1" applyAlignment="1" applyProtection="1">
      <alignment horizontal="center" vertical="center"/>
      <protection hidden="1"/>
    </xf>
    <xf numFmtId="182" fontId="4" fillId="0" borderId="23" xfId="0" applyNumberFormat="1" applyFont="1" applyFill="1" applyBorder="1" applyAlignment="1" applyProtection="1">
      <alignment horizontal="left"/>
      <protection locked="0"/>
    </xf>
    <xf numFmtId="0" fontId="5" fillId="3" borderId="21" xfId="0" applyFont="1" applyFill="1" applyBorder="1" applyAlignment="1" applyProtection="1">
      <alignment horizontal="center" vertical="center"/>
      <protection hidden="1"/>
    </xf>
    <xf numFmtId="0" fontId="4" fillId="0" borderId="23" xfId="32" applyFont="1" applyFill="1" applyBorder="1" applyProtection="1">
      <alignment/>
      <protection hidden="1"/>
    </xf>
    <xf numFmtId="0" fontId="4" fillId="0" borderId="23" xfId="32" applyFont="1" applyFill="1" applyBorder="1" applyProtection="1" quotePrefix="1">
      <alignment/>
      <protection hidden="1"/>
    </xf>
    <xf numFmtId="0" fontId="5" fillId="0" borderId="0" xfId="0" applyNumberFormat="1" applyFont="1" applyBorder="1" applyAlignment="1" applyProtection="1">
      <alignment horizontal="left" vertical="center" wrapText="1"/>
      <protection hidden="1"/>
    </xf>
    <xf numFmtId="0" fontId="5" fillId="0" borderId="68" xfId="0" applyFont="1" applyFill="1" applyBorder="1" applyAlignment="1" applyProtection="1">
      <alignment horizontal="center" vertical="center"/>
      <protection hidden="1"/>
    </xf>
    <xf numFmtId="0" fontId="4" fillId="0" borderId="52" xfId="0" applyFont="1" applyFill="1" applyBorder="1" applyAlignment="1" applyProtection="1">
      <alignment vertical="center"/>
      <protection hidden="1"/>
    </xf>
    <xf numFmtId="171" fontId="5" fillId="0" borderId="52" xfId="39" applyNumberFormat="1" applyFont="1" applyFill="1" applyBorder="1" applyProtection="1">
      <alignment/>
      <protection/>
    </xf>
    <xf numFmtId="177" fontId="5" fillId="0" borderId="52" xfId="36" applyFont="1" applyFill="1" applyBorder="1" applyProtection="1">
      <alignment/>
      <protection hidden="1"/>
    </xf>
    <xf numFmtId="177" fontId="5" fillId="0" borderId="0" xfId="36" applyFont="1" applyFill="1" applyBorder="1" applyProtection="1">
      <alignment/>
      <protection hidden="1"/>
    </xf>
    <xf numFmtId="188" fontId="4" fillId="0" borderId="23" xfId="36" applyNumberFormat="1" applyFont="1" applyFill="1" applyBorder="1" applyProtection="1">
      <alignment/>
      <protection locked="0"/>
    </xf>
    <xf numFmtId="177" fontId="5" fillId="3" borderId="61" xfId="36" applyFont="1" applyFill="1" applyBorder="1" applyProtection="1">
      <alignment/>
      <protection hidden="1"/>
    </xf>
    <xf numFmtId="188" fontId="5" fillId="3" borderId="23" xfId="36" applyNumberFormat="1" applyFont="1" applyFill="1" applyBorder="1" applyProtection="1">
      <alignment/>
      <protection hidden="1"/>
    </xf>
    <xf numFmtId="3" fontId="4" fillId="0" borderId="23" xfId="36" applyNumberFormat="1" applyFont="1" applyFill="1" applyBorder="1" applyAlignment="1" applyProtection="1">
      <alignment/>
      <protection locked="0"/>
    </xf>
    <xf numFmtId="0" fontId="5" fillId="3" borderId="37" xfId="0" applyFont="1" applyFill="1" applyBorder="1" applyAlignment="1" applyProtection="1">
      <alignment horizontal="center" vertical="center"/>
      <protection hidden="1"/>
    </xf>
    <xf numFmtId="0" fontId="5" fillId="3" borderId="22" xfId="0" applyFont="1" applyFill="1" applyBorder="1" applyAlignment="1" applyProtection="1">
      <alignment horizontal="center" vertical="center"/>
      <protection hidden="1"/>
    </xf>
    <xf numFmtId="0" fontId="4" fillId="3" borderId="50" xfId="0" applyFont="1" applyFill="1" applyBorder="1" applyAlignment="1" applyProtection="1">
      <alignment/>
      <protection/>
    </xf>
    <xf numFmtId="0" fontId="4" fillId="3" borderId="33" xfId="0" applyFont="1" applyFill="1" applyBorder="1" applyAlignment="1" applyProtection="1">
      <alignment/>
      <protection/>
    </xf>
    <xf numFmtId="0" fontId="4" fillId="3" borderId="51" xfId="0" applyFont="1" applyFill="1" applyBorder="1" applyAlignment="1" applyProtection="1">
      <alignment/>
      <protection/>
    </xf>
    <xf numFmtId="0" fontId="4" fillId="3" borderId="6" xfId="0" applyFont="1" applyFill="1" applyBorder="1" applyAlignment="1" applyProtection="1">
      <alignment/>
      <protection/>
    </xf>
    <xf numFmtId="0" fontId="4" fillId="3" borderId="37" xfId="0" applyFont="1" applyFill="1" applyBorder="1" applyAlignment="1" applyProtection="1">
      <alignment/>
      <protection hidden="1"/>
    </xf>
    <xf numFmtId="0" fontId="5" fillId="3" borderId="51" xfId="0" applyFont="1" applyFill="1" applyBorder="1" applyAlignment="1" applyProtection="1">
      <alignment vertical="center"/>
      <protection hidden="1"/>
    </xf>
    <xf numFmtId="37" fontId="5" fillId="3" borderId="6" xfId="0" applyNumberFormat="1" applyFont="1" applyFill="1" applyBorder="1" applyAlignment="1" applyProtection="1">
      <alignment horizontal="center" vertical="center" wrapText="1"/>
      <protection hidden="1"/>
    </xf>
    <xf numFmtId="0" fontId="4" fillId="3" borderId="22" xfId="0" applyFont="1" applyFill="1" applyBorder="1" applyAlignment="1" applyProtection="1">
      <alignment/>
      <protection hidden="1"/>
    </xf>
    <xf numFmtId="177" fontId="5" fillId="3" borderId="25" xfId="39" applyFont="1" applyFill="1" applyBorder="1" applyProtection="1">
      <alignment/>
      <protection/>
    </xf>
    <xf numFmtId="37" fontId="5" fillId="3" borderId="13" xfId="0" applyNumberFormat="1" applyFont="1" applyFill="1" applyBorder="1" applyAlignment="1" applyProtection="1">
      <alignment horizontal="center" vertical="center" wrapText="1"/>
      <protection hidden="1"/>
    </xf>
    <xf numFmtId="37" fontId="4" fillId="3" borderId="13" xfId="0" applyNumberFormat="1" applyFont="1" applyFill="1" applyBorder="1" applyAlignment="1" applyProtection="1">
      <alignment horizontal="center" vertical="center" wrapText="1"/>
      <protection hidden="1"/>
    </xf>
    <xf numFmtId="37" fontId="3" fillId="3" borderId="37" xfId="0" applyNumberFormat="1" applyFont="1" applyFill="1" applyBorder="1" applyAlignment="1" applyProtection="1">
      <alignment horizontal="right" vertical="center"/>
      <protection hidden="1"/>
    </xf>
    <xf numFmtId="37" fontId="3" fillId="3" borderId="22" xfId="0" applyNumberFormat="1" applyFont="1" applyFill="1" applyBorder="1" applyAlignment="1" applyProtection="1">
      <alignment horizontal="right" vertical="center"/>
      <protection hidden="1"/>
    </xf>
    <xf numFmtId="0" fontId="4" fillId="0" borderId="47" xfId="0" applyFont="1" applyBorder="1" applyAlignment="1" applyProtection="1">
      <alignment/>
      <protection hidden="1"/>
    </xf>
    <xf numFmtId="0" fontId="4" fillId="3" borderId="33" xfId="0" applyFont="1" applyFill="1" applyBorder="1" applyAlignment="1" applyProtection="1">
      <alignment/>
      <protection hidden="1"/>
    </xf>
    <xf numFmtId="0" fontId="4" fillId="0" borderId="38" xfId="32" applyFont="1" applyFill="1" applyBorder="1" applyProtection="1">
      <alignment/>
      <protection hidden="1"/>
    </xf>
    <xf numFmtId="0" fontId="4" fillId="0" borderId="26" xfId="0" applyFont="1" applyBorder="1" applyAlignment="1" applyProtection="1">
      <alignment/>
      <protection hidden="1"/>
    </xf>
    <xf numFmtId="0" fontId="4" fillId="3" borderId="50" xfId="0" applyFont="1" applyFill="1" applyBorder="1" applyAlignment="1" applyProtection="1">
      <alignment/>
      <protection hidden="1"/>
    </xf>
    <xf numFmtId="0" fontId="4" fillId="3" borderId="6" xfId="0" applyFont="1" applyFill="1" applyBorder="1" applyAlignment="1" applyProtection="1">
      <alignment/>
      <protection hidden="1"/>
    </xf>
    <xf numFmtId="37" fontId="4" fillId="0" borderId="47" xfId="0" applyNumberFormat="1" applyFont="1" applyFill="1" applyBorder="1" applyAlignment="1" applyProtection="1">
      <alignment/>
      <protection hidden="1"/>
    </xf>
    <xf numFmtId="0" fontId="5" fillId="3" borderId="16" xfId="0" applyFont="1" applyFill="1" applyBorder="1" applyAlignment="1" applyProtection="1">
      <alignment/>
      <protection hidden="1"/>
    </xf>
    <xf numFmtId="0" fontId="4" fillId="3" borderId="7" xfId="0" applyFont="1" applyFill="1" applyBorder="1" applyAlignment="1" applyProtection="1">
      <alignment/>
      <protection hidden="1"/>
    </xf>
    <xf numFmtId="0" fontId="4" fillId="3" borderId="7" xfId="0" applyFont="1" applyFill="1" applyBorder="1" applyAlignment="1" applyProtection="1">
      <alignment/>
      <protection/>
    </xf>
    <xf numFmtId="0" fontId="4" fillId="0" borderId="17" xfId="0" applyFont="1" applyBorder="1" applyAlignment="1" applyProtection="1">
      <alignment horizontal="left" wrapText="1"/>
      <protection/>
    </xf>
    <xf numFmtId="0" fontId="5" fillId="3" borderId="21" xfId="32" applyFont="1" applyFill="1" applyBorder="1" applyAlignment="1" applyProtection="1">
      <alignment horizontal="left"/>
      <protection/>
    </xf>
    <xf numFmtId="37" fontId="5" fillId="0" borderId="0" xfId="0" applyNumberFormat="1" applyFont="1" applyFill="1" applyBorder="1" applyAlignment="1" applyProtection="1">
      <alignment horizontal="center" vertical="center"/>
      <protection hidden="1"/>
    </xf>
    <xf numFmtId="0" fontId="5" fillId="3" borderId="21" xfId="0" applyFont="1" applyFill="1" applyBorder="1" applyAlignment="1" applyProtection="1">
      <alignment horizontal="center"/>
      <protection hidden="1"/>
    </xf>
    <xf numFmtId="0" fontId="4" fillId="0" borderId="47" xfId="0" applyFont="1" applyFill="1" applyBorder="1" applyAlignment="1" applyProtection="1">
      <alignment/>
      <protection hidden="1"/>
    </xf>
    <xf numFmtId="0" fontId="5" fillId="3" borderId="50" xfId="0" applyFont="1" applyFill="1" applyBorder="1" applyAlignment="1" applyProtection="1">
      <alignment vertical="center"/>
      <protection hidden="1"/>
    </xf>
    <xf numFmtId="37" fontId="5" fillId="3" borderId="7" xfId="0" applyNumberFormat="1" applyFont="1" applyFill="1" applyBorder="1" applyAlignment="1" applyProtection="1">
      <alignment horizontal="left" vertical="center"/>
      <protection hidden="1"/>
    </xf>
    <xf numFmtId="0" fontId="4" fillId="0" borderId="47" xfId="0" applyFont="1" applyBorder="1" applyAlignment="1" applyProtection="1">
      <alignment horizontal="left"/>
      <protection hidden="1"/>
    </xf>
    <xf numFmtId="0" fontId="5" fillId="3" borderId="16" xfId="0" applyFont="1" applyFill="1" applyBorder="1" applyAlignment="1" applyProtection="1">
      <alignment horizontal="left"/>
      <protection hidden="1"/>
    </xf>
    <xf numFmtId="0" fontId="4" fillId="0" borderId="65" xfId="0" applyFont="1" applyFill="1" applyBorder="1" applyAlignment="1" applyProtection="1">
      <alignment/>
      <protection hidden="1"/>
    </xf>
    <xf numFmtId="196" fontId="4" fillId="0" borderId="38" xfId="0" applyNumberFormat="1" applyFont="1" applyBorder="1" applyAlignment="1" applyProtection="1">
      <alignment/>
      <protection hidden="1"/>
    </xf>
    <xf numFmtId="177" fontId="4" fillId="0" borderId="38" xfId="36" applyFont="1" applyFill="1" applyBorder="1" applyProtection="1">
      <alignment/>
      <protection/>
    </xf>
    <xf numFmtId="0" fontId="4" fillId="3" borderId="5" xfId="0" applyFont="1" applyFill="1" applyBorder="1" applyAlignment="1" applyProtection="1">
      <alignment horizontal="left"/>
      <protection/>
    </xf>
    <xf numFmtId="177" fontId="4" fillId="0" borderId="26" xfId="36" applyFont="1" applyFill="1" applyBorder="1" applyProtection="1">
      <alignment/>
      <protection hidden="1"/>
    </xf>
    <xf numFmtId="0" fontId="5" fillId="3" borderId="16" xfId="0" applyFont="1" applyFill="1" applyBorder="1" applyAlignment="1" applyProtection="1" quotePrefix="1">
      <alignment horizontal="left"/>
      <protection hidden="1"/>
    </xf>
    <xf numFmtId="37" fontId="4" fillId="0" borderId="23" xfId="0" applyNumberFormat="1" applyFont="1" applyFill="1" applyBorder="1" applyAlignment="1" applyProtection="1">
      <alignment/>
      <protection hidden="1"/>
    </xf>
    <xf numFmtId="37" fontId="4" fillId="0" borderId="23" xfId="0" applyNumberFormat="1" applyFont="1" applyFill="1" applyBorder="1" applyAlignment="1" applyProtection="1">
      <alignment horizontal="left" wrapText="1"/>
      <protection hidden="1"/>
    </xf>
    <xf numFmtId="0" fontId="14" fillId="0" borderId="47" xfId="0" applyNumberFormat="1" applyFont="1" applyFill="1" applyBorder="1" applyAlignment="1" applyProtection="1">
      <alignment horizontal="right"/>
      <protection hidden="1"/>
    </xf>
    <xf numFmtId="0" fontId="5" fillId="3" borderId="16" xfId="0" applyFont="1" applyFill="1" applyBorder="1" applyAlignment="1" applyProtection="1">
      <alignment horizontal="left" vertical="top" wrapText="1"/>
      <protection hidden="1"/>
    </xf>
    <xf numFmtId="0" fontId="5" fillId="3" borderId="5" xfId="0" applyFont="1" applyFill="1" applyBorder="1" applyAlignment="1" applyProtection="1">
      <alignment horizontal="left" vertical="top" wrapText="1"/>
      <protection hidden="1"/>
    </xf>
    <xf numFmtId="0" fontId="5" fillId="3" borderId="3" xfId="0" applyFont="1" applyFill="1" applyBorder="1" applyAlignment="1" applyProtection="1">
      <alignment horizontal="right" vertical="top" wrapText="1"/>
      <protection hidden="1"/>
    </xf>
    <xf numFmtId="0" fontId="5" fillId="0" borderId="6" xfId="0" applyFont="1" applyFill="1" applyBorder="1" applyAlignment="1" applyProtection="1">
      <alignment horizontal="left" vertical="top"/>
      <protection hidden="1"/>
    </xf>
    <xf numFmtId="0" fontId="5" fillId="0" borderId="6" xfId="0" applyFont="1" applyFill="1" applyBorder="1" applyAlignment="1" applyProtection="1">
      <alignment horizontal="left" vertical="top" wrapText="1"/>
      <protection hidden="1"/>
    </xf>
    <xf numFmtId="37" fontId="5" fillId="3" borderId="3" xfId="0" applyNumberFormat="1" applyFont="1" applyFill="1" applyBorder="1" applyAlignment="1" applyProtection="1">
      <alignment horizontal="center" vertical="center"/>
      <protection hidden="1"/>
    </xf>
    <xf numFmtId="0" fontId="4" fillId="0" borderId="0" xfId="0" applyNumberFormat="1" applyFont="1" applyAlignment="1" applyProtection="1">
      <alignment horizontal="left"/>
      <protection hidden="1"/>
    </xf>
    <xf numFmtId="0" fontId="5" fillId="3" borderId="16" xfId="0" applyFont="1" applyFill="1" applyBorder="1" applyAlignment="1" applyProtection="1">
      <alignment horizontal="center"/>
      <protection/>
    </xf>
    <xf numFmtId="0" fontId="4" fillId="3" borderId="3" xfId="0" applyFont="1" applyFill="1" applyBorder="1" applyAlignment="1" applyProtection="1">
      <alignment/>
      <protection/>
    </xf>
    <xf numFmtId="37" fontId="4" fillId="0" borderId="47" xfId="0" applyNumberFormat="1" applyFont="1" applyFill="1" applyBorder="1" applyAlignment="1" applyProtection="1">
      <alignment/>
      <protection hidden="1"/>
    </xf>
    <xf numFmtId="37" fontId="5" fillId="3" borderId="21" xfId="0" applyNumberFormat="1" applyFont="1" applyFill="1" applyBorder="1" applyAlignment="1" applyProtection="1">
      <alignment vertical="center"/>
      <protection hidden="1"/>
    </xf>
    <xf numFmtId="37" fontId="5" fillId="3" borderId="14" xfId="0" applyNumberFormat="1" applyFont="1" applyFill="1" applyBorder="1" applyAlignment="1" applyProtection="1">
      <alignment/>
      <protection hidden="1"/>
    </xf>
    <xf numFmtId="0" fontId="5" fillId="3" borderId="14" xfId="0" applyFont="1" applyFill="1" applyBorder="1" applyAlignment="1" applyProtection="1">
      <alignment horizontal="center" vertical="center"/>
      <protection hidden="1"/>
    </xf>
    <xf numFmtId="37" fontId="5" fillId="0" borderId="0" xfId="0" applyNumberFormat="1" applyFont="1" applyBorder="1" applyAlignment="1" applyProtection="1">
      <alignment vertical="center"/>
      <protection hidden="1"/>
    </xf>
    <xf numFmtId="37" fontId="5" fillId="3" borderId="2" xfId="0" applyNumberFormat="1" applyFont="1" applyFill="1" applyBorder="1" applyAlignment="1" applyProtection="1">
      <alignment/>
      <protection hidden="1"/>
    </xf>
    <xf numFmtId="0" fontId="4" fillId="0" borderId="26" xfId="0" applyNumberFormat="1" applyFont="1" applyFill="1" applyBorder="1" applyAlignment="1" applyProtection="1">
      <alignment horizontal="left"/>
      <protection hidden="1"/>
    </xf>
    <xf numFmtId="0" fontId="5" fillId="3" borderId="21" xfId="0" applyFont="1" applyFill="1" applyBorder="1" applyAlignment="1" applyProtection="1">
      <alignment horizontal="left" vertical="top" wrapText="1"/>
      <protection hidden="1"/>
    </xf>
    <xf numFmtId="0" fontId="4" fillId="3" borderId="14" xfId="0" applyFont="1" applyFill="1" applyBorder="1" applyAlignment="1" applyProtection="1">
      <alignment/>
      <protection/>
    </xf>
    <xf numFmtId="0" fontId="4" fillId="3" borderId="21" xfId="0" applyFont="1" applyFill="1" applyBorder="1" applyAlignment="1" applyProtection="1">
      <alignment/>
      <protection hidden="1"/>
    </xf>
    <xf numFmtId="191" fontId="5" fillId="3" borderId="6" xfId="0" applyNumberFormat="1" applyFont="1" applyFill="1" applyBorder="1" applyAlignment="1" applyProtection="1">
      <alignment horizontal="center" vertical="center"/>
      <protection hidden="1"/>
    </xf>
    <xf numFmtId="170" fontId="5" fillId="3" borderId="37" xfId="0" applyNumberFormat="1" applyFont="1" applyFill="1" applyBorder="1" applyAlignment="1" applyProtection="1">
      <alignment horizontal="center" vertical="center"/>
      <protection hidden="1"/>
    </xf>
    <xf numFmtId="170" fontId="5" fillId="3" borderId="22" xfId="0" applyNumberFormat="1" applyFont="1" applyFill="1" applyBorder="1" applyAlignment="1" applyProtection="1">
      <alignment horizontal="center" vertical="center"/>
      <protection hidden="1"/>
    </xf>
    <xf numFmtId="170" fontId="5" fillId="3" borderId="21" xfId="0" applyNumberFormat="1" applyFont="1" applyFill="1" applyBorder="1" applyAlignment="1" applyProtection="1">
      <alignment horizontal="center" vertical="center"/>
      <protection hidden="1"/>
    </xf>
    <xf numFmtId="170" fontId="5" fillId="3" borderId="14" xfId="0" applyNumberFormat="1" applyFont="1" applyFill="1" applyBorder="1" applyAlignment="1" applyProtection="1">
      <alignment horizontal="center" vertical="center"/>
      <protection hidden="1"/>
    </xf>
    <xf numFmtId="0" fontId="4" fillId="3" borderId="21" xfId="0" applyFont="1" applyFill="1" applyBorder="1" applyAlignment="1" applyProtection="1">
      <alignment/>
      <protection hidden="1"/>
    </xf>
    <xf numFmtId="0" fontId="4" fillId="3" borderId="14" xfId="0" applyFont="1" applyFill="1" applyBorder="1" applyAlignment="1" applyProtection="1">
      <alignment/>
      <protection hidden="1"/>
    </xf>
    <xf numFmtId="37" fontId="5" fillId="3" borderId="21" xfId="0" applyNumberFormat="1" applyFont="1" applyFill="1" applyBorder="1" applyAlignment="1" applyProtection="1">
      <alignment/>
      <protection hidden="1"/>
    </xf>
    <xf numFmtId="177" fontId="5" fillId="0" borderId="26" xfId="36" applyFont="1" applyFill="1" applyBorder="1" applyAlignment="1" applyProtection="1">
      <alignment horizontal="right"/>
      <protection hidden="1"/>
    </xf>
    <xf numFmtId="177" fontId="5" fillId="0" borderId="47" xfId="36" applyFont="1" applyFill="1" applyBorder="1" applyAlignment="1" applyProtection="1">
      <alignment horizontal="right"/>
      <protection hidden="1"/>
    </xf>
    <xf numFmtId="37" fontId="5" fillId="3" borderId="16" xfId="0" applyNumberFormat="1" applyFont="1" applyFill="1" applyBorder="1" applyAlignment="1" applyProtection="1">
      <alignment/>
      <protection hidden="1"/>
    </xf>
    <xf numFmtId="37" fontId="4" fillId="3" borderId="5" xfId="0" applyNumberFormat="1" applyFont="1" applyFill="1" applyBorder="1" applyAlignment="1" applyProtection="1">
      <alignment/>
      <protection hidden="1"/>
    </xf>
    <xf numFmtId="3" fontId="3" fillId="3" borderId="21" xfId="0" applyNumberFormat="1" applyFont="1" applyFill="1" applyBorder="1" applyAlignment="1" applyProtection="1">
      <alignment horizontal="center" vertical="center"/>
      <protection hidden="1"/>
    </xf>
    <xf numFmtId="0" fontId="3" fillId="3" borderId="21" xfId="0" applyFont="1" applyFill="1" applyBorder="1" applyAlignment="1" applyProtection="1">
      <alignment horizontal="center" vertical="center"/>
      <protection hidden="1"/>
    </xf>
    <xf numFmtId="0" fontId="3" fillId="3" borderId="14" xfId="0" applyFont="1" applyFill="1" applyBorder="1" applyAlignment="1" applyProtection="1">
      <alignment horizontal="center" vertical="center"/>
      <protection hidden="1"/>
    </xf>
    <xf numFmtId="177" fontId="2" fillId="0" borderId="26" xfId="36" applyFont="1" applyFill="1" applyBorder="1" applyAlignment="1" applyProtection="1">
      <alignment horizontal="right"/>
      <protection/>
    </xf>
    <xf numFmtId="177" fontId="2" fillId="0" borderId="47" xfId="36" applyFont="1" applyFill="1" applyBorder="1" applyAlignment="1" applyProtection="1">
      <alignment horizontal="right"/>
      <protection/>
    </xf>
    <xf numFmtId="0" fontId="5" fillId="3" borderId="50" xfId="0" applyFont="1" applyFill="1" applyBorder="1" applyAlignment="1" applyProtection="1">
      <alignment horizontal="left" vertical="center"/>
      <protection hidden="1"/>
    </xf>
    <xf numFmtId="0" fontId="4" fillId="3" borderId="33" xfId="0" applyFont="1" applyFill="1" applyBorder="1" applyAlignment="1" applyProtection="1">
      <alignment horizontal="left"/>
      <protection hidden="1"/>
    </xf>
    <xf numFmtId="0" fontId="4" fillId="3" borderId="33" xfId="0" applyFont="1" applyFill="1" applyBorder="1" applyAlignment="1" applyProtection="1">
      <alignment/>
      <protection hidden="1"/>
    </xf>
    <xf numFmtId="177" fontId="4" fillId="3" borderId="33" xfId="0" applyNumberFormat="1" applyFont="1" applyFill="1" applyBorder="1" applyAlignment="1" applyProtection="1">
      <alignment/>
      <protection hidden="1"/>
    </xf>
    <xf numFmtId="3" fontId="4" fillId="3" borderId="33" xfId="0" applyNumberFormat="1" applyFont="1" applyFill="1" applyBorder="1" applyAlignment="1" applyProtection="1">
      <alignment horizontal="center"/>
      <protection hidden="1"/>
    </xf>
    <xf numFmtId="3" fontId="4" fillId="3" borderId="37" xfId="0" applyNumberFormat="1" applyFont="1" applyFill="1" applyBorder="1" applyAlignment="1" applyProtection="1">
      <alignment horizontal="center"/>
      <protection hidden="1"/>
    </xf>
    <xf numFmtId="0" fontId="2" fillId="3" borderId="51" xfId="0" applyFont="1" applyFill="1" applyBorder="1" applyAlignment="1" applyProtection="1">
      <alignment/>
      <protection/>
    </xf>
    <xf numFmtId="0" fontId="3" fillId="3" borderId="6" xfId="0" applyFont="1" applyFill="1" applyBorder="1" applyAlignment="1" applyProtection="1">
      <alignment/>
      <protection hidden="1"/>
    </xf>
    <xf numFmtId="3" fontId="3" fillId="3" borderId="6" xfId="0" applyNumberFormat="1" applyFont="1" applyFill="1" applyBorder="1" applyAlignment="1" applyProtection="1">
      <alignment/>
      <protection hidden="1"/>
    </xf>
    <xf numFmtId="0" fontId="2" fillId="3" borderId="6" xfId="0" applyFont="1" applyFill="1" applyBorder="1" applyAlignment="1" applyProtection="1">
      <alignment/>
      <protection hidden="1"/>
    </xf>
    <xf numFmtId="0" fontId="2" fillId="3" borderId="6" xfId="0" applyFont="1" applyFill="1" applyBorder="1" applyAlignment="1" applyProtection="1">
      <alignment horizontal="center"/>
      <protection hidden="1"/>
    </xf>
    <xf numFmtId="0" fontId="2" fillId="3" borderId="22" xfId="0" applyFont="1" applyFill="1" applyBorder="1" applyAlignment="1" applyProtection="1">
      <alignment horizontal="center"/>
      <protection hidden="1"/>
    </xf>
    <xf numFmtId="171" fontId="2" fillId="0" borderId="47" xfId="36" applyNumberFormat="1" applyFont="1" applyFill="1" applyBorder="1" applyAlignment="1" applyProtection="1">
      <alignment horizontal="right"/>
      <protection/>
    </xf>
    <xf numFmtId="0" fontId="2" fillId="3" borderId="14" xfId="0" applyFont="1" applyFill="1" applyBorder="1" applyAlignment="1" applyProtection="1">
      <alignment horizontal="center"/>
      <protection hidden="1"/>
    </xf>
    <xf numFmtId="0" fontId="4" fillId="0" borderId="47" xfId="0" applyFont="1" applyFill="1" applyBorder="1" applyAlignment="1" applyProtection="1">
      <alignment horizontal="left"/>
      <protection hidden="1"/>
    </xf>
    <xf numFmtId="3" fontId="4" fillId="0" borderId="26" xfId="0" applyNumberFormat="1" applyFont="1" applyFill="1" applyBorder="1" applyAlignment="1" applyProtection="1" quotePrefix="1">
      <alignment horizontal="left"/>
      <protection hidden="1"/>
    </xf>
    <xf numFmtId="0" fontId="4" fillId="0" borderId="26" xfId="0" applyFont="1" applyFill="1" applyBorder="1" applyAlignment="1" applyProtection="1">
      <alignment/>
      <protection/>
    </xf>
    <xf numFmtId="0" fontId="4" fillId="0" borderId="47" xfId="0" applyFont="1" applyFill="1" applyBorder="1" applyAlignment="1" applyProtection="1">
      <alignment/>
      <protection/>
    </xf>
    <xf numFmtId="0" fontId="4" fillId="3" borderId="16" xfId="0" applyFont="1" applyFill="1" applyBorder="1" applyAlignment="1" applyProtection="1">
      <alignment/>
      <protection/>
    </xf>
    <xf numFmtId="37" fontId="4" fillId="3" borderId="5" xfId="0" applyNumberFormat="1" applyFont="1" applyFill="1" applyBorder="1" applyAlignment="1" applyProtection="1">
      <alignment/>
      <protection/>
    </xf>
    <xf numFmtId="0" fontId="4" fillId="3" borderId="7" xfId="0" applyFont="1" applyFill="1" applyBorder="1" applyAlignment="1" applyProtection="1">
      <alignment/>
      <protection/>
    </xf>
    <xf numFmtId="0" fontId="4" fillId="3" borderId="21" xfId="0" applyFont="1" applyFill="1" applyBorder="1" applyAlignment="1" applyProtection="1">
      <alignment/>
      <protection/>
    </xf>
    <xf numFmtId="0" fontId="5" fillId="3" borderId="21" xfId="0" applyNumberFormat="1" applyFont="1" applyFill="1" applyBorder="1" applyAlignment="1" applyProtection="1">
      <alignment horizontal="center" vertical="center"/>
      <protection hidden="1"/>
    </xf>
    <xf numFmtId="0" fontId="5" fillId="3" borderId="14" xfId="0" applyNumberFormat="1" applyFont="1" applyFill="1" applyBorder="1" applyAlignment="1" applyProtection="1">
      <alignment horizontal="center" vertical="center"/>
      <protection hidden="1"/>
    </xf>
    <xf numFmtId="0" fontId="4" fillId="0" borderId="49" xfId="0" applyFont="1" applyFill="1" applyBorder="1" applyAlignment="1" applyProtection="1">
      <alignment/>
      <protection hidden="1"/>
    </xf>
    <xf numFmtId="183" fontId="4" fillId="0" borderId="13" xfId="38" applyFont="1" applyFill="1" applyBorder="1" applyAlignment="1" applyProtection="1">
      <alignment horizontal="right"/>
      <protection/>
    </xf>
    <xf numFmtId="190" fontId="4" fillId="0" borderId="13" xfId="0" applyNumberFormat="1" applyFont="1" applyFill="1" applyBorder="1" applyAlignment="1" applyProtection="1">
      <alignment horizontal="left"/>
      <protection hidden="1"/>
    </xf>
    <xf numFmtId="183" fontId="4" fillId="0" borderId="17" xfId="38" applyFont="1" applyFill="1" applyBorder="1" applyAlignment="1" applyProtection="1">
      <alignment horizontal="right"/>
      <protection/>
    </xf>
    <xf numFmtId="183" fontId="4" fillId="3" borderId="13" xfId="38" applyFont="1" applyFill="1" applyBorder="1" applyAlignment="1" applyProtection="1">
      <alignment horizontal="right"/>
      <protection/>
    </xf>
    <xf numFmtId="0" fontId="4" fillId="3" borderId="13" xfId="0" applyNumberFormat="1" applyFont="1" applyFill="1" applyBorder="1" applyAlignment="1" applyProtection="1">
      <alignment horizontal="left"/>
      <protection hidden="1"/>
    </xf>
    <xf numFmtId="183" fontId="4" fillId="3" borderId="17" xfId="38" applyFont="1" applyFill="1" applyBorder="1" applyAlignment="1" applyProtection="1">
      <alignment horizontal="right"/>
      <protection/>
    </xf>
    <xf numFmtId="177" fontId="4" fillId="0" borderId="32" xfId="39" applyFont="1" applyFill="1" applyBorder="1" applyProtection="1">
      <alignment/>
      <protection/>
    </xf>
    <xf numFmtId="0" fontId="4" fillId="0" borderId="32" xfId="0" applyNumberFormat="1" applyFont="1" applyFill="1" applyBorder="1" applyAlignment="1" applyProtection="1">
      <alignment horizontal="left"/>
      <protection/>
    </xf>
    <xf numFmtId="177" fontId="4" fillId="0" borderId="12" xfId="39" applyFont="1" applyFill="1" applyBorder="1" applyProtection="1">
      <alignment/>
      <protection/>
    </xf>
    <xf numFmtId="0" fontId="4" fillId="0" borderId="32" xfId="0" applyFont="1" applyBorder="1" applyAlignment="1" applyProtection="1">
      <alignment/>
      <protection/>
    </xf>
    <xf numFmtId="177" fontId="5" fillId="3" borderId="13" xfId="39" applyFont="1" applyFill="1" applyBorder="1" applyProtection="1">
      <alignment/>
      <protection/>
    </xf>
    <xf numFmtId="37" fontId="5" fillId="3" borderId="49" xfId="0" applyNumberFormat="1" applyFont="1" applyFill="1" applyBorder="1" applyAlignment="1" applyProtection="1">
      <alignment/>
      <protection hidden="1"/>
    </xf>
    <xf numFmtId="37" fontId="5" fillId="3" borderId="32" xfId="0" applyNumberFormat="1" applyFont="1" applyFill="1" applyBorder="1" applyAlignment="1" applyProtection="1">
      <alignment/>
      <protection hidden="1"/>
    </xf>
    <xf numFmtId="0" fontId="5" fillId="3" borderId="32" xfId="0" applyFont="1" applyFill="1" applyBorder="1" applyAlignment="1" applyProtection="1">
      <alignment/>
      <protection hidden="1"/>
    </xf>
    <xf numFmtId="0" fontId="5" fillId="3" borderId="12" xfId="0" applyFont="1" applyFill="1" applyBorder="1" applyAlignment="1" applyProtection="1">
      <alignment/>
      <protection hidden="1"/>
    </xf>
    <xf numFmtId="0" fontId="0" fillId="3" borderId="26" xfId="0" applyFill="1" applyBorder="1" applyAlignment="1">
      <alignment/>
    </xf>
    <xf numFmtId="0" fontId="0" fillId="3" borderId="47" xfId="0" applyFill="1" applyBorder="1" applyAlignment="1">
      <alignment/>
    </xf>
    <xf numFmtId="177" fontId="5" fillId="0" borderId="0" xfId="39" applyFont="1" applyFill="1" applyBorder="1" applyProtection="1">
      <alignment/>
      <protection/>
    </xf>
    <xf numFmtId="177" fontId="4" fillId="0" borderId="69" xfId="36" applyFont="1" applyFill="1" applyBorder="1" applyProtection="1">
      <alignment/>
      <protection locked="0"/>
    </xf>
    <xf numFmtId="177" fontId="4" fillId="0" borderId="48" xfId="36" applyFont="1" applyFill="1" applyBorder="1" applyProtection="1">
      <alignment/>
      <protection locked="0"/>
    </xf>
    <xf numFmtId="177" fontId="4" fillId="0" borderId="39" xfId="36" applyFont="1" applyFill="1" applyBorder="1" applyProtection="1">
      <alignment/>
      <protection locked="0"/>
    </xf>
    <xf numFmtId="177" fontId="4" fillId="0" borderId="25" xfId="36" applyFont="1" applyFill="1" applyBorder="1" applyProtection="1">
      <alignment/>
      <protection locked="0"/>
    </xf>
    <xf numFmtId="0" fontId="0" fillId="3" borderId="38" xfId="0" applyFill="1" applyBorder="1" applyAlignment="1">
      <alignment vertical="top"/>
    </xf>
    <xf numFmtId="0" fontId="4" fillId="0" borderId="33" xfId="0" applyFont="1" applyBorder="1" applyAlignment="1" applyProtection="1">
      <alignment/>
      <protection/>
    </xf>
    <xf numFmtId="4" fontId="4" fillId="0" borderId="23" xfId="36" applyNumberFormat="1" applyFont="1" applyFill="1" applyBorder="1" applyProtection="1">
      <alignment/>
      <protection locked="0"/>
    </xf>
    <xf numFmtId="0" fontId="4" fillId="0" borderId="23" xfId="0" applyFont="1" applyBorder="1" applyAlignment="1" applyProtection="1">
      <alignment/>
      <protection/>
    </xf>
    <xf numFmtId="0" fontId="5" fillId="0" borderId="32" xfId="0" applyNumberFormat="1" applyFont="1" applyBorder="1" applyAlignment="1" applyProtection="1">
      <alignment/>
      <protection hidden="1"/>
    </xf>
    <xf numFmtId="0" fontId="5" fillId="0" borderId="64" xfId="0" applyNumberFormat="1" applyFont="1" applyBorder="1" applyAlignment="1" applyProtection="1">
      <alignment/>
      <protection/>
    </xf>
    <xf numFmtId="37" fontId="4" fillId="0" borderId="17" xfId="0" applyNumberFormat="1" applyFont="1" applyFill="1" applyBorder="1" applyAlignment="1" applyProtection="1" quotePrefix="1">
      <alignment horizontal="center"/>
      <protection hidden="1"/>
    </xf>
    <xf numFmtId="0" fontId="4" fillId="0" borderId="18" xfId="0" applyFont="1" applyBorder="1" applyAlignment="1" applyProtection="1">
      <alignment/>
      <protection/>
    </xf>
    <xf numFmtId="37" fontId="5" fillId="3" borderId="65" xfId="0" applyNumberFormat="1" applyFont="1" applyFill="1" applyBorder="1" applyAlignment="1" applyProtection="1">
      <alignment/>
      <protection hidden="1"/>
    </xf>
    <xf numFmtId="0" fontId="0" fillId="0" borderId="0" xfId="0" applyFill="1" applyBorder="1" applyAlignment="1">
      <alignment/>
    </xf>
    <xf numFmtId="37" fontId="5" fillId="0" borderId="26" xfId="0" applyNumberFormat="1" applyFont="1" applyFill="1" applyBorder="1" applyAlignment="1" applyProtection="1">
      <alignment vertical="center"/>
      <protection hidden="1"/>
    </xf>
    <xf numFmtId="37" fontId="4" fillId="0" borderId="0" xfId="0" applyNumberFormat="1" applyFont="1" applyAlignment="1" applyProtection="1">
      <alignment horizontal="left" vertical="center" wrapText="1"/>
      <protection hidden="1"/>
    </xf>
    <xf numFmtId="37" fontId="4" fillId="0" borderId="0" xfId="0" applyNumberFormat="1" applyFont="1" applyAlignment="1" applyProtection="1">
      <alignment horizontal="justify"/>
      <protection hidden="1"/>
    </xf>
    <xf numFmtId="0" fontId="4" fillId="0" borderId="0" xfId="0" applyNumberFormat="1" applyFont="1" applyAlignment="1" applyProtection="1">
      <alignment wrapText="1"/>
      <protection hidden="1"/>
    </xf>
    <xf numFmtId="177" fontId="1" fillId="0" borderId="23" xfId="39" applyFont="1" applyFill="1" applyBorder="1" applyAlignment="1" applyProtection="1">
      <alignment horizontal="right"/>
      <protection locked="0"/>
    </xf>
    <xf numFmtId="37" fontId="5" fillId="3" borderId="34" xfId="0" applyNumberFormat="1" applyFont="1" applyFill="1" applyBorder="1" applyAlignment="1" applyProtection="1">
      <alignment horizontal="center" vertical="center"/>
      <protection hidden="1"/>
    </xf>
    <xf numFmtId="198" fontId="4" fillId="0" borderId="23" xfId="0" applyNumberFormat="1" applyFont="1" applyBorder="1" applyAlignment="1">
      <alignment horizontal="center"/>
    </xf>
    <xf numFmtId="0" fontId="4" fillId="0" borderId="0" xfId="0" applyNumberFormat="1" applyFont="1" applyAlignment="1" applyProtection="1">
      <alignment horizontal="justify" vertical="top" wrapText="1"/>
      <protection hidden="1"/>
    </xf>
    <xf numFmtId="0" fontId="5" fillId="0" borderId="34" xfId="0" applyNumberFormat="1" applyFont="1" applyBorder="1" applyAlignment="1" applyProtection="1">
      <alignment/>
      <protection/>
    </xf>
    <xf numFmtId="0" fontId="5" fillId="3" borderId="2" xfId="0" applyFont="1" applyFill="1" applyBorder="1" applyAlignment="1" applyProtection="1">
      <alignment horizontal="center" vertical="center"/>
      <protection hidden="1"/>
    </xf>
    <xf numFmtId="191" fontId="5" fillId="3" borderId="2" xfId="0" applyNumberFormat="1" applyFont="1" applyFill="1" applyBorder="1" applyAlignment="1" applyProtection="1">
      <alignment horizontal="center" vertical="center"/>
      <protection hidden="1"/>
    </xf>
    <xf numFmtId="191" fontId="5" fillId="3" borderId="34" xfId="0" applyNumberFormat="1" applyFont="1" applyFill="1" applyBorder="1" applyAlignment="1" applyProtection="1">
      <alignment horizontal="center" vertical="center"/>
      <protection hidden="1"/>
    </xf>
    <xf numFmtId="172" fontId="4" fillId="0" borderId="38" xfId="0" applyNumberFormat="1" applyFont="1" applyFill="1" applyBorder="1" applyAlignment="1" applyProtection="1">
      <alignment horizontal="right"/>
      <protection locked="0"/>
    </xf>
    <xf numFmtId="191" fontId="5" fillId="3" borderId="21" xfId="0" applyNumberFormat="1" applyFont="1" applyFill="1" applyBorder="1" applyAlignment="1" applyProtection="1">
      <alignment horizontal="center" vertical="center"/>
      <protection hidden="1"/>
    </xf>
    <xf numFmtId="0" fontId="4" fillId="3" borderId="14" xfId="0" applyFont="1" applyFill="1" applyBorder="1" applyAlignment="1" applyProtection="1">
      <alignment/>
      <protection/>
    </xf>
    <xf numFmtId="0" fontId="0" fillId="0" borderId="6" xfId="0" applyFill="1" applyBorder="1" applyAlignment="1">
      <alignment horizontal="center" vertical="center"/>
    </xf>
    <xf numFmtId="191" fontId="5" fillId="0" borderId="6" xfId="0" applyNumberFormat="1" applyFont="1" applyFill="1" applyBorder="1" applyAlignment="1" applyProtection="1">
      <alignment vertical="center"/>
      <protection hidden="1"/>
    </xf>
    <xf numFmtId="177" fontId="4" fillId="0" borderId="61" xfId="36" applyFont="1" applyBorder="1" applyProtection="1">
      <alignment/>
      <protection/>
    </xf>
    <xf numFmtId="172" fontId="4" fillId="0" borderId="23" xfId="0" applyNumberFormat="1" applyFont="1" applyBorder="1" applyAlignment="1" applyProtection="1">
      <alignment horizontal="center"/>
      <protection hidden="1"/>
    </xf>
    <xf numFmtId="2" fontId="4" fillId="0" borderId="23" xfId="0" applyNumberFormat="1" applyFont="1" applyBorder="1" applyAlignment="1" applyProtection="1">
      <alignment horizontal="center"/>
      <protection hidden="1"/>
    </xf>
    <xf numFmtId="187" fontId="4" fillId="0" borderId="5" xfId="0" applyNumberFormat="1" applyFont="1" applyBorder="1" applyAlignment="1" applyProtection="1">
      <alignment horizontal="right" vertical="center"/>
      <protection hidden="1"/>
    </xf>
    <xf numFmtId="0" fontId="5" fillId="3" borderId="50"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4" fillId="0" borderId="5" xfId="0" applyFont="1" applyBorder="1" applyAlignment="1" applyProtection="1">
      <alignment/>
      <protection/>
    </xf>
    <xf numFmtId="187" fontId="2" fillId="0" borderId="5" xfId="0" applyNumberFormat="1" applyFont="1" applyBorder="1" applyAlignment="1" applyProtection="1">
      <alignment horizontal="right" vertical="center"/>
      <protection hidden="1"/>
    </xf>
    <xf numFmtId="187" fontId="5" fillId="3" borderId="23" xfId="0" applyNumberFormat="1" applyFont="1" applyFill="1" applyBorder="1" applyAlignment="1" applyProtection="1">
      <alignment horizontal="left"/>
      <protection hidden="1"/>
    </xf>
    <xf numFmtId="0" fontId="4" fillId="0" borderId="25" xfId="0" applyFont="1" applyBorder="1" applyAlignment="1" applyProtection="1">
      <alignment/>
      <protection/>
    </xf>
    <xf numFmtId="49" fontId="4" fillId="0" borderId="13" xfId="0" applyNumberFormat="1" applyFont="1" applyBorder="1" applyAlignment="1" applyProtection="1">
      <alignment horizontal="center"/>
      <protection/>
    </xf>
    <xf numFmtId="0" fontId="4" fillId="0" borderId="17" xfId="0" applyFont="1" applyBorder="1" applyAlignment="1" applyProtection="1">
      <alignment/>
      <protection/>
    </xf>
    <xf numFmtId="0" fontId="4" fillId="0" borderId="65" xfId="0" applyFont="1" applyBorder="1" applyAlignment="1" applyProtection="1">
      <alignment/>
      <protection/>
    </xf>
    <xf numFmtId="49" fontId="4" fillId="0" borderId="26" xfId="0" applyNumberFormat="1" applyFont="1" applyBorder="1" applyAlignment="1" applyProtection="1">
      <alignment horizontal="center"/>
      <protection/>
    </xf>
    <xf numFmtId="0" fontId="4" fillId="0" borderId="47" xfId="0" applyFont="1" applyBorder="1" applyAlignment="1" applyProtection="1">
      <alignment/>
      <protection/>
    </xf>
    <xf numFmtId="0" fontId="24" fillId="0" borderId="0" xfId="0" applyFont="1" applyBorder="1" applyAlignment="1" applyProtection="1">
      <alignment/>
      <protection/>
    </xf>
    <xf numFmtId="49" fontId="4" fillId="0" borderId="32" xfId="0" applyNumberFormat="1" applyFont="1" applyBorder="1" applyAlignment="1" applyProtection="1">
      <alignment horizontal="center"/>
      <protection/>
    </xf>
    <xf numFmtId="0" fontId="4" fillId="0" borderId="32" xfId="0" applyFont="1" applyBorder="1" applyAlignment="1" applyProtection="1">
      <alignment/>
      <protection/>
    </xf>
    <xf numFmtId="0" fontId="24" fillId="0" borderId="0" xfId="0" applyFont="1" applyAlignment="1" applyProtection="1">
      <alignment/>
      <protection/>
    </xf>
    <xf numFmtId="0" fontId="5" fillId="3" borderId="16" xfId="0" applyFont="1" applyFill="1" applyBorder="1" applyAlignment="1" applyProtection="1">
      <alignment/>
      <protection/>
    </xf>
    <xf numFmtId="49" fontId="4" fillId="3" borderId="5" xfId="0" applyNumberFormat="1" applyFont="1" applyFill="1" applyBorder="1" applyAlignment="1" applyProtection="1">
      <alignment horizontal="center"/>
      <protection/>
    </xf>
    <xf numFmtId="0" fontId="5" fillId="3" borderId="3" xfId="0" applyFont="1" applyFill="1" applyBorder="1" applyAlignment="1" applyProtection="1" quotePrefix="1">
      <alignment horizontal="center"/>
      <protection/>
    </xf>
    <xf numFmtId="10" fontId="4" fillId="0" borderId="23" xfId="0" applyNumberFormat="1" applyFont="1" applyBorder="1" applyAlignment="1" applyProtection="1">
      <alignment horizontal="center"/>
      <protection/>
    </xf>
    <xf numFmtId="191" fontId="5" fillId="3" borderId="3" xfId="0" applyNumberFormat="1" applyFont="1" applyFill="1" applyBorder="1" applyAlignment="1" applyProtection="1">
      <alignment horizontal="center" vertical="center" wrapText="1"/>
      <protection hidden="1"/>
    </xf>
    <xf numFmtId="0" fontId="24" fillId="0" borderId="0" xfId="0" applyFont="1" applyAlignment="1" applyProtection="1">
      <alignment/>
      <protection hidden="1"/>
    </xf>
    <xf numFmtId="0" fontId="4" fillId="0" borderId="0" xfId="0" applyFont="1" applyAlignment="1">
      <alignment/>
    </xf>
    <xf numFmtId="0" fontId="4" fillId="0" borderId="0" xfId="0" applyFont="1" applyAlignment="1" applyProtection="1">
      <alignment/>
      <protection/>
    </xf>
    <xf numFmtId="0" fontId="24" fillId="0" borderId="0" xfId="0" applyFont="1" applyAlignment="1" applyProtection="1">
      <alignment/>
      <protection/>
    </xf>
    <xf numFmtId="0" fontId="15" fillId="0" borderId="0" xfId="0" applyFont="1" applyAlignment="1" applyProtection="1">
      <alignment horizontal="center"/>
      <protection/>
    </xf>
    <xf numFmtId="37" fontId="5" fillId="3" borderId="37" xfId="0" applyNumberFormat="1" applyFont="1" applyFill="1" applyBorder="1" applyAlignment="1" applyProtection="1">
      <alignment horizontal="center" vertical="center" wrapText="1"/>
      <protection hidden="1"/>
    </xf>
    <xf numFmtId="0" fontId="4" fillId="0" borderId="5" xfId="0" applyNumberFormat="1" applyFont="1" applyBorder="1" applyAlignment="1" applyProtection="1">
      <alignment vertical="center" readingOrder="2"/>
      <protection hidden="1"/>
    </xf>
    <xf numFmtId="0" fontId="4" fillId="0" borderId="61"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37" fontId="4" fillId="0" borderId="25" xfId="0" applyNumberFormat="1" applyFont="1" applyFill="1" applyBorder="1" applyAlignment="1" applyProtection="1">
      <alignment vertical="center"/>
      <protection locked="0"/>
    </xf>
    <xf numFmtId="37" fontId="4" fillId="0" borderId="17" xfId="0" applyNumberFormat="1" applyFont="1" applyFill="1" applyBorder="1" applyAlignment="1" applyProtection="1">
      <alignment vertical="center"/>
      <protection locked="0"/>
    </xf>
    <xf numFmtId="0" fontId="5" fillId="0" borderId="25" xfId="33" applyFont="1" applyFill="1" applyBorder="1" applyAlignment="1" applyProtection="1">
      <alignment vertical="center"/>
      <protection/>
    </xf>
    <xf numFmtId="0" fontId="5" fillId="0" borderId="13" xfId="33" applyFont="1" applyFill="1" applyBorder="1" applyAlignment="1" applyProtection="1">
      <alignment vertical="center"/>
      <protection/>
    </xf>
    <xf numFmtId="0" fontId="5" fillId="0" borderId="23" xfId="33" applyFont="1" applyFill="1" applyBorder="1" applyAlignment="1" applyProtection="1">
      <alignment horizontal="center" vertical="center"/>
      <protection/>
    </xf>
    <xf numFmtId="0" fontId="4" fillId="0" borderId="25" xfId="33" applyFont="1" applyFill="1" applyBorder="1" applyAlignment="1" applyProtection="1">
      <alignment vertical="center"/>
      <protection/>
    </xf>
    <xf numFmtId="0" fontId="4" fillId="0" borderId="17" xfId="33" applyFont="1" applyFill="1" applyBorder="1" applyAlignment="1" applyProtection="1">
      <alignment vertical="center"/>
      <protection/>
    </xf>
    <xf numFmtId="0" fontId="28" fillId="0" borderId="0" xfId="33" applyFont="1" applyFill="1" applyBorder="1" applyAlignment="1" applyProtection="1">
      <alignment vertical="center"/>
      <protection/>
    </xf>
    <xf numFmtId="0" fontId="22" fillId="0" borderId="0" xfId="18" applyFont="1" applyBorder="1" applyAlignment="1" applyProtection="1">
      <alignment/>
      <protection/>
    </xf>
    <xf numFmtId="0" fontId="4" fillId="0" borderId="25" xfId="33" applyFont="1" applyFill="1" applyBorder="1" applyAlignment="1" applyProtection="1">
      <alignment horizontal="center" vertical="center"/>
      <protection/>
    </xf>
    <xf numFmtId="0" fontId="5" fillId="0" borderId="24" xfId="33" applyFont="1" applyFill="1" applyBorder="1" applyAlignment="1" applyProtection="1">
      <alignment horizontal="center" vertical="center"/>
      <protection/>
    </xf>
    <xf numFmtId="0" fontId="4" fillId="0" borderId="17" xfId="0" applyFont="1" applyBorder="1" applyAlignment="1" applyProtection="1">
      <alignment vertical="center"/>
      <protection hidden="1"/>
    </xf>
    <xf numFmtId="0" fontId="4" fillId="0" borderId="17" xfId="0" applyFont="1" applyBorder="1" applyAlignment="1" applyProtection="1">
      <alignment vertical="center"/>
      <protection/>
    </xf>
    <xf numFmtId="37" fontId="4" fillId="0" borderId="49" xfId="0" applyNumberFormat="1" applyFont="1" applyFill="1" applyBorder="1" applyAlignment="1" applyProtection="1">
      <alignment vertical="center"/>
      <protection locked="0"/>
    </xf>
    <xf numFmtId="37" fontId="4" fillId="0" borderId="32" xfId="0" applyNumberFormat="1" applyFont="1" applyFill="1" applyBorder="1" applyAlignment="1" applyProtection="1">
      <alignment vertical="center"/>
      <protection locked="0"/>
    </xf>
    <xf numFmtId="37" fontId="4" fillId="0" borderId="12" xfId="0" applyNumberFormat="1" applyFont="1" applyFill="1" applyBorder="1" applyAlignment="1" applyProtection="1">
      <alignment vertical="center"/>
      <protection locked="0"/>
    </xf>
    <xf numFmtId="37" fontId="4" fillId="0" borderId="52" xfId="0" applyNumberFormat="1" applyFont="1" applyFill="1" applyBorder="1" applyAlignment="1" applyProtection="1">
      <alignment vertical="center"/>
      <protection locked="0"/>
    </xf>
    <xf numFmtId="37" fontId="4" fillId="0" borderId="0" xfId="0" applyNumberFormat="1" applyFont="1" applyFill="1" applyBorder="1" applyAlignment="1" applyProtection="1">
      <alignment vertical="center"/>
      <protection locked="0"/>
    </xf>
    <xf numFmtId="37" fontId="4" fillId="0" borderId="31" xfId="0" applyNumberFormat="1" applyFont="1" applyFill="1" applyBorder="1" applyAlignment="1" applyProtection="1">
      <alignment vertical="center"/>
      <protection locked="0"/>
    </xf>
    <xf numFmtId="37" fontId="4" fillId="0" borderId="65" xfId="0" applyNumberFormat="1" applyFont="1" applyFill="1" applyBorder="1" applyAlignment="1" applyProtection="1">
      <alignment vertical="center"/>
      <protection locked="0"/>
    </xf>
    <xf numFmtId="37" fontId="4" fillId="0" borderId="26" xfId="0" applyNumberFormat="1" applyFont="1" applyFill="1" applyBorder="1" applyAlignment="1" applyProtection="1">
      <alignment vertical="center"/>
      <protection locked="0"/>
    </xf>
    <xf numFmtId="37" fontId="4" fillId="0" borderId="47" xfId="0" applyNumberFormat="1" applyFont="1" applyFill="1" applyBorder="1" applyAlignment="1" applyProtection="1">
      <alignment horizontal="right" vertical="center"/>
      <protection locked="0"/>
    </xf>
    <xf numFmtId="0" fontId="5" fillId="0" borderId="13"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30" fillId="0" borderId="0" xfId="0" applyFont="1" applyAlignment="1" applyProtection="1">
      <alignment/>
      <protection hidden="1"/>
    </xf>
    <xf numFmtId="14" fontId="4" fillId="0" borderId="0" xfId="0" applyNumberFormat="1" applyFont="1" applyAlignment="1" applyProtection="1">
      <alignment vertical="center"/>
      <protection/>
    </xf>
    <xf numFmtId="37" fontId="4" fillId="0" borderId="23" xfId="0" applyNumberFormat="1" applyFont="1" applyFill="1" applyBorder="1" applyAlignment="1" applyProtection="1">
      <alignment horizontal="center" vertical="center"/>
      <protection locked="0"/>
    </xf>
    <xf numFmtId="37" fontId="4" fillId="0" borderId="17" xfId="0" applyNumberFormat="1" applyFont="1" applyFill="1" applyBorder="1" applyAlignment="1" applyProtection="1">
      <alignment horizontal="center" vertical="center"/>
      <protection locked="0"/>
    </xf>
    <xf numFmtId="187" fontId="2" fillId="0" borderId="5" xfId="0" applyNumberFormat="1" applyFont="1" applyBorder="1" applyAlignment="1" applyProtection="1">
      <alignment horizontal="right" vertical="center"/>
      <protection/>
    </xf>
    <xf numFmtId="0" fontId="3" fillId="0" borderId="5" xfId="35" applyNumberFormat="1" applyFont="1" applyBorder="1" applyAlignment="1" applyProtection="1">
      <alignment vertical="center"/>
      <protection hidden="1"/>
    </xf>
    <xf numFmtId="0" fontId="13" fillId="0" borderId="5" xfId="35" applyNumberFormat="1" applyFont="1" applyBorder="1" applyAlignment="1" applyProtection="1">
      <alignment vertical="center"/>
      <protection hidden="1"/>
    </xf>
    <xf numFmtId="187" fontId="2" fillId="0" borderId="5" xfId="35" applyNumberFormat="1" applyFont="1" applyBorder="1" applyAlignment="1" applyProtection="1">
      <alignment horizontal="right" vertical="center"/>
      <protection hidden="1"/>
    </xf>
    <xf numFmtId="0" fontId="6" fillId="0" borderId="5" xfId="35" applyFont="1" applyBorder="1" applyAlignment="1" applyProtection="1">
      <alignment horizontal="left" vertical="center"/>
      <protection hidden="1"/>
    </xf>
    <xf numFmtId="0" fontId="0" fillId="0" borderId="0" xfId="0" applyAlignment="1">
      <alignment vertical="center" wrapText="1"/>
    </xf>
    <xf numFmtId="177" fontId="5" fillId="3" borderId="14" xfId="39" applyFont="1" applyFill="1" applyBorder="1" applyAlignment="1" applyProtection="1">
      <alignment horizontal="center" vertical="center"/>
      <protection/>
    </xf>
    <xf numFmtId="3" fontId="4" fillId="0" borderId="38" xfId="36" applyNumberFormat="1" applyFont="1" applyFill="1" applyBorder="1" applyAlignment="1" applyProtection="1">
      <alignment/>
      <protection locked="0"/>
    </xf>
    <xf numFmtId="0" fontId="5" fillId="3" borderId="3" xfId="0" applyFont="1" applyFill="1" applyBorder="1" applyAlignment="1" applyProtection="1">
      <alignment horizontal="center"/>
      <protection hidden="1"/>
    </xf>
    <xf numFmtId="0" fontId="2" fillId="0" borderId="23"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2" fillId="0" borderId="23" xfId="0" applyFont="1" applyFill="1" applyBorder="1" applyAlignment="1" applyProtection="1">
      <alignment vertical="center"/>
      <protection/>
    </xf>
    <xf numFmtId="0" fontId="5" fillId="3" borderId="14" xfId="0" applyFont="1" applyFill="1" applyBorder="1" applyAlignment="1" applyProtection="1">
      <alignment horizontal="center"/>
      <protection hidden="1"/>
    </xf>
    <xf numFmtId="0" fontId="4" fillId="3" borderId="51" xfId="0" applyFont="1" applyFill="1" applyBorder="1" applyAlignment="1" applyProtection="1">
      <alignment/>
      <protection hidden="1"/>
    </xf>
    <xf numFmtId="0" fontId="5" fillId="3" borderId="51" xfId="0" applyFont="1" applyFill="1" applyBorder="1" applyAlignment="1" applyProtection="1">
      <alignment horizontal="center"/>
      <protection hidden="1"/>
    </xf>
    <xf numFmtId="0" fontId="5" fillId="3" borderId="22" xfId="0" applyFont="1" applyFill="1" applyBorder="1" applyAlignment="1" applyProtection="1">
      <alignment horizontal="center"/>
      <protection hidden="1"/>
    </xf>
    <xf numFmtId="176" fontId="5" fillId="3" borderId="13" xfId="36" applyNumberFormat="1" applyFont="1" applyFill="1" applyBorder="1" applyAlignment="1" applyProtection="1">
      <alignment/>
      <protection/>
    </xf>
    <xf numFmtId="176" fontId="5" fillId="0" borderId="49" xfId="39" applyNumberFormat="1" applyFont="1" applyFill="1" applyBorder="1" applyAlignment="1" applyProtection="1">
      <alignment/>
      <protection/>
    </xf>
    <xf numFmtId="0" fontId="0" fillId="0" borderId="12" xfId="0" applyFill="1" applyBorder="1" applyAlignment="1">
      <alignment/>
    </xf>
    <xf numFmtId="0" fontId="25" fillId="0" borderId="0" xfId="0" applyFont="1" applyAlignment="1" applyProtection="1">
      <alignment horizontal="left"/>
      <protection hidden="1"/>
    </xf>
    <xf numFmtId="176" fontId="5" fillId="3" borderId="23" xfId="36" applyNumberFormat="1" applyFont="1" applyFill="1" applyBorder="1" applyAlignment="1" applyProtection="1">
      <alignment/>
      <protection/>
    </xf>
    <xf numFmtId="0" fontId="4" fillId="3" borderId="7" xfId="0" applyFont="1" applyFill="1" applyBorder="1" applyAlignment="1" applyProtection="1">
      <alignment horizontal="right"/>
      <protection/>
    </xf>
    <xf numFmtId="199" fontId="4" fillId="0" borderId="23" xfId="0" applyNumberFormat="1" applyFont="1" applyFill="1" applyBorder="1" applyAlignment="1" applyProtection="1">
      <alignment vertical="center"/>
      <protection locked="0"/>
    </xf>
    <xf numFmtId="0" fontId="0" fillId="0" borderId="0" xfId="35" applyFill="1" applyBorder="1" applyAlignment="1">
      <alignment horizontal="center"/>
      <protection/>
    </xf>
    <xf numFmtId="0" fontId="1" fillId="0" borderId="0" xfId="0" applyFont="1" applyAlignment="1" applyProtection="1">
      <alignment horizontal="center"/>
      <protection locked="0"/>
    </xf>
    <xf numFmtId="3" fontId="0" fillId="0" borderId="0" xfId="0" applyNumberFormat="1" applyFont="1" applyBorder="1" applyAlignment="1" applyProtection="1">
      <alignment horizontal="center"/>
      <protection locked="0"/>
    </xf>
    <xf numFmtId="0" fontId="3" fillId="0" borderId="0" xfId="0" applyNumberFormat="1" applyFont="1" applyAlignment="1" applyProtection="1">
      <alignment/>
      <protection locked="0"/>
    </xf>
    <xf numFmtId="0" fontId="3" fillId="0" borderId="26" xfId="0" applyFont="1" applyFill="1" applyBorder="1" applyAlignment="1" applyProtection="1">
      <alignment/>
      <protection locked="0"/>
    </xf>
    <xf numFmtId="0" fontId="2" fillId="0" borderId="0" xfId="0" applyFont="1" applyAlignment="1" applyProtection="1">
      <alignment/>
      <protection/>
    </xf>
    <xf numFmtId="0" fontId="2" fillId="0" borderId="0" xfId="0" applyFont="1" applyAlignment="1" applyProtection="1">
      <alignment horizontal="left"/>
      <protection/>
    </xf>
    <xf numFmtId="0" fontId="2" fillId="0" borderId="0" xfId="0" applyFont="1" applyAlignment="1" applyProtection="1">
      <alignment/>
      <protection locked="0"/>
    </xf>
    <xf numFmtId="0" fontId="3" fillId="0" borderId="0" xfId="0" applyFont="1" applyAlignment="1" applyProtection="1">
      <alignment horizontal="center"/>
      <protection locked="0"/>
    </xf>
    <xf numFmtId="0" fontId="2" fillId="0" borderId="25" xfId="0" applyFont="1" applyFill="1" applyBorder="1" applyAlignment="1" applyProtection="1">
      <alignment/>
      <protection/>
    </xf>
    <xf numFmtId="0" fontId="2" fillId="0" borderId="13" xfId="0" applyFont="1" applyFill="1" applyBorder="1" applyAlignment="1" applyProtection="1">
      <alignment/>
      <protection/>
    </xf>
    <xf numFmtId="0" fontId="2" fillId="0" borderId="13" xfId="0" applyFont="1" applyFill="1" applyBorder="1" applyAlignment="1" applyProtection="1">
      <alignment horizontal="left"/>
      <protection/>
    </xf>
    <xf numFmtId="0" fontId="2" fillId="0" borderId="13" xfId="0" applyFont="1" applyFill="1" applyBorder="1" applyAlignment="1" applyProtection="1">
      <alignment/>
      <protection locked="0"/>
    </xf>
    <xf numFmtId="0" fontId="2" fillId="0" borderId="23" xfId="0" applyFont="1" applyFill="1" applyBorder="1" applyAlignment="1" applyProtection="1">
      <alignment/>
      <protection locked="0"/>
    </xf>
    <xf numFmtId="3" fontId="2" fillId="0" borderId="23" xfId="0" applyNumberFormat="1" applyFont="1" applyFill="1" applyBorder="1" applyAlignment="1" applyProtection="1">
      <alignment/>
      <protection/>
    </xf>
    <xf numFmtId="0" fontId="2" fillId="0" borderId="13" xfId="0" applyFont="1" applyFill="1" applyBorder="1" applyAlignment="1" applyProtection="1">
      <alignment horizontal="left"/>
      <protection locked="0"/>
    </xf>
    <xf numFmtId="3" fontId="2" fillId="0" borderId="23" xfId="0" applyNumberFormat="1" applyFont="1" applyFill="1" applyBorder="1" applyAlignment="1" applyProtection="1">
      <alignment/>
      <protection locked="0"/>
    </xf>
    <xf numFmtId="0" fontId="3" fillId="3" borderId="25" xfId="0" applyFont="1" applyFill="1" applyBorder="1" applyAlignment="1" applyProtection="1">
      <alignment/>
      <protection locked="0"/>
    </xf>
    <xf numFmtId="0" fontId="3" fillId="3" borderId="13" xfId="0" applyFont="1" applyFill="1" applyBorder="1" applyAlignment="1" applyProtection="1">
      <alignment/>
      <protection locked="0"/>
    </xf>
    <xf numFmtId="0" fontId="3" fillId="3" borderId="13" xfId="0" applyFont="1" applyFill="1" applyBorder="1" applyAlignment="1" applyProtection="1">
      <alignment horizontal="left"/>
      <protection locked="0"/>
    </xf>
    <xf numFmtId="3" fontId="3" fillId="3" borderId="23" xfId="0" applyNumberFormat="1" applyFont="1" applyFill="1" applyBorder="1" applyAlignment="1" applyProtection="1">
      <alignment/>
      <protection locked="0"/>
    </xf>
    <xf numFmtId="171" fontId="2" fillId="0" borderId="38" xfId="36" applyNumberFormat="1" applyFont="1" applyFill="1" applyBorder="1" applyProtection="1">
      <alignment/>
      <protection/>
    </xf>
    <xf numFmtId="171" fontId="3" fillId="3" borderId="23" xfId="39" applyNumberFormat="1" applyFont="1" applyBorder="1" applyProtection="1">
      <alignment/>
      <protection/>
    </xf>
    <xf numFmtId="0" fontId="31" fillId="0" borderId="0" xfId="0" applyFont="1" applyBorder="1" applyAlignment="1" applyProtection="1">
      <alignment/>
      <protection hidden="1"/>
    </xf>
    <xf numFmtId="0" fontId="4" fillId="0" borderId="0" xfId="0" applyFont="1" applyAlignment="1" applyProtection="1">
      <alignment vertical="top" wrapText="1"/>
      <protection/>
    </xf>
    <xf numFmtId="0" fontId="4" fillId="0" borderId="0" xfId="34" applyFont="1">
      <alignment/>
      <protection/>
    </xf>
    <xf numFmtId="0" fontId="4" fillId="0" borderId="0" xfId="34" applyFont="1" applyAlignment="1">
      <alignment vertical="top"/>
      <protection/>
    </xf>
    <xf numFmtId="0" fontId="4" fillId="0" borderId="0" xfId="34" applyFont="1" applyAlignment="1" applyProtection="1">
      <alignment vertical="top"/>
      <protection/>
    </xf>
    <xf numFmtId="49" fontId="4" fillId="0" borderId="0" xfId="34" applyNumberFormat="1" applyFont="1" applyAlignment="1" applyProtection="1">
      <alignment horizontal="left" vertical="top"/>
      <protection/>
    </xf>
    <xf numFmtId="0" fontId="5" fillId="0" borderId="0" xfId="0" applyFont="1" applyAlignment="1" applyProtection="1">
      <alignment horizontal="left" vertical="top"/>
      <protection/>
    </xf>
    <xf numFmtId="0" fontId="5" fillId="0" borderId="0" xfId="0" applyFont="1" applyAlignment="1" applyProtection="1">
      <alignment vertical="top"/>
      <protection/>
    </xf>
    <xf numFmtId="0" fontId="5" fillId="0" borderId="0" xfId="0" applyFont="1" applyFill="1" applyAlignment="1" applyProtection="1">
      <alignment horizontal="left" vertical="top"/>
      <protection/>
    </xf>
    <xf numFmtId="0" fontId="5" fillId="0" borderId="0" xfId="0" applyFont="1" applyFill="1" applyAlignment="1" applyProtection="1">
      <alignment vertical="top"/>
      <protection/>
    </xf>
    <xf numFmtId="0" fontId="5" fillId="0" borderId="0" xfId="34" applyFont="1" applyAlignment="1">
      <alignment vertical="top"/>
      <protection/>
    </xf>
    <xf numFmtId="0" fontId="4" fillId="0" borderId="0" xfId="0" applyFont="1" applyAlignment="1" applyProtection="1">
      <alignment horizontal="left" vertical="top"/>
      <protection/>
    </xf>
    <xf numFmtId="0" fontId="4" fillId="0" borderId="0" xfId="35" applyFont="1" applyAlignment="1" applyProtection="1">
      <alignment vertical="top" wrapText="1"/>
      <protection/>
    </xf>
    <xf numFmtId="0" fontId="1" fillId="0" borderId="0" xfId="0" applyFont="1" applyAlignment="1" applyProtection="1">
      <alignment vertical="top"/>
      <protection/>
    </xf>
    <xf numFmtId="0" fontId="4" fillId="0" borderId="0" xfId="0" applyFont="1" applyAlignment="1" applyProtection="1">
      <alignment vertical="center" wrapText="1"/>
      <protection/>
    </xf>
    <xf numFmtId="0" fontId="5" fillId="0" borderId="0" xfId="35" applyFont="1" applyAlignment="1" applyProtection="1">
      <alignment horizontal="left" vertical="top"/>
      <protection/>
    </xf>
    <xf numFmtId="0" fontId="5" fillId="0" borderId="0" xfId="35" applyFont="1" applyAlignment="1" applyProtection="1">
      <alignment vertical="top"/>
      <protection/>
    </xf>
    <xf numFmtId="0" fontId="4" fillId="0" borderId="0" xfId="35" applyFont="1" applyAlignment="1" applyProtection="1">
      <alignment vertical="top"/>
      <protection/>
    </xf>
    <xf numFmtId="0" fontId="0" fillId="0" borderId="0" xfId="0" applyFont="1" applyAlignment="1" applyProtection="1">
      <alignment vertical="top" wrapText="1"/>
      <protection/>
    </xf>
    <xf numFmtId="0" fontId="5" fillId="0" borderId="0" xfId="35" applyFont="1" applyBorder="1" applyAlignment="1" applyProtection="1">
      <alignment horizontal="left" vertical="center"/>
      <protection/>
    </xf>
    <xf numFmtId="0" fontId="5" fillId="0" borderId="0" xfId="35" applyFont="1" applyBorder="1" applyAlignment="1" applyProtection="1">
      <alignment vertical="center"/>
      <protection/>
    </xf>
    <xf numFmtId="0" fontId="4" fillId="0" borderId="0" xfId="35" applyFont="1" applyAlignment="1" applyProtection="1">
      <alignment horizontal="left" vertical="top"/>
      <protection/>
    </xf>
    <xf numFmtId="0" fontId="5" fillId="0" borderId="0" xfId="35" applyFont="1" applyFill="1" applyAlignment="1" applyProtection="1">
      <alignment horizontal="left" vertical="top"/>
      <protection/>
    </xf>
    <xf numFmtId="0" fontId="4" fillId="0" borderId="0" xfId="35" applyFont="1" applyAlignment="1" applyProtection="1" quotePrefix="1">
      <alignment horizontal="left" vertical="top"/>
      <protection/>
    </xf>
    <xf numFmtId="0" fontId="4" fillId="0" borderId="0" xfId="35" applyFont="1" applyBorder="1" applyAlignment="1" applyProtection="1">
      <alignment horizontal="left" vertical="top"/>
      <protection/>
    </xf>
    <xf numFmtId="0" fontId="4" fillId="0" borderId="0" xfId="35" applyFont="1" applyBorder="1" applyAlignment="1" applyProtection="1">
      <alignment vertical="top" wrapText="1"/>
      <protection/>
    </xf>
    <xf numFmtId="0" fontId="4" fillId="0" borderId="0" xfId="35" applyFont="1" applyBorder="1" applyAlignment="1" applyProtection="1">
      <alignment vertical="top"/>
      <protection/>
    </xf>
    <xf numFmtId="0" fontId="4" fillId="0" borderId="0" xfId="35" applyFont="1" applyFill="1" applyBorder="1" applyAlignment="1" applyProtection="1">
      <alignment vertical="top"/>
      <protection locked="0"/>
    </xf>
    <xf numFmtId="0" fontId="5" fillId="0" borderId="0" xfId="34" applyFont="1" applyAlignment="1">
      <alignment horizontal="left" vertical="top"/>
      <protection/>
    </xf>
    <xf numFmtId="0" fontId="4" fillId="0" borderId="0" xfId="34" applyFont="1" applyAlignment="1">
      <alignment wrapText="1"/>
      <protection/>
    </xf>
    <xf numFmtId="0" fontId="5" fillId="0" borderId="5" xfId="34" applyFont="1" applyBorder="1" applyAlignment="1">
      <alignment horizontal="left" vertical="top"/>
      <protection/>
    </xf>
    <xf numFmtId="0" fontId="4" fillId="0" borderId="5" xfId="34" applyFont="1" applyBorder="1" applyAlignment="1">
      <alignment wrapText="1"/>
      <protection/>
    </xf>
    <xf numFmtId="0" fontId="4" fillId="0" borderId="5" xfId="34" applyFont="1" applyBorder="1">
      <alignment/>
      <protection/>
    </xf>
    <xf numFmtId="0" fontId="0" fillId="0" borderId="24" xfId="0" applyBorder="1" applyAlignment="1">
      <alignment/>
    </xf>
    <xf numFmtId="0" fontId="0" fillId="0" borderId="38" xfId="0" applyBorder="1" applyAlignment="1">
      <alignment/>
    </xf>
    <xf numFmtId="0" fontId="0" fillId="0" borderId="62" xfId="0" applyBorder="1" applyAlignment="1">
      <alignment/>
    </xf>
    <xf numFmtId="0" fontId="0" fillId="0" borderId="70" xfId="0" applyBorder="1" applyAlignment="1">
      <alignment/>
    </xf>
    <xf numFmtId="0" fontId="0" fillId="0" borderId="31" xfId="0" applyBorder="1" applyAlignment="1">
      <alignment/>
    </xf>
    <xf numFmtId="0" fontId="0" fillId="0" borderId="47" xfId="0" applyBorder="1" applyAlignment="1">
      <alignment/>
    </xf>
    <xf numFmtId="0" fontId="4" fillId="0" borderId="0" xfId="0" applyNumberFormat="1" applyFont="1" applyBorder="1" applyAlignment="1" applyProtection="1">
      <alignment/>
      <protection/>
    </xf>
    <xf numFmtId="0" fontId="0" fillId="0" borderId="0" xfId="0" applyAlignment="1">
      <alignment/>
    </xf>
    <xf numFmtId="177" fontId="4" fillId="0" borderId="23" xfId="36" applyFont="1" applyBorder="1" applyProtection="1">
      <alignment/>
      <protection locked="0"/>
    </xf>
    <xf numFmtId="0" fontId="4" fillId="0" borderId="65" xfId="0" applyFont="1" applyBorder="1" applyAlignment="1" applyProtection="1">
      <alignment/>
      <protection locked="0"/>
    </xf>
    <xf numFmtId="0" fontId="4" fillId="0" borderId="26" xfId="0" applyFont="1" applyBorder="1" applyAlignment="1" applyProtection="1">
      <alignment/>
      <protection locked="0"/>
    </xf>
    <xf numFmtId="0" fontId="4" fillId="0" borderId="48" xfId="0" applyFont="1" applyBorder="1" applyAlignment="1" applyProtection="1">
      <alignment/>
      <protection locked="0"/>
    </xf>
    <xf numFmtId="0" fontId="4" fillId="0" borderId="39" xfId="0" applyFont="1" applyBorder="1" applyAlignment="1" applyProtection="1">
      <alignment/>
      <protection locked="0"/>
    </xf>
    <xf numFmtId="0" fontId="4" fillId="0" borderId="25" xfId="0" applyFont="1" applyBorder="1" applyAlignment="1" applyProtection="1">
      <alignment/>
      <protection locked="0"/>
    </xf>
    <xf numFmtId="0" fontId="4" fillId="0" borderId="13" xfId="0" applyFont="1" applyBorder="1" applyAlignment="1" applyProtection="1">
      <alignment/>
      <protection locked="0"/>
    </xf>
    <xf numFmtId="0" fontId="4" fillId="0" borderId="47" xfId="0" applyFont="1" applyBorder="1" applyAlignment="1" applyProtection="1">
      <alignment/>
      <protection locked="0"/>
    </xf>
    <xf numFmtId="4" fontId="4" fillId="0" borderId="0" xfId="0" applyNumberFormat="1" applyFont="1" applyBorder="1" applyAlignment="1" applyProtection="1">
      <alignment/>
      <protection/>
    </xf>
    <xf numFmtId="0" fontId="32" fillId="8" borderId="0" xfId="0" applyFont="1" applyFill="1" applyBorder="1" applyAlignment="1">
      <alignment vertical="top" wrapText="1"/>
    </xf>
    <xf numFmtId="0" fontId="32" fillId="8" borderId="0" xfId="0" applyFont="1" applyFill="1" applyBorder="1" applyAlignment="1">
      <alignment horizontal="right" vertical="top" wrapText="1"/>
    </xf>
    <xf numFmtId="3" fontId="32" fillId="8" borderId="0" xfId="0" applyNumberFormat="1" applyFont="1" applyFill="1" applyBorder="1" applyAlignment="1">
      <alignment horizontal="right" vertical="top" wrapText="1"/>
    </xf>
    <xf numFmtId="0" fontId="0" fillId="8" borderId="0" xfId="0" applyFill="1" applyBorder="1" applyAlignment="1">
      <alignment/>
    </xf>
    <xf numFmtId="0" fontId="33" fillId="8" borderId="0" xfId="0" applyFont="1" applyFill="1" applyBorder="1" applyAlignment="1">
      <alignment horizontal="right" vertical="top" wrapText="1"/>
    </xf>
    <xf numFmtId="4" fontId="0" fillId="8" borderId="0" xfId="0" applyNumberFormat="1" applyFill="1" applyBorder="1" applyAlignment="1">
      <alignment/>
    </xf>
    <xf numFmtId="0" fontId="32" fillId="8" borderId="0" xfId="0" applyFont="1" applyFill="1" applyBorder="1" applyAlignment="1">
      <alignment horizontal="right" vertical="top"/>
    </xf>
    <xf numFmtId="0" fontId="33" fillId="8" borderId="0" xfId="0" applyFont="1" applyFill="1" applyBorder="1" applyAlignment="1">
      <alignment vertical="top" wrapText="1"/>
    </xf>
    <xf numFmtId="4" fontId="33" fillId="8" borderId="0" xfId="0" applyNumberFormat="1" applyFont="1" applyFill="1" applyBorder="1" applyAlignment="1">
      <alignment horizontal="right" vertical="top" wrapText="1"/>
    </xf>
    <xf numFmtId="0" fontId="34" fillId="8" borderId="0" xfId="0" applyFont="1" applyFill="1" applyBorder="1" applyAlignment="1">
      <alignment horizontal="center" vertical="top" wrapText="1"/>
    </xf>
    <xf numFmtId="4" fontId="34" fillId="8" borderId="0" xfId="0" applyNumberFormat="1" applyFont="1" applyFill="1" applyBorder="1" applyAlignment="1">
      <alignment horizontal="center" vertical="top" wrapText="1"/>
    </xf>
    <xf numFmtId="4" fontId="32" fillId="8" borderId="0" xfId="0" applyNumberFormat="1" applyFont="1" applyFill="1" applyBorder="1" applyAlignment="1">
      <alignment vertical="top" wrapText="1"/>
    </xf>
    <xf numFmtId="0" fontId="0" fillId="8" borderId="0" xfId="0" applyFill="1" applyBorder="1" applyAlignment="1">
      <alignment vertical="top" wrapText="1"/>
    </xf>
    <xf numFmtId="0" fontId="32" fillId="8" borderId="0" xfId="0" applyFont="1" applyFill="1" applyBorder="1" applyAlignment="1">
      <alignment horizontal="center" vertical="top" wrapText="1"/>
    </xf>
    <xf numFmtId="4" fontId="32" fillId="8" borderId="0" xfId="0" applyNumberFormat="1" applyFont="1" applyFill="1" applyBorder="1" applyAlignment="1">
      <alignment horizontal="center" vertical="top" wrapText="1"/>
    </xf>
    <xf numFmtId="0" fontId="0" fillId="8" borderId="0" xfId="0" applyFill="1" applyBorder="1" applyAlignment="1">
      <alignment wrapText="1"/>
    </xf>
    <xf numFmtId="4" fontId="0" fillId="8" borderId="0" xfId="0" applyNumberFormat="1" applyFill="1" applyBorder="1" applyAlignment="1">
      <alignment wrapText="1"/>
    </xf>
    <xf numFmtId="4" fontId="0" fillId="8" borderId="0" xfId="0" applyNumberFormat="1" applyFill="1" applyBorder="1" applyAlignment="1">
      <alignment/>
    </xf>
    <xf numFmtId="4" fontId="0" fillId="8" borderId="0" xfId="0" applyNumberFormat="1" applyFill="1" applyBorder="1" applyAlignment="1">
      <alignment vertical="top" wrapText="1"/>
    </xf>
    <xf numFmtId="0" fontId="0" fillId="8" borderId="0" xfId="0" applyFill="1" applyBorder="1" applyAlignment="1">
      <alignment/>
    </xf>
    <xf numFmtId="4" fontId="0" fillId="0" borderId="0" xfId="0" applyNumberFormat="1" applyAlignment="1">
      <alignment/>
    </xf>
    <xf numFmtId="0" fontId="0" fillId="0" borderId="0" xfId="0" applyFont="1" applyAlignment="1">
      <alignment/>
    </xf>
    <xf numFmtId="0" fontId="1" fillId="0" borderId="0" xfId="0" applyFont="1" applyAlignment="1">
      <alignment/>
    </xf>
    <xf numFmtId="4" fontId="1" fillId="0" borderId="0" xfId="0" applyNumberFormat="1" applyFont="1" applyAlignment="1">
      <alignment/>
    </xf>
    <xf numFmtId="0" fontId="1" fillId="0" borderId="0" xfId="0" applyFont="1" applyAlignment="1">
      <alignment/>
    </xf>
    <xf numFmtId="4" fontId="0" fillId="0" borderId="0" xfId="0" applyNumberFormat="1" applyFont="1" applyAlignment="1">
      <alignment/>
    </xf>
    <xf numFmtId="4" fontId="0" fillId="2" borderId="71" xfId="0" applyNumberFormat="1" applyFont="1" applyFill="1" applyBorder="1" applyAlignment="1">
      <alignment/>
    </xf>
    <xf numFmtId="4" fontId="0" fillId="2" borderId="72" xfId="0" applyNumberFormat="1" applyFont="1" applyFill="1" applyBorder="1" applyAlignment="1">
      <alignment/>
    </xf>
    <xf numFmtId="4" fontId="0" fillId="2" borderId="73" xfId="0" applyNumberFormat="1" applyFont="1" applyFill="1" applyBorder="1" applyAlignment="1">
      <alignment/>
    </xf>
    <xf numFmtId="4" fontId="0" fillId="0" borderId="0" xfId="0" applyNumberFormat="1" applyFont="1" applyFill="1" applyBorder="1" applyAlignment="1">
      <alignment/>
    </xf>
    <xf numFmtId="0" fontId="5" fillId="0" borderId="13" xfId="0" applyFont="1" applyFill="1" applyBorder="1" applyAlignment="1" applyProtection="1">
      <alignment/>
      <protection hidden="1"/>
    </xf>
    <xf numFmtId="4" fontId="0" fillId="2" borderId="74" xfId="0" applyNumberFormat="1" applyFont="1" applyFill="1" applyBorder="1" applyAlignment="1">
      <alignment/>
    </xf>
    <xf numFmtId="0" fontId="0" fillId="0" borderId="0" xfId="0" applyFont="1" applyFill="1" applyBorder="1" applyAlignment="1">
      <alignment vertical="top" wrapText="1"/>
    </xf>
    <xf numFmtId="0" fontId="5" fillId="0" borderId="25" xfId="0" applyFont="1" applyFill="1" applyBorder="1" applyAlignment="1" applyProtection="1">
      <alignment/>
      <protection hidden="1"/>
    </xf>
    <xf numFmtId="0" fontId="11" fillId="0" borderId="0" xfId="0" applyFont="1" applyAlignment="1">
      <alignment/>
    </xf>
    <xf numFmtId="4" fontId="0" fillId="9" borderId="72" xfId="0" applyNumberFormat="1" applyFont="1" applyFill="1" applyBorder="1" applyAlignment="1">
      <alignment/>
    </xf>
    <xf numFmtId="4" fontId="0" fillId="9" borderId="73" xfId="0" applyNumberFormat="1" applyFont="1" applyFill="1" applyBorder="1" applyAlignment="1">
      <alignment/>
    </xf>
    <xf numFmtId="4" fontId="0" fillId="9" borderId="71" xfId="0" applyNumberFormat="1" applyFont="1" applyFill="1" applyBorder="1" applyAlignment="1">
      <alignment/>
    </xf>
    <xf numFmtId="3" fontId="4" fillId="0" borderId="49" xfId="0" applyNumberFormat="1" applyFont="1" applyBorder="1" applyAlignment="1" applyProtection="1">
      <alignment/>
      <protection hidden="1"/>
    </xf>
    <xf numFmtId="3" fontId="4" fillId="9" borderId="75" xfId="0" applyNumberFormat="1" applyFont="1" applyFill="1" applyBorder="1" applyAlignment="1" applyProtection="1">
      <alignment/>
      <protection hidden="1"/>
    </xf>
    <xf numFmtId="3" fontId="4" fillId="9" borderId="76" xfId="0" applyNumberFormat="1" applyFont="1" applyFill="1" applyBorder="1" applyAlignment="1" applyProtection="1">
      <alignment/>
      <protection hidden="1"/>
    </xf>
    <xf numFmtId="37" fontId="4" fillId="9" borderId="71" xfId="0" applyNumberFormat="1" applyFont="1" applyFill="1" applyBorder="1" applyAlignment="1" applyProtection="1">
      <alignment/>
      <protection hidden="1"/>
    </xf>
    <xf numFmtId="37" fontId="4" fillId="9" borderId="76" xfId="0" applyNumberFormat="1" applyFont="1" applyFill="1" applyBorder="1" applyAlignment="1" applyProtection="1">
      <alignment/>
      <protection hidden="1"/>
    </xf>
    <xf numFmtId="37" fontId="5" fillId="0" borderId="25" xfId="0" applyNumberFormat="1" applyFont="1" applyFill="1" applyBorder="1" applyAlignment="1" applyProtection="1">
      <alignment/>
      <protection hidden="1"/>
    </xf>
    <xf numFmtId="0" fontId="4" fillId="3" borderId="13" xfId="0" applyFont="1" applyFill="1" applyBorder="1" applyAlignment="1" applyProtection="1">
      <alignment vertical="center"/>
      <protection/>
    </xf>
    <xf numFmtId="0" fontId="4" fillId="3" borderId="17" xfId="0" applyFont="1" applyFill="1" applyBorder="1" applyAlignment="1" applyProtection="1">
      <alignment vertical="center"/>
      <protection/>
    </xf>
    <xf numFmtId="0" fontId="5" fillId="8" borderId="0" xfId="0" applyNumberFormat="1" applyFont="1" applyFill="1" applyBorder="1" applyAlignment="1" applyProtection="1">
      <alignment horizontal="left"/>
      <protection hidden="1"/>
    </xf>
    <xf numFmtId="37" fontId="5" fillId="8" borderId="0" xfId="0" applyNumberFormat="1" applyFont="1" applyFill="1" applyBorder="1" applyAlignment="1" applyProtection="1">
      <alignment/>
      <protection hidden="1"/>
    </xf>
    <xf numFmtId="177" fontId="5" fillId="8" borderId="0" xfId="39" applyFont="1" applyFill="1" applyBorder="1" applyProtection="1">
      <alignment/>
      <protection/>
    </xf>
    <xf numFmtId="200" fontId="4" fillId="0" borderId="23" xfId="0" applyNumberFormat="1" applyFont="1" applyBorder="1" applyAlignment="1" applyProtection="1">
      <alignment/>
      <protection hidden="1"/>
    </xf>
    <xf numFmtId="0" fontId="4" fillId="0" borderId="0" xfId="0" applyNumberFormat="1" applyFont="1" applyAlignment="1" applyProtection="1">
      <alignment horizontal="center"/>
      <protection/>
    </xf>
    <xf numFmtId="0" fontId="0" fillId="0" borderId="0" xfId="0" applyAlignment="1" applyProtection="1">
      <alignment horizontal="justify" vertical="top" wrapText="1"/>
      <protection hidden="1"/>
    </xf>
    <xf numFmtId="37" fontId="5" fillId="8" borderId="0" xfId="0" applyNumberFormat="1" applyFont="1" applyFill="1" applyBorder="1" applyAlignment="1" applyProtection="1">
      <alignment/>
      <protection hidden="1"/>
    </xf>
    <xf numFmtId="0" fontId="0" fillId="0" borderId="0" xfId="0" applyFont="1" applyAlignment="1">
      <alignment horizontal="justify" vertical="top" wrapText="1"/>
    </xf>
    <xf numFmtId="0" fontId="4" fillId="0" borderId="0" xfId="0" applyNumberFormat="1" applyFont="1" applyBorder="1" applyAlignment="1" applyProtection="1">
      <alignment horizontal="justify" vertical="top" wrapText="1"/>
      <protection hidden="1"/>
    </xf>
    <xf numFmtId="0" fontId="5" fillId="8" borderId="0" xfId="0" applyFont="1" applyFill="1" applyBorder="1" applyAlignment="1" applyProtection="1">
      <alignment horizontal="left"/>
      <protection hidden="1"/>
    </xf>
    <xf numFmtId="0" fontId="5" fillId="8" borderId="0" xfId="0" applyFont="1" applyFill="1" applyBorder="1" applyAlignment="1" applyProtection="1">
      <alignment horizontal="left"/>
      <protection/>
    </xf>
    <xf numFmtId="171" fontId="5" fillId="8" borderId="0" xfId="0" applyNumberFormat="1" applyFont="1" applyFill="1" applyBorder="1" applyAlignment="1" applyProtection="1">
      <alignment horizontal="left"/>
      <protection/>
    </xf>
    <xf numFmtId="171" fontId="5" fillId="8" borderId="0" xfId="39" applyNumberFormat="1" applyFill="1" applyBorder="1" applyProtection="1">
      <alignment/>
      <protection/>
    </xf>
    <xf numFmtId="0" fontId="5" fillId="8" borderId="0" xfId="32" applyFont="1" applyFill="1" applyBorder="1" applyAlignment="1" applyProtection="1">
      <alignment horizontal="left"/>
      <protection hidden="1"/>
    </xf>
    <xf numFmtId="0" fontId="5" fillId="8" borderId="0" xfId="32" applyFont="1" applyFill="1" applyBorder="1" applyAlignment="1" applyProtection="1">
      <alignment/>
      <protection hidden="1"/>
    </xf>
    <xf numFmtId="0" fontId="4" fillId="8" borderId="0" xfId="0" applyFont="1" applyFill="1" applyBorder="1" applyAlignment="1" applyProtection="1">
      <alignment/>
      <protection/>
    </xf>
    <xf numFmtId="188" fontId="5" fillId="8" borderId="0" xfId="39" applyNumberFormat="1" applyFill="1" applyBorder="1" applyAlignment="1" applyProtection="1">
      <alignment/>
      <protection/>
    </xf>
    <xf numFmtId="188" fontId="5" fillId="8" borderId="0" xfId="39" applyNumberFormat="1" applyFill="1" applyBorder="1" applyProtection="1">
      <alignment/>
      <protection/>
    </xf>
    <xf numFmtId="171" fontId="5" fillId="8" borderId="0" xfId="39" applyNumberFormat="1" applyFont="1" applyFill="1" applyBorder="1" applyAlignment="1" applyProtection="1">
      <alignment/>
      <protection/>
    </xf>
    <xf numFmtId="171" fontId="5" fillId="8" borderId="0" xfId="39" applyNumberFormat="1" applyFont="1" applyFill="1" applyBorder="1" applyProtection="1">
      <alignment/>
      <protection/>
    </xf>
    <xf numFmtId="0" fontId="2" fillId="0" borderId="23" xfId="0" applyFont="1" applyFill="1" applyBorder="1" applyAlignment="1" applyProtection="1">
      <alignment horizontal="left"/>
      <protection/>
    </xf>
    <xf numFmtId="0" fontId="0" fillId="8" borderId="0" xfId="0" applyFont="1" applyFill="1" applyBorder="1" applyAlignment="1" applyProtection="1">
      <alignment/>
      <protection/>
    </xf>
    <xf numFmtId="37" fontId="35" fillId="8" borderId="0" xfId="0" applyNumberFormat="1" applyFont="1" applyFill="1" applyBorder="1" applyAlignment="1" applyProtection="1">
      <alignment/>
      <protection hidden="1"/>
    </xf>
    <xf numFmtId="49" fontId="35" fillId="0" borderId="0" xfId="0" applyNumberFormat="1" applyFont="1" applyFill="1" applyBorder="1" applyAlignment="1" applyProtection="1">
      <alignment horizontal="left"/>
      <protection hidden="1"/>
    </xf>
    <xf numFmtId="37" fontId="35" fillId="0" borderId="0" xfId="0" applyNumberFormat="1" applyFont="1" applyFill="1" applyBorder="1" applyAlignment="1" applyProtection="1">
      <alignment/>
      <protection hidden="1"/>
    </xf>
    <xf numFmtId="0" fontId="5" fillId="0" borderId="0" xfId="0" applyNumberFormat="1" applyFont="1" applyBorder="1" applyAlignment="1" applyProtection="1" quotePrefix="1">
      <alignment horizontal="justify" vertical="top" wrapText="1"/>
      <protection hidden="1"/>
    </xf>
    <xf numFmtId="0" fontId="5" fillId="0" borderId="0" xfId="0" applyFont="1" applyAlignment="1" applyProtection="1">
      <alignment horizontal="justify" vertical="top" wrapText="1"/>
      <protection hidden="1"/>
    </xf>
    <xf numFmtId="0" fontId="4" fillId="0" borderId="0" xfId="0" applyFont="1" applyAlignment="1" applyProtection="1" quotePrefix="1">
      <alignment horizontal="justify" vertical="top" wrapText="1"/>
      <protection hidden="1"/>
    </xf>
    <xf numFmtId="0" fontId="0" fillId="0" borderId="0" xfId="0" applyAlignment="1">
      <alignment horizontal="justify" vertical="top" wrapText="1"/>
    </xf>
    <xf numFmtId="0" fontId="4" fillId="0" borderId="0" xfId="0" applyFont="1" applyAlignment="1" applyProtection="1" quotePrefix="1">
      <alignment horizontal="justify" vertical="top"/>
      <protection hidden="1"/>
    </xf>
    <xf numFmtId="0" fontId="4" fillId="0" borderId="0" xfId="0" applyNumberFormat="1" applyFont="1" applyBorder="1" applyAlignment="1" applyProtection="1" quotePrefix="1">
      <alignment horizontal="justify" vertical="top" wrapText="1"/>
      <protection hidden="1"/>
    </xf>
    <xf numFmtId="0" fontId="0" fillId="0" borderId="17" xfId="0" applyBorder="1" applyAlignment="1">
      <alignment/>
    </xf>
    <xf numFmtId="0" fontId="0" fillId="0" borderId="13" xfId="0" applyBorder="1" applyAlignment="1">
      <alignment/>
    </xf>
    <xf numFmtId="3" fontId="4" fillId="0" borderId="25" xfId="36" applyNumberFormat="1" applyFont="1" applyFill="1" applyBorder="1" applyAlignment="1" applyProtection="1">
      <alignment/>
      <protection locked="0"/>
    </xf>
    <xf numFmtId="3" fontId="4" fillId="0" borderId="13" xfId="36" applyNumberFormat="1" applyFont="1" applyFill="1" applyBorder="1" applyAlignment="1" applyProtection="1">
      <alignment/>
      <protection locked="0"/>
    </xf>
    <xf numFmtId="0" fontId="0" fillId="0" borderId="13" xfId="0" applyBorder="1" applyAlignment="1" applyProtection="1">
      <alignment/>
      <protection locked="0"/>
    </xf>
    <xf numFmtId="0" fontId="0" fillId="0" borderId="17" xfId="0" applyBorder="1" applyAlignment="1" applyProtection="1">
      <alignment/>
      <protection locked="0"/>
    </xf>
    <xf numFmtId="182" fontId="4" fillId="0" borderId="25" xfId="0" applyNumberFormat="1" applyFont="1" applyFill="1" applyBorder="1" applyAlignment="1" applyProtection="1">
      <alignment horizontal="left"/>
      <protection locked="0"/>
    </xf>
    <xf numFmtId="0" fontId="0" fillId="0" borderId="17" xfId="0" applyBorder="1" applyAlignment="1">
      <alignment horizontal="left"/>
    </xf>
    <xf numFmtId="49" fontId="4" fillId="0" borderId="47" xfId="0" applyNumberFormat="1" applyFont="1" applyFill="1" applyBorder="1" applyAlignment="1" applyProtection="1">
      <alignment horizontal="left"/>
      <protection locked="0"/>
    </xf>
    <xf numFmtId="3" fontId="3" fillId="3" borderId="14" xfId="0" applyNumberFormat="1" applyFont="1" applyFill="1" applyBorder="1" applyAlignment="1" applyProtection="1">
      <alignment horizontal="left" vertical="center"/>
      <protection hidden="1"/>
    </xf>
    <xf numFmtId="3" fontId="4" fillId="0" borderId="17" xfId="36" applyNumberFormat="1" applyFont="1" applyFill="1" applyBorder="1" applyAlignment="1" applyProtection="1">
      <alignment/>
      <protection locked="0"/>
    </xf>
    <xf numFmtId="171" fontId="5" fillId="3" borderId="38" xfId="39" applyNumberFormat="1" applyFont="1" applyBorder="1" applyProtection="1">
      <alignment/>
      <protection/>
    </xf>
    <xf numFmtId="0" fontId="0" fillId="8" borderId="0" xfId="0" applyFill="1" applyBorder="1" applyAlignment="1">
      <alignment horizontal="right"/>
    </xf>
    <xf numFmtId="0" fontId="4" fillId="0" borderId="69"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171" fontId="5" fillId="3" borderId="17" xfId="39" applyNumberFormat="1" applyFont="1" applyBorder="1" applyProtection="1">
      <alignment/>
      <protection/>
    </xf>
    <xf numFmtId="0" fontId="4" fillId="0" borderId="49" xfId="0" applyFont="1" applyFill="1" applyBorder="1" applyAlignment="1" applyProtection="1">
      <alignment horizontal="left" vertical="center"/>
      <protection locked="0"/>
    </xf>
    <xf numFmtId="0" fontId="35" fillId="8" borderId="0" xfId="0" applyFont="1" applyFill="1" applyBorder="1" applyAlignment="1" applyProtection="1">
      <alignment/>
      <protection/>
    </xf>
    <xf numFmtId="171" fontId="31" fillId="8" borderId="0" xfId="39" applyNumberFormat="1" applyFont="1" applyFill="1" applyBorder="1" applyAlignment="1" applyProtection="1">
      <alignment/>
      <protection/>
    </xf>
    <xf numFmtId="0" fontId="4" fillId="0" borderId="0" xfId="0" applyNumberFormat="1" applyFont="1" applyBorder="1" applyAlignment="1" applyProtection="1">
      <alignment vertical="center" readingOrder="2"/>
      <protection hidden="1"/>
    </xf>
    <xf numFmtId="0" fontId="0" fillId="0" borderId="0" xfId="0" applyAlignment="1">
      <alignment vertical="top" wrapText="1"/>
    </xf>
    <xf numFmtId="37" fontId="4" fillId="8" borderId="0" xfId="0" applyNumberFormat="1" applyFont="1" applyFill="1" applyBorder="1" applyAlignment="1" applyProtection="1">
      <alignment horizontal="center" vertical="center" wrapText="1"/>
      <protection hidden="1"/>
    </xf>
    <xf numFmtId="0" fontId="4" fillId="8" borderId="0" xfId="0" applyFont="1" applyFill="1" applyBorder="1" applyAlignment="1" applyProtection="1">
      <alignment/>
      <protection hidden="1"/>
    </xf>
    <xf numFmtId="177" fontId="5" fillId="8" borderId="0" xfId="36" applyFont="1" applyFill="1" applyBorder="1" applyProtection="1">
      <alignment/>
      <protection hidden="1"/>
    </xf>
    <xf numFmtId="0" fontId="4" fillId="8" borderId="0" xfId="0" applyFont="1" applyFill="1" applyAlignment="1" applyProtection="1">
      <alignment/>
      <protection/>
    </xf>
    <xf numFmtId="0" fontId="4" fillId="8" borderId="0" xfId="0" applyFont="1" applyFill="1" applyAlignment="1" applyProtection="1">
      <alignment/>
      <protection/>
    </xf>
    <xf numFmtId="37" fontId="24" fillId="0" borderId="0" xfId="0" applyNumberFormat="1" applyFont="1" applyFill="1" applyBorder="1" applyAlignment="1" applyProtection="1">
      <alignment/>
      <protection hidden="1"/>
    </xf>
    <xf numFmtId="171" fontId="5" fillId="3" borderId="12" xfId="39" applyNumberFormat="1" applyFont="1" applyBorder="1" applyProtection="1">
      <alignment/>
      <protection/>
    </xf>
    <xf numFmtId="171" fontId="5" fillId="3" borderId="61" xfId="39" applyNumberFormat="1" applyFont="1" applyBorder="1" applyProtection="1">
      <alignment/>
      <protection/>
    </xf>
    <xf numFmtId="171" fontId="21" fillId="8" borderId="23" xfId="39" applyNumberFormat="1" applyFont="1" applyFill="1" applyBorder="1" applyAlignment="1" applyProtection="1">
      <alignment/>
      <protection/>
    </xf>
    <xf numFmtId="0" fontId="35" fillId="0" borderId="0" xfId="0" applyFont="1" applyAlignment="1" applyProtection="1">
      <alignment/>
      <protection/>
    </xf>
    <xf numFmtId="177" fontId="5" fillId="8" borderId="23" xfId="39" applyFont="1" applyFill="1" applyBorder="1" applyProtection="1">
      <alignment/>
      <protection/>
    </xf>
    <xf numFmtId="0" fontId="24" fillId="0" borderId="0" xfId="0" applyFont="1" applyFill="1" applyBorder="1" applyAlignment="1" applyProtection="1">
      <alignment/>
      <protection hidden="1"/>
    </xf>
    <xf numFmtId="0" fontId="5" fillId="3" borderId="16"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37" fontId="5" fillId="3" borderId="37" xfId="0" applyNumberFormat="1" applyFont="1" applyFill="1" applyBorder="1" applyAlignment="1" applyProtection="1">
      <alignment horizontal="center" vertical="center"/>
      <protection hidden="1"/>
    </xf>
    <xf numFmtId="175" fontId="4" fillId="0" borderId="23" xfId="0" applyNumberFormat="1" applyFont="1" applyFill="1" applyBorder="1" applyAlignment="1" applyProtection="1">
      <alignment horizontal="left"/>
      <protection locked="0"/>
    </xf>
    <xf numFmtId="191" fontId="5" fillId="3" borderId="22" xfId="0" applyNumberFormat="1" applyFont="1" applyFill="1" applyBorder="1" applyAlignment="1" applyProtection="1">
      <alignment horizontal="center" vertical="center"/>
      <protection hidden="1"/>
    </xf>
    <xf numFmtId="0" fontId="4" fillId="0" borderId="34" xfId="0" applyFont="1" applyFill="1" applyBorder="1" applyAlignment="1" applyProtection="1">
      <alignment horizontal="left" vertical="center"/>
      <protection hidden="1"/>
    </xf>
    <xf numFmtId="176" fontId="5" fillId="3" borderId="13" xfId="36" applyNumberFormat="1" applyFont="1" applyFill="1" applyBorder="1" applyProtection="1">
      <alignment/>
      <protection/>
    </xf>
    <xf numFmtId="176" fontId="5" fillId="3" borderId="17" xfId="36" applyNumberFormat="1" applyFont="1" applyFill="1" applyBorder="1" applyProtection="1">
      <alignment/>
      <protection/>
    </xf>
    <xf numFmtId="37" fontId="5" fillId="0" borderId="0" xfId="0" applyNumberFormat="1" applyFont="1" applyFill="1" applyBorder="1" applyAlignment="1" applyProtection="1">
      <alignment/>
      <protection hidden="1"/>
    </xf>
    <xf numFmtId="176" fontId="4" fillId="0" borderId="23" xfId="36" applyNumberFormat="1" applyFont="1" applyFill="1" applyBorder="1" applyProtection="1">
      <alignment/>
      <protection/>
    </xf>
    <xf numFmtId="181" fontId="2" fillId="0" borderId="52" xfId="36" applyNumberFormat="1" applyFont="1" applyFill="1" applyBorder="1" applyAlignment="1" applyProtection="1">
      <alignment/>
      <protection hidden="1"/>
    </xf>
    <xf numFmtId="0" fontId="4" fillId="0" borderId="52" xfId="0" applyFont="1" applyBorder="1" applyAlignment="1" applyProtection="1">
      <alignment/>
      <protection/>
    </xf>
    <xf numFmtId="0" fontId="0" fillId="0" borderId="0" xfId="0" applyBorder="1" applyAlignment="1">
      <alignment/>
    </xf>
    <xf numFmtId="37" fontId="5" fillId="3" borderId="7" xfId="0" applyNumberFormat="1" applyFont="1" applyFill="1" applyBorder="1" applyAlignment="1" applyProtection="1">
      <alignment horizontal="center" vertical="center"/>
      <protection hidden="1"/>
    </xf>
    <xf numFmtId="171" fontId="4" fillId="0" borderId="23" xfId="0" applyNumberFormat="1" applyFont="1" applyBorder="1" applyAlignment="1" applyProtection="1">
      <alignment vertical="center"/>
      <protection/>
    </xf>
    <xf numFmtId="176" fontId="4" fillId="0" borderId="23" xfId="39" applyNumberFormat="1" applyFont="1" applyFill="1" applyBorder="1" applyProtection="1">
      <alignment/>
      <protection/>
    </xf>
    <xf numFmtId="0" fontId="4" fillId="0" borderId="37" xfId="0" applyFont="1" applyFill="1" applyBorder="1" applyAlignment="1" applyProtection="1">
      <alignment horizontal="center"/>
      <protection/>
    </xf>
    <xf numFmtId="0" fontId="4" fillId="0" borderId="22" xfId="0" applyFont="1" applyFill="1" applyBorder="1" applyAlignment="1" applyProtection="1">
      <alignment horizontal="center"/>
      <protection/>
    </xf>
    <xf numFmtId="0" fontId="4" fillId="0" borderId="47" xfId="0" applyFont="1" applyFill="1" applyBorder="1" applyAlignment="1" applyProtection="1">
      <alignment horizontal="center"/>
      <protection hidden="1"/>
    </xf>
    <xf numFmtId="0" fontId="4" fillId="0" borderId="23" xfId="0" applyFont="1" applyFill="1" applyBorder="1" applyAlignment="1" applyProtection="1">
      <alignment horizontal="center"/>
      <protection hidden="1"/>
    </xf>
    <xf numFmtId="0" fontId="4" fillId="0" borderId="23" xfId="0" applyFont="1" applyFill="1" applyBorder="1" applyAlignment="1" applyProtection="1" quotePrefix="1">
      <alignment horizontal="center"/>
      <protection hidden="1"/>
    </xf>
    <xf numFmtId="0" fontId="4" fillId="0" borderId="21"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4" fillId="0" borderId="0" xfId="35" applyFont="1" applyFill="1" applyBorder="1" applyAlignment="1" applyProtection="1">
      <alignment horizontal="center" vertical="center" wrapText="1"/>
      <protection locked="0"/>
    </xf>
    <xf numFmtId="0" fontId="35" fillId="0" borderId="0" xfId="0" applyFont="1" applyAlignment="1" applyProtection="1">
      <alignment horizontal="left" vertical="center"/>
      <protection/>
    </xf>
    <xf numFmtId="0" fontId="0" fillId="0" borderId="0" xfId="0" applyBorder="1" applyAlignment="1">
      <alignment/>
    </xf>
    <xf numFmtId="172" fontId="4" fillId="0" borderId="23" xfId="0" applyNumberFormat="1" applyFont="1" applyBorder="1" applyAlignment="1" applyProtection="1">
      <alignment horizontal="center"/>
      <protection hidden="1" locked="0"/>
    </xf>
    <xf numFmtId="3" fontId="4" fillId="0" borderId="52" xfId="0" applyNumberFormat="1" applyFont="1" applyFill="1" applyBorder="1" applyAlignment="1" applyProtection="1">
      <alignment vertical="center"/>
      <protection hidden="1"/>
    </xf>
    <xf numFmtId="3" fontId="4" fillId="0" borderId="0" xfId="0" applyNumberFormat="1" applyFont="1" applyFill="1" applyBorder="1" applyAlignment="1" applyProtection="1">
      <alignment vertical="center"/>
      <protection hidden="1"/>
    </xf>
    <xf numFmtId="37" fontId="5" fillId="3" borderId="2" xfId="0" applyNumberFormat="1" applyFont="1" applyFill="1" applyBorder="1" applyAlignment="1" applyProtection="1">
      <alignment horizontal="center" vertical="center"/>
      <protection hidden="1"/>
    </xf>
    <xf numFmtId="191" fontId="5" fillId="3" borderId="21" xfId="0" applyNumberFormat="1" applyFont="1" applyFill="1" applyBorder="1" applyAlignment="1" applyProtection="1">
      <alignment vertical="center"/>
      <protection hidden="1"/>
    </xf>
    <xf numFmtId="191" fontId="5" fillId="3" borderId="14" xfId="0" applyNumberFormat="1" applyFont="1" applyFill="1" applyBorder="1" applyAlignment="1" applyProtection="1">
      <alignment vertical="center"/>
      <protection hidden="1"/>
    </xf>
    <xf numFmtId="171" fontId="35" fillId="8" borderId="0" xfId="39" applyNumberFormat="1" applyFont="1" applyFill="1" applyBorder="1" applyAlignment="1" applyProtection="1">
      <alignment/>
      <protection/>
    </xf>
    <xf numFmtId="3" fontId="3" fillId="3" borderId="33" xfId="0" applyNumberFormat="1" applyFont="1" applyFill="1" applyBorder="1" applyAlignment="1" applyProtection="1">
      <alignment horizontal="center" vertical="center"/>
      <protection hidden="1"/>
    </xf>
    <xf numFmtId="3" fontId="3" fillId="3" borderId="6" xfId="0" applyNumberFormat="1" applyFont="1" applyFill="1" applyBorder="1" applyAlignment="1" applyProtection="1">
      <alignment horizontal="center" vertical="center"/>
      <protection hidden="1"/>
    </xf>
    <xf numFmtId="2" fontId="3" fillId="3" borderId="14" xfId="0" applyNumberFormat="1" applyFont="1" applyFill="1" applyBorder="1" applyAlignment="1" applyProtection="1">
      <alignment horizontal="center" vertical="center"/>
      <protection hidden="1"/>
    </xf>
    <xf numFmtId="3" fontId="3" fillId="3" borderId="50" xfId="0" applyNumberFormat="1" applyFont="1" applyFill="1" applyBorder="1" applyAlignment="1" applyProtection="1">
      <alignment horizontal="center" vertical="center"/>
      <protection hidden="1"/>
    </xf>
    <xf numFmtId="37" fontId="5" fillId="3" borderId="21" xfId="0" applyNumberFormat="1" applyFont="1" applyFill="1" applyBorder="1" applyAlignment="1" applyProtection="1">
      <alignment horizontal="center" vertical="center"/>
      <protection/>
    </xf>
    <xf numFmtId="37" fontId="5" fillId="3" borderId="2" xfId="0" applyNumberFormat="1" applyFont="1" applyFill="1" applyBorder="1" applyAlignment="1" applyProtection="1">
      <alignment horizontal="center" vertical="center"/>
      <protection/>
    </xf>
    <xf numFmtId="37" fontId="5" fillId="3" borderId="14" xfId="0" applyNumberFormat="1" applyFont="1" applyFill="1" applyBorder="1" applyAlignment="1" applyProtection="1">
      <alignment horizontal="center" vertical="center"/>
      <protection/>
    </xf>
    <xf numFmtId="0" fontId="38" fillId="0" borderId="0" xfId="0" applyFont="1" applyAlignment="1" applyProtection="1">
      <alignment/>
      <protection/>
    </xf>
    <xf numFmtId="0" fontId="0" fillId="0" borderId="0" xfId="0" applyAlignment="1" applyProtection="1">
      <alignment horizontal="justify" vertical="top" wrapText="1"/>
      <protection hidden="1"/>
    </xf>
    <xf numFmtId="0" fontId="4" fillId="0" borderId="0" xfId="0" applyFont="1" applyAlignment="1" applyProtection="1">
      <alignment horizontal="justify" vertical="top"/>
      <protection hidden="1"/>
    </xf>
    <xf numFmtId="0" fontId="4" fillId="0" borderId="0" xfId="0" applyFont="1" applyAlignment="1" applyProtection="1" quotePrefix="1">
      <alignment horizontal="justify" vertical="top" wrapText="1"/>
      <protection hidden="1"/>
    </xf>
    <xf numFmtId="0" fontId="0" fillId="0" borderId="0" xfId="0" applyAlignment="1">
      <alignment horizontal="justify" vertical="top" wrapText="1"/>
    </xf>
    <xf numFmtId="0" fontId="0" fillId="0" borderId="31" xfId="0" applyBorder="1" applyAlignment="1">
      <alignment/>
    </xf>
    <xf numFmtId="0" fontId="0" fillId="0" borderId="65" xfId="0" applyBorder="1" applyAlignment="1">
      <alignment/>
    </xf>
    <xf numFmtId="37" fontId="4" fillId="0" borderId="0" xfId="0" applyNumberFormat="1" applyFont="1" applyAlignment="1" applyProtection="1">
      <alignment vertical="center" wrapText="1"/>
      <protection hidden="1"/>
    </xf>
    <xf numFmtId="0" fontId="4" fillId="0" borderId="0" xfId="0" applyNumberFormat="1" applyFont="1" applyAlignment="1" applyProtection="1">
      <alignment vertical="center" wrapText="1"/>
      <protection hidden="1"/>
    </xf>
    <xf numFmtId="0" fontId="4" fillId="0" borderId="0" xfId="0" applyFont="1" applyAlignment="1" applyProtection="1">
      <alignment horizontal="justify" vertical="top" wrapText="1"/>
      <protection hidden="1"/>
    </xf>
    <xf numFmtId="0" fontId="4" fillId="0" borderId="26" xfId="33" applyFont="1" applyFill="1" applyBorder="1" applyAlignment="1" applyProtection="1">
      <alignment vertical="top" wrapText="1"/>
      <protection/>
    </xf>
    <xf numFmtId="0" fontId="0" fillId="0" borderId="47" xfId="0" applyBorder="1" applyAlignment="1">
      <alignment vertical="top" wrapText="1"/>
    </xf>
    <xf numFmtId="0" fontId="0" fillId="0" borderId="32" xfId="0" applyBorder="1" applyAlignment="1">
      <alignment vertical="top" wrapText="1"/>
    </xf>
    <xf numFmtId="0" fontId="0" fillId="0" borderId="32" xfId="0" applyBorder="1" applyAlignment="1">
      <alignment/>
    </xf>
    <xf numFmtId="0" fontId="0" fillId="0" borderId="12" xfId="0" applyBorder="1" applyAlignment="1">
      <alignment/>
    </xf>
    <xf numFmtId="0" fontId="0" fillId="0" borderId="52" xfId="0" applyBorder="1" applyAlignment="1">
      <alignment vertical="top" wrapText="1"/>
    </xf>
    <xf numFmtId="0" fontId="0" fillId="0" borderId="0" xfId="0" applyBorder="1" applyAlignment="1">
      <alignment vertical="top" wrapText="1"/>
    </xf>
    <xf numFmtId="0" fontId="0" fillId="0" borderId="0" xfId="0" applyAlignment="1">
      <alignment/>
    </xf>
    <xf numFmtId="0" fontId="4" fillId="0" borderId="0" xfId="33" applyFont="1" applyFill="1" applyBorder="1" applyAlignment="1" applyProtection="1">
      <alignment vertical="top" wrapText="1"/>
      <protection/>
    </xf>
    <xf numFmtId="0" fontId="0" fillId="0" borderId="31" xfId="0" applyBorder="1" applyAlignment="1">
      <alignment vertical="top" wrapText="1"/>
    </xf>
    <xf numFmtId="0" fontId="4" fillId="0" borderId="65" xfId="33" applyFont="1" applyFill="1" applyBorder="1" applyAlignment="1" applyProtection="1">
      <alignment vertical="top" wrapText="1"/>
      <protection/>
    </xf>
    <xf numFmtId="0" fontId="0" fillId="0" borderId="12" xfId="0" applyBorder="1" applyAlignment="1">
      <alignment vertical="top" wrapText="1"/>
    </xf>
    <xf numFmtId="0" fontId="4" fillId="0" borderId="52" xfId="33" applyFont="1" applyFill="1" applyBorder="1" applyAlignment="1" applyProtection="1">
      <alignment vertical="top" wrapText="1"/>
      <protection/>
    </xf>
    <xf numFmtId="0" fontId="0" fillId="0" borderId="0" xfId="0" applyAlignment="1">
      <alignment vertical="center" wrapText="1"/>
    </xf>
    <xf numFmtId="0" fontId="4" fillId="0" borderId="49" xfId="33" applyFont="1" applyFill="1" applyBorder="1" applyAlignment="1" applyProtection="1">
      <alignment vertical="top" wrapText="1"/>
      <protection/>
    </xf>
    <xf numFmtId="0" fontId="4" fillId="0" borderId="32" xfId="33" applyFont="1" applyFill="1" applyBorder="1" applyAlignment="1" applyProtection="1">
      <alignment vertical="top" wrapText="1"/>
      <protection/>
    </xf>
    <xf numFmtId="0" fontId="0" fillId="0" borderId="0" xfId="0" applyAlignment="1" applyProtection="1">
      <alignment horizontal="justify" wrapText="1"/>
      <protection hidden="1"/>
    </xf>
    <xf numFmtId="198" fontId="4" fillId="0" borderId="16" xfId="33" applyNumberFormat="1" applyFont="1" applyFill="1" applyBorder="1" applyAlignment="1" applyProtection="1">
      <alignment horizontal="center" vertical="center"/>
      <protection/>
    </xf>
    <xf numFmtId="198" fontId="4" fillId="0" borderId="5" xfId="33" applyNumberFormat="1" applyFont="1" applyFill="1" applyBorder="1" applyAlignment="1" applyProtection="1">
      <alignment horizontal="center" vertical="center"/>
      <protection/>
    </xf>
    <xf numFmtId="0" fontId="0" fillId="0" borderId="7" xfId="0" applyFont="1" applyFill="1" applyBorder="1" applyAlignment="1">
      <alignment horizontal="center"/>
    </xf>
    <xf numFmtId="0" fontId="0" fillId="0" borderId="0" xfId="0" applyBorder="1" applyAlignment="1" applyProtection="1">
      <alignment horizontal="justify" vertical="top" wrapText="1"/>
      <protection hidden="1"/>
    </xf>
    <xf numFmtId="198" fontId="4" fillId="0" borderId="25" xfId="0" applyNumberFormat="1" applyFont="1" applyFill="1" applyBorder="1" applyAlignment="1" applyProtection="1">
      <alignment horizontal="center" vertical="center"/>
      <protection locked="0"/>
    </xf>
    <xf numFmtId="198" fontId="4" fillId="0" borderId="17" xfId="0" applyNumberFormat="1" applyFont="1" applyFill="1" applyBorder="1" applyAlignment="1" applyProtection="1">
      <alignment horizontal="center" vertical="center"/>
      <protection locked="0"/>
    </xf>
    <xf numFmtId="0" fontId="4" fillId="0" borderId="0" xfId="33" applyFont="1" applyFill="1" applyBorder="1" applyAlignment="1" applyProtection="1">
      <alignment vertical="center" wrapText="1"/>
      <protection/>
    </xf>
    <xf numFmtId="0" fontId="0" fillId="0" borderId="0" xfId="0" applyFont="1" applyAlignment="1">
      <alignment vertical="center"/>
    </xf>
    <xf numFmtId="0" fontId="5" fillId="0" borderId="0" xfId="0" applyNumberFormat="1" applyFont="1" applyAlignment="1" applyProtection="1">
      <alignment vertical="center" wrapText="1"/>
      <protection/>
    </xf>
    <xf numFmtId="0" fontId="4" fillId="0" borderId="67" xfId="0" applyFont="1" applyBorder="1" applyAlignment="1" applyProtection="1">
      <alignment horizontal="center" wrapText="1"/>
      <protection hidden="1"/>
    </xf>
    <xf numFmtId="0" fontId="4" fillId="0" borderId="48" xfId="0" applyFont="1" applyBorder="1" applyAlignment="1" applyProtection="1">
      <alignment horizontal="center" wrapText="1"/>
      <protection hidden="1"/>
    </xf>
    <xf numFmtId="0" fontId="4" fillId="0" borderId="77" xfId="0" applyFont="1" applyBorder="1" applyAlignment="1" applyProtection="1">
      <alignment horizontal="center" wrapText="1"/>
      <protection hidden="1"/>
    </xf>
    <xf numFmtId="0" fontId="5" fillId="0" borderId="35" xfId="0" applyFont="1" applyBorder="1" applyAlignment="1" applyProtection="1">
      <alignment horizontal="center" wrapText="1"/>
      <protection hidden="1"/>
    </xf>
    <xf numFmtId="0" fontId="5" fillId="0" borderId="32" xfId="0" applyFont="1" applyBorder="1" applyAlignment="1" applyProtection="1">
      <alignment horizontal="center" wrapText="1"/>
      <protection hidden="1"/>
    </xf>
    <xf numFmtId="0" fontId="5" fillId="0" borderId="63" xfId="0" applyFont="1" applyBorder="1" applyAlignment="1" applyProtection="1">
      <alignment horizontal="center" wrapText="1"/>
      <protection hidden="1"/>
    </xf>
    <xf numFmtId="0" fontId="0" fillId="0" borderId="47" xfId="0" applyBorder="1" applyAlignment="1">
      <alignment/>
    </xf>
    <xf numFmtId="37" fontId="4" fillId="0" borderId="25" xfId="0" applyNumberFormat="1" applyFont="1" applyFill="1" applyBorder="1" applyAlignment="1" applyProtection="1">
      <alignment vertical="center"/>
      <protection locked="0"/>
    </xf>
    <xf numFmtId="0" fontId="0" fillId="0" borderId="13" xfId="0" applyBorder="1" applyAlignment="1" applyProtection="1">
      <alignment vertical="center"/>
      <protection locked="0"/>
    </xf>
    <xf numFmtId="0" fontId="0" fillId="0" borderId="17" xfId="0" applyBorder="1" applyAlignment="1" applyProtection="1">
      <alignment vertical="center"/>
      <protection locked="0"/>
    </xf>
    <xf numFmtId="37" fontId="4" fillId="0" borderId="13" xfId="0" applyNumberFormat="1" applyFont="1" applyFill="1" applyBorder="1" applyAlignment="1" applyProtection="1">
      <alignment vertical="center"/>
      <protection locked="0"/>
    </xf>
    <xf numFmtId="37" fontId="4" fillId="0" borderId="17" xfId="0" applyNumberFormat="1" applyFont="1" applyFill="1" applyBorder="1" applyAlignment="1" applyProtection="1">
      <alignment vertical="center"/>
      <protection locked="0"/>
    </xf>
    <xf numFmtId="0" fontId="0" fillId="0" borderId="0" xfId="0" applyBorder="1" applyAlignment="1" applyProtection="1">
      <alignment horizontal="justify" wrapText="1"/>
      <protection hidden="1"/>
    </xf>
    <xf numFmtId="0" fontId="5" fillId="0" borderId="16" xfId="0" applyFont="1" applyBorder="1" applyAlignment="1" applyProtection="1">
      <alignment horizontal="center" wrapText="1"/>
      <protection hidden="1"/>
    </xf>
    <xf numFmtId="0" fontId="5" fillId="0" borderId="5"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4" fillId="0" borderId="0" xfId="0" applyFont="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4" fillId="0" borderId="16"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5" fillId="0" borderId="26" xfId="33" applyFont="1" applyFill="1" applyBorder="1" applyAlignment="1" applyProtection="1">
      <alignment vertical="center"/>
      <protection/>
    </xf>
    <xf numFmtId="0" fontId="0" fillId="0" borderId="26" xfId="0" applyBorder="1" applyAlignment="1">
      <alignment/>
    </xf>
    <xf numFmtId="0" fontId="4" fillId="0" borderId="0" xfId="0" applyFont="1" applyAlignment="1" applyProtection="1" quotePrefix="1">
      <alignment horizontal="left" vertical="top" wrapText="1"/>
      <protection hidden="1"/>
    </xf>
    <xf numFmtId="0" fontId="4" fillId="0" borderId="0" xfId="0" applyFont="1" applyAlignment="1" applyProtection="1">
      <alignment horizontal="left" vertical="top" wrapText="1"/>
      <protection hidden="1"/>
    </xf>
    <xf numFmtId="0" fontId="4" fillId="0" borderId="0" xfId="0" applyNumberFormat="1" applyFont="1" applyAlignment="1" applyProtection="1">
      <alignment horizontal="justify" vertical="top" wrapText="1"/>
      <protection hidden="1"/>
    </xf>
    <xf numFmtId="0" fontId="4" fillId="0" borderId="0" xfId="0" applyFont="1" applyAlignment="1" applyProtection="1" quotePrefix="1">
      <alignment horizontal="justify" vertical="top"/>
      <protection hidden="1"/>
    </xf>
    <xf numFmtId="0" fontId="4" fillId="0" borderId="0" xfId="0" applyNumberFormat="1" applyFont="1" applyBorder="1" applyAlignment="1" applyProtection="1" quotePrefix="1">
      <alignment horizontal="justify" vertical="top" wrapText="1"/>
      <protection hidden="1"/>
    </xf>
    <xf numFmtId="0" fontId="0" fillId="0" borderId="0" xfId="0" applyFont="1" applyAlignment="1">
      <alignment horizontal="justify" vertical="top" wrapText="1"/>
    </xf>
    <xf numFmtId="0" fontId="4" fillId="0" borderId="0" xfId="0" applyNumberFormat="1" applyFont="1" applyBorder="1" applyAlignment="1" applyProtection="1">
      <alignment horizontal="justify" vertical="top" wrapText="1"/>
      <protection hidden="1"/>
    </xf>
    <xf numFmtId="0" fontId="4" fillId="0" borderId="0" xfId="0" applyFont="1" applyAlignment="1" applyProtection="1">
      <alignment/>
      <protection/>
    </xf>
    <xf numFmtId="3" fontId="4" fillId="0" borderId="69" xfId="36" applyNumberFormat="1" applyFont="1" applyFill="1" applyBorder="1" applyAlignment="1" applyProtection="1">
      <alignment horizontal="right"/>
      <protection locked="0"/>
    </xf>
    <xf numFmtId="0" fontId="0" fillId="0" borderId="39" xfId="0" applyBorder="1" applyAlignment="1" applyProtection="1">
      <alignment horizontal="right"/>
      <protection locked="0"/>
    </xf>
    <xf numFmtId="201" fontId="5" fillId="0" borderId="25" xfId="0" applyNumberFormat="1" applyFont="1" applyFill="1" applyBorder="1" applyAlignment="1" applyProtection="1">
      <alignment/>
      <protection/>
    </xf>
    <xf numFmtId="0" fontId="0" fillId="0" borderId="17" xfId="0" applyBorder="1" applyAlignment="1">
      <alignment/>
    </xf>
    <xf numFmtId="0" fontId="5" fillId="3" borderId="16" xfId="0" applyFont="1" applyFill="1" applyBorder="1" applyAlignment="1" applyProtection="1">
      <alignment horizontal="right"/>
      <protection hidden="1"/>
    </xf>
    <xf numFmtId="0" fontId="5" fillId="3" borderId="7" xfId="0" applyFont="1" applyFill="1" applyBorder="1" applyAlignment="1" applyProtection="1">
      <alignment horizontal="right"/>
      <protection hidden="1"/>
    </xf>
    <xf numFmtId="3" fontId="4" fillId="0" borderId="25" xfId="36" applyNumberFormat="1" applyFont="1" applyFill="1" applyBorder="1" applyAlignment="1" applyProtection="1">
      <alignment horizontal="right"/>
      <protection locked="0"/>
    </xf>
    <xf numFmtId="0" fontId="0" fillId="0" borderId="17" xfId="0" applyBorder="1" applyAlignment="1" applyProtection="1">
      <alignment horizontal="right"/>
      <protection locked="0"/>
    </xf>
    <xf numFmtId="177" fontId="5" fillId="3" borderId="49" xfId="39" applyNumberFormat="1" applyFont="1" applyFill="1" applyBorder="1" applyAlignment="1" applyProtection="1">
      <alignment/>
      <protection/>
    </xf>
    <xf numFmtId="177" fontId="5" fillId="3" borderId="25" xfId="39" applyNumberFormat="1" applyFont="1" applyFill="1" applyBorder="1" applyAlignment="1" applyProtection="1">
      <alignment/>
      <protection/>
    </xf>
    <xf numFmtId="171" fontId="4" fillId="0" borderId="25" xfId="0" applyNumberFormat="1" applyFont="1" applyFill="1" applyBorder="1" applyAlignment="1" applyProtection="1">
      <alignment horizontal="right"/>
      <protection/>
    </xf>
    <xf numFmtId="0" fontId="0" fillId="0" borderId="17" xfId="0" applyBorder="1" applyAlignment="1">
      <alignment horizontal="right"/>
    </xf>
    <xf numFmtId="0" fontId="4" fillId="0" borderId="32" xfId="0" applyFont="1" applyBorder="1" applyAlignment="1" applyProtection="1">
      <alignment vertical="center" wrapText="1"/>
      <protection/>
    </xf>
    <xf numFmtId="0" fontId="0" fillId="0" borderId="32" xfId="0" applyBorder="1" applyAlignment="1">
      <alignment vertical="center" wrapText="1"/>
    </xf>
    <xf numFmtId="0" fontId="5" fillId="3" borderId="16" xfId="0" applyFont="1" applyFill="1" applyBorder="1" applyAlignment="1" applyProtection="1">
      <alignment horizontal="right" wrapText="1"/>
      <protection hidden="1"/>
    </xf>
    <xf numFmtId="0" fontId="0" fillId="0" borderId="7" xfId="0" applyBorder="1" applyAlignment="1">
      <alignment horizontal="right"/>
    </xf>
    <xf numFmtId="177" fontId="4" fillId="0" borderId="25" xfId="0" applyNumberFormat="1" applyFont="1" applyBorder="1" applyAlignment="1" applyProtection="1">
      <alignment/>
      <protection/>
    </xf>
    <xf numFmtId="177" fontId="4" fillId="0" borderId="17" xfId="0" applyNumberFormat="1" applyFont="1" applyBorder="1" applyAlignment="1">
      <alignment/>
    </xf>
    <xf numFmtId="177" fontId="4" fillId="0" borderId="65" xfId="0" applyNumberFormat="1" applyFont="1" applyBorder="1" applyAlignment="1" applyProtection="1">
      <alignment/>
      <protection/>
    </xf>
    <xf numFmtId="177" fontId="4" fillId="0" borderId="47" xfId="0" applyNumberFormat="1" applyFont="1" applyBorder="1" applyAlignment="1">
      <alignment/>
    </xf>
    <xf numFmtId="3" fontId="4" fillId="0" borderId="17" xfId="36" applyNumberFormat="1" applyFont="1" applyFill="1" applyBorder="1" applyAlignment="1" applyProtection="1">
      <alignment horizontal="right"/>
      <protection locked="0"/>
    </xf>
    <xf numFmtId="10" fontId="5" fillId="0" borderId="25" xfId="36" applyNumberFormat="1" applyFont="1" applyFill="1" applyBorder="1" applyAlignment="1" applyProtection="1">
      <alignment horizontal="right"/>
      <protection/>
    </xf>
    <xf numFmtId="37" fontId="5" fillId="0" borderId="6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3" fontId="4" fillId="0" borderId="13" xfId="36" applyNumberFormat="1" applyFont="1" applyFill="1" applyBorder="1" applyAlignment="1" applyProtection="1">
      <alignment horizontal="right"/>
      <protection locked="0"/>
    </xf>
    <xf numFmtId="37" fontId="5" fillId="3" borderId="50" xfId="0" applyNumberFormat="1" applyFont="1" applyFill="1" applyBorder="1" applyAlignment="1" applyProtection="1">
      <alignment horizontal="left" vertical="center"/>
      <protection hidden="1"/>
    </xf>
    <xf numFmtId="37" fontId="5" fillId="3" borderId="33" xfId="0" applyNumberFormat="1" applyFont="1" applyFill="1" applyBorder="1" applyAlignment="1" applyProtection="1">
      <alignment horizontal="left" vertical="center"/>
      <protection hidden="1"/>
    </xf>
    <xf numFmtId="37" fontId="5" fillId="3" borderId="37" xfId="0" applyNumberFormat="1" applyFont="1" applyFill="1" applyBorder="1" applyAlignment="1" applyProtection="1">
      <alignment horizontal="left" vertical="center"/>
      <protection hidden="1"/>
    </xf>
    <xf numFmtId="37" fontId="5" fillId="3" borderId="21" xfId="0" applyNumberFormat="1" applyFont="1" applyFill="1" applyBorder="1" applyAlignment="1" applyProtection="1">
      <alignment horizontal="center" vertical="center"/>
      <protection hidden="1"/>
    </xf>
    <xf numFmtId="37" fontId="4" fillId="0" borderId="25" xfId="0" applyNumberFormat="1" applyFont="1" applyFill="1" applyBorder="1" applyAlignment="1" applyProtection="1">
      <alignment vertical="center"/>
      <protection hidden="1"/>
    </xf>
    <xf numFmtId="37" fontId="4" fillId="0" borderId="13" xfId="0" applyNumberFormat="1" applyFont="1" applyFill="1" applyBorder="1" applyAlignment="1" applyProtection="1">
      <alignment vertical="center"/>
      <protection hidden="1"/>
    </xf>
    <xf numFmtId="37" fontId="4" fillId="0" borderId="17" xfId="0" applyNumberFormat="1" applyFont="1" applyFill="1" applyBorder="1" applyAlignment="1" applyProtection="1">
      <alignment vertical="center"/>
      <protection hidden="1"/>
    </xf>
    <xf numFmtId="37" fontId="5" fillId="3" borderId="51" xfId="0" applyNumberFormat="1" applyFont="1" applyFill="1" applyBorder="1" applyAlignment="1" applyProtection="1">
      <alignment horizontal="right" vertical="center"/>
      <protection hidden="1"/>
    </xf>
    <xf numFmtId="37" fontId="5" fillId="3" borderId="6" xfId="0" applyNumberFormat="1" applyFont="1" applyFill="1" applyBorder="1" applyAlignment="1" applyProtection="1">
      <alignment horizontal="right" vertical="center"/>
      <protection hidden="1"/>
    </xf>
    <xf numFmtId="37" fontId="5" fillId="3" borderId="22" xfId="0" applyNumberFormat="1" applyFont="1" applyFill="1" applyBorder="1" applyAlignment="1" applyProtection="1">
      <alignment horizontal="right" vertical="center"/>
      <protection hidden="1"/>
    </xf>
    <xf numFmtId="3" fontId="4" fillId="0" borderId="25" xfId="36" applyNumberFormat="1" applyFont="1" applyFill="1" applyBorder="1" applyAlignment="1" applyProtection="1">
      <alignment horizontal="right"/>
      <protection/>
    </xf>
    <xf numFmtId="0" fontId="0" fillId="0" borderId="13" xfId="0" applyBorder="1" applyAlignment="1" applyProtection="1">
      <alignment/>
      <protection/>
    </xf>
    <xf numFmtId="0" fontId="0" fillId="0" borderId="17" xfId="0" applyBorder="1" applyAlignment="1" applyProtection="1">
      <alignment/>
      <protection/>
    </xf>
    <xf numFmtId="37" fontId="5" fillId="0" borderId="26" xfId="0" applyNumberFormat="1" applyFont="1" applyFill="1" applyBorder="1" applyAlignment="1" applyProtection="1">
      <alignment/>
      <protection hidden="1"/>
    </xf>
    <xf numFmtId="177" fontId="5" fillId="3" borderId="24" xfId="39" applyFont="1" applyFill="1" applyBorder="1" applyAlignment="1" applyProtection="1">
      <alignment vertical="center"/>
      <protection/>
    </xf>
    <xf numFmtId="0" fontId="0" fillId="0" borderId="38" xfId="0" applyBorder="1" applyAlignment="1">
      <alignment vertical="center"/>
    </xf>
    <xf numFmtId="37" fontId="4" fillId="0" borderId="49" xfId="0" applyNumberFormat="1" applyFont="1" applyFill="1" applyBorder="1" applyAlignment="1" applyProtection="1">
      <alignment wrapText="1"/>
      <protection hidden="1"/>
    </xf>
    <xf numFmtId="0" fontId="0" fillId="0" borderId="32" xfId="0" applyBorder="1" applyAlignment="1">
      <alignment wrapText="1"/>
    </xf>
    <xf numFmtId="0" fontId="0" fillId="0" borderId="12" xfId="0" applyBorder="1" applyAlignment="1">
      <alignment wrapText="1"/>
    </xf>
    <xf numFmtId="0" fontId="0" fillId="0" borderId="65" xfId="0" applyBorder="1" applyAlignment="1">
      <alignment wrapText="1"/>
    </xf>
    <xf numFmtId="0" fontId="0" fillId="0" borderId="26" xfId="0" applyBorder="1" applyAlignment="1">
      <alignment wrapText="1"/>
    </xf>
    <xf numFmtId="0" fontId="0" fillId="0" borderId="47" xfId="0" applyBorder="1" applyAlignment="1">
      <alignment wrapText="1"/>
    </xf>
    <xf numFmtId="177" fontId="4" fillId="0" borderId="24" xfId="36" applyFont="1" applyFill="1" applyBorder="1" applyAlignment="1" applyProtection="1">
      <alignment vertical="center"/>
      <protection locked="0"/>
    </xf>
    <xf numFmtId="177" fontId="4" fillId="0" borderId="38" xfId="36" applyFont="1" applyFill="1" applyBorder="1" applyAlignment="1" applyProtection="1">
      <alignment vertical="center"/>
      <protection locked="0"/>
    </xf>
    <xf numFmtId="177" fontId="5" fillId="3" borderId="23" xfId="39" applyFont="1" applyFill="1" applyBorder="1" applyAlignment="1" applyProtection="1">
      <alignment horizontal="right"/>
      <protection/>
    </xf>
    <xf numFmtId="3" fontId="4" fillId="0" borderId="49" xfId="36" applyNumberFormat="1" applyFont="1" applyFill="1" applyBorder="1" applyAlignment="1" applyProtection="1">
      <alignment horizontal="right"/>
      <protection locked="0"/>
    </xf>
    <xf numFmtId="3" fontId="4" fillId="0" borderId="32" xfId="36" applyNumberFormat="1" applyFont="1" applyFill="1" applyBorder="1" applyAlignment="1" applyProtection="1">
      <alignment horizontal="right"/>
      <protection locked="0"/>
    </xf>
    <xf numFmtId="3" fontId="4" fillId="0" borderId="12" xfId="36" applyNumberFormat="1" applyFont="1" applyFill="1" applyBorder="1" applyAlignment="1" applyProtection="1">
      <alignment horizontal="right"/>
      <protection locked="0"/>
    </xf>
    <xf numFmtId="3" fontId="4" fillId="0" borderId="52" xfId="36" applyNumberFormat="1" applyFont="1" applyFill="1" applyBorder="1" applyAlignment="1" applyProtection="1">
      <alignment horizontal="right"/>
      <protection locked="0"/>
    </xf>
    <xf numFmtId="3" fontId="4" fillId="0" borderId="0" xfId="36" applyNumberFormat="1" applyFont="1" applyFill="1" applyBorder="1" applyAlignment="1" applyProtection="1">
      <alignment horizontal="right"/>
      <protection locked="0"/>
    </xf>
    <xf numFmtId="3" fontId="4" fillId="0" borderId="31" xfId="36" applyNumberFormat="1" applyFont="1" applyFill="1" applyBorder="1" applyAlignment="1" applyProtection="1">
      <alignment horizontal="right"/>
      <protection locked="0"/>
    </xf>
    <xf numFmtId="37" fontId="5" fillId="3" borderId="16" xfId="0" applyNumberFormat="1" applyFont="1" applyFill="1" applyBorder="1" applyAlignment="1" applyProtection="1">
      <alignment horizontal="center" vertical="center" wrapText="1"/>
      <protection hidden="1"/>
    </xf>
    <xf numFmtId="37" fontId="5" fillId="3" borderId="7" xfId="0" applyNumberFormat="1" applyFont="1" applyFill="1" applyBorder="1" applyAlignment="1" applyProtection="1">
      <alignment horizontal="center" vertical="center" wrapText="1"/>
      <protection hidden="1"/>
    </xf>
    <xf numFmtId="0" fontId="5" fillId="3" borderId="16"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4" fillId="3" borderId="5" xfId="0" applyFont="1" applyFill="1" applyBorder="1" applyAlignment="1" applyProtection="1">
      <alignment horizontal="center" vertical="center" wrapText="1"/>
      <protection hidden="1"/>
    </xf>
    <xf numFmtId="0" fontId="4" fillId="3" borderId="7" xfId="0" applyFont="1" applyFill="1" applyBorder="1" applyAlignment="1" applyProtection="1">
      <alignment horizontal="center" vertical="center" wrapText="1"/>
      <protection hidden="1"/>
    </xf>
    <xf numFmtId="176" fontId="5" fillId="3" borderId="25" xfId="39" applyNumberFormat="1" applyFont="1" applyBorder="1" applyAlignment="1" applyProtection="1">
      <alignment/>
      <protection/>
    </xf>
    <xf numFmtId="0" fontId="0" fillId="0" borderId="13" xfId="0" applyBorder="1" applyAlignment="1">
      <alignment/>
    </xf>
    <xf numFmtId="171" fontId="4" fillId="0" borderId="25" xfId="0" applyNumberFormat="1" applyFont="1" applyBorder="1" applyAlignment="1" applyProtection="1">
      <alignment/>
      <protection/>
    </xf>
    <xf numFmtId="171" fontId="0" fillId="0" borderId="13" xfId="0" applyNumberFormat="1" applyBorder="1" applyAlignment="1">
      <alignment/>
    </xf>
    <xf numFmtId="171" fontId="0" fillId="0" borderId="17" xfId="0" applyNumberFormat="1" applyBorder="1" applyAlignment="1">
      <alignment/>
    </xf>
    <xf numFmtId="176" fontId="5" fillId="3" borderId="13" xfId="39" applyNumberFormat="1" applyFont="1" applyBorder="1" applyAlignment="1" applyProtection="1">
      <alignment/>
      <protection/>
    </xf>
    <xf numFmtId="176" fontId="5" fillId="3" borderId="17" xfId="39" applyNumberFormat="1" applyFont="1" applyBorder="1" applyAlignment="1" applyProtection="1">
      <alignment/>
      <protection/>
    </xf>
    <xf numFmtId="37" fontId="5" fillId="3" borderId="16" xfId="0" applyNumberFormat="1" applyFont="1" applyFill="1" applyBorder="1" applyAlignment="1" applyProtection="1">
      <alignment horizontal="left" vertical="center" wrapText="1"/>
      <protection hidden="1"/>
    </xf>
    <xf numFmtId="37" fontId="5" fillId="3" borderId="5" xfId="0" applyNumberFormat="1" applyFont="1" applyFill="1" applyBorder="1" applyAlignment="1" applyProtection="1">
      <alignment horizontal="left" vertical="center" wrapText="1"/>
      <protection hidden="1"/>
    </xf>
    <xf numFmtId="0" fontId="0" fillId="0" borderId="5" xfId="0" applyBorder="1" applyAlignment="1">
      <alignment/>
    </xf>
    <xf numFmtId="0" fontId="0" fillId="0" borderId="7" xfId="0" applyBorder="1" applyAlignment="1">
      <alignment/>
    </xf>
    <xf numFmtId="0" fontId="5" fillId="3" borderId="50" xfId="0" applyNumberFormat="1" applyFont="1" applyFill="1" applyBorder="1" applyAlignment="1" applyProtection="1">
      <alignment horizontal="center"/>
      <protection/>
    </xf>
    <xf numFmtId="0" fontId="0" fillId="0" borderId="33" xfId="0" applyBorder="1" applyAlignment="1">
      <alignment horizontal="center"/>
    </xf>
    <xf numFmtId="0" fontId="0" fillId="0" borderId="37" xfId="0" applyBorder="1" applyAlignment="1">
      <alignment horizontal="center"/>
    </xf>
    <xf numFmtId="0" fontId="5" fillId="3" borderId="51" xfId="0" applyNumberFormat="1" applyFont="1" applyFill="1" applyBorder="1" applyAlignment="1" applyProtection="1">
      <alignment/>
      <protection/>
    </xf>
    <xf numFmtId="0" fontId="0" fillId="0" borderId="6" xfId="0" applyBorder="1" applyAlignment="1">
      <alignment/>
    </xf>
    <xf numFmtId="0" fontId="0" fillId="0" borderId="22" xfId="0" applyBorder="1" applyAlignment="1">
      <alignment/>
    </xf>
    <xf numFmtId="171" fontId="4" fillId="0" borderId="25" xfId="0" applyNumberFormat="1" applyFont="1" applyFill="1" applyBorder="1" applyAlignment="1" applyProtection="1">
      <alignment horizontal="right"/>
      <protection locked="0"/>
    </xf>
    <xf numFmtId="171" fontId="4" fillId="0" borderId="17" xfId="0" applyNumberFormat="1" applyFont="1" applyFill="1" applyBorder="1" applyAlignment="1" applyProtection="1">
      <alignment horizontal="right"/>
      <protection locked="0"/>
    </xf>
    <xf numFmtId="49" fontId="4" fillId="0" borderId="25" xfId="0" applyNumberFormat="1" applyFont="1" applyFill="1" applyBorder="1" applyAlignment="1" applyProtection="1">
      <alignment wrapText="1"/>
      <protection locked="0"/>
    </xf>
    <xf numFmtId="0" fontId="4" fillId="0" borderId="13" xfId="0" applyFont="1" applyBorder="1" applyAlignment="1" applyProtection="1">
      <alignment wrapText="1"/>
      <protection locked="0"/>
    </xf>
    <xf numFmtId="49" fontId="4" fillId="0" borderId="69" xfId="0" applyNumberFormat="1" applyFont="1" applyFill="1" applyBorder="1" applyAlignment="1" applyProtection="1">
      <alignment wrapText="1"/>
      <protection locked="0"/>
    </xf>
    <xf numFmtId="0" fontId="4" fillId="0" borderId="48" xfId="0" applyFont="1" applyBorder="1" applyAlignment="1" applyProtection="1">
      <alignment wrapText="1"/>
      <protection locked="0"/>
    </xf>
    <xf numFmtId="0" fontId="5" fillId="3" borderId="16" xfId="0" applyFont="1" applyFill="1" applyBorder="1" applyAlignment="1" applyProtection="1">
      <alignment horizontal="left" vertical="center" wrapText="1"/>
      <protection hidden="1"/>
    </xf>
    <xf numFmtId="0" fontId="5" fillId="3" borderId="5" xfId="0" applyFont="1" applyFill="1" applyBorder="1" applyAlignment="1" applyProtection="1">
      <alignment horizontal="left" vertical="center" wrapText="1"/>
      <protection hidden="1"/>
    </xf>
    <xf numFmtId="0" fontId="5" fillId="3" borderId="7" xfId="0" applyFont="1" applyFill="1" applyBorder="1" applyAlignment="1" applyProtection="1">
      <alignment horizontal="left" vertical="center" wrapText="1"/>
      <protection hidden="1"/>
    </xf>
    <xf numFmtId="49" fontId="5" fillId="0" borderId="48" xfId="0" applyNumberFormat="1" applyFont="1" applyFill="1" applyBorder="1" applyAlignment="1" applyProtection="1">
      <alignment wrapText="1"/>
      <protection locked="0"/>
    </xf>
    <xf numFmtId="0" fontId="5" fillId="0" borderId="48" xfId="0" applyFont="1" applyBorder="1" applyAlignment="1" applyProtection="1">
      <alignment wrapText="1"/>
      <protection locked="0"/>
    </xf>
    <xf numFmtId="171" fontId="4" fillId="0" borderId="69" xfId="0" applyNumberFormat="1" applyFont="1" applyFill="1" applyBorder="1" applyAlignment="1" applyProtection="1">
      <alignment horizontal="right"/>
      <protection locked="0"/>
    </xf>
    <xf numFmtId="171" fontId="4" fillId="0" borderId="39" xfId="0" applyNumberFormat="1" applyFont="1" applyFill="1" applyBorder="1" applyAlignment="1" applyProtection="1">
      <alignment horizontal="right"/>
      <protection locked="0"/>
    </xf>
    <xf numFmtId="171" fontId="4" fillId="0" borderId="25" xfId="0" applyNumberFormat="1" applyFont="1" applyFill="1" applyBorder="1" applyAlignment="1" applyProtection="1">
      <alignment/>
      <protection locked="0"/>
    </xf>
    <xf numFmtId="0" fontId="5" fillId="3" borderId="50" xfId="0" applyFont="1" applyFill="1" applyBorder="1" applyAlignment="1" applyProtection="1">
      <alignment horizontal="center"/>
      <protection hidden="1"/>
    </xf>
    <xf numFmtId="0" fontId="0" fillId="0" borderId="33" xfId="0" applyBorder="1" applyAlignment="1">
      <alignment/>
    </xf>
    <xf numFmtId="14" fontId="5" fillId="3" borderId="51" xfId="0" applyNumberFormat="1" applyFont="1" applyFill="1" applyBorder="1" applyAlignment="1" applyProtection="1">
      <alignment horizontal="center"/>
      <protection hidden="1"/>
    </xf>
    <xf numFmtId="198" fontId="4" fillId="0" borderId="69" xfId="0" applyNumberFormat="1" applyFont="1" applyBorder="1" applyAlignment="1" applyProtection="1">
      <alignment/>
      <protection locked="0"/>
    </xf>
    <xf numFmtId="0" fontId="0" fillId="0" borderId="48" xfId="0" applyBorder="1" applyAlignment="1">
      <alignment/>
    </xf>
    <xf numFmtId="198" fontId="4" fillId="0" borderId="25" xfId="0" applyNumberFormat="1" applyFont="1" applyBorder="1" applyAlignment="1" applyProtection="1">
      <alignment/>
      <protection locked="0"/>
    </xf>
    <xf numFmtId="176" fontId="4" fillId="0" borderId="25" xfId="36" applyNumberFormat="1" applyFont="1" applyFill="1" applyBorder="1" applyAlignment="1" applyProtection="1">
      <alignment/>
      <protection locked="0"/>
    </xf>
    <xf numFmtId="176" fontId="4" fillId="0" borderId="17" xfId="36" applyNumberFormat="1" applyFont="1" applyFill="1" applyBorder="1" applyAlignment="1" applyProtection="1">
      <alignment/>
      <protection locked="0"/>
    </xf>
    <xf numFmtId="0" fontId="5" fillId="3" borderId="50" xfId="0" applyFont="1" applyFill="1" applyBorder="1" applyAlignment="1" applyProtection="1">
      <alignment horizontal="center" vertical="center"/>
      <protection hidden="1"/>
    </xf>
    <xf numFmtId="0" fontId="0" fillId="3" borderId="37" xfId="0" applyFill="1" applyBorder="1" applyAlignment="1">
      <alignment/>
    </xf>
    <xf numFmtId="0" fontId="0" fillId="3" borderId="68" xfId="0" applyFill="1" applyBorder="1" applyAlignment="1">
      <alignment/>
    </xf>
    <xf numFmtId="0" fontId="0" fillId="3" borderId="34" xfId="0" applyFill="1" applyBorder="1" applyAlignment="1">
      <alignment/>
    </xf>
    <xf numFmtId="176" fontId="4" fillId="0" borderId="69" xfId="36" applyNumberFormat="1" applyFont="1" applyFill="1" applyBorder="1" applyAlignment="1" applyProtection="1">
      <alignment/>
      <protection locked="0"/>
    </xf>
    <xf numFmtId="176" fontId="4" fillId="0" borderId="39" xfId="36" applyNumberFormat="1" applyFont="1" applyFill="1" applyBorder="1" applyAlignment="1" applyProtection="1">
      <alignment/>
      <protection locked="0"/>
    </xf>
    <xf numFmtId="0" fontId="0" fillId="0" borderId="37" xfId="0" applyBorder="1" applyAlignment="1">
      <alignment horizontal="center" vertical="center"/>
    </xf>
    <xf numFmtId="0" fontId="5" fillId="3" borderId="16" xfId="0" applyFont="1" applyFill="1" applyBorder="1" applyAlignment="1" applyProtection="1">
      <alignment vertical="center" wrapText="1"/>
      <protection/>
    </xf>
    <xf numFmtId="0" fontId="0" fillId="0" borderId="7" xfId="0" applyBorder="1" applyAlignment="1">
      <alignment vertical="center" wrapText="1"/>
    </xf>
    <xf numFmtId="0" fontId="5" fillId="3" borderId="16" xfId="0" applyFont="1" applyFill="1" applyBorder="1" applyAlignment="1" applyProtection="1">
      <alignment horizontal="left" vertical="center"/>
      <protection hidden="1"/>
    </xf>
    <xf numFmtId="0" fontId="5" fillId="3" borderId="7" xfId="0" applyFont="1" applyFill="1" applyBorder="1" applyAlignment="1" applyProtection="1">
      <alignment horizontal="left" vertical="center"/>
      <protection hidden="1"/>
    </xf>
    <xf numFmtId="171" fontId="4" fillId="0" borderId="69" xfId="0" applyNumberFormat="1" applyFont="1" applyFill="1" applyBorder="1" applyAlignment="1" applyProtection="1">
      <alignment/>
      <protection locked="0"/>
    </xf>
    <xf numFmtId="0" fontId="0" fillId="0" borderId="39" xfId="0" applyBorder="1" applyAlignment="1">
      <alignment/>
    </xf>
    <xf numFmtId="49" fontId="5" fillId="0" borderId="25" xfId="0" applyNumberFormat="1" applyFont="1" applyFill="1" applyBorder="1" applyAlignment="1" applyProtection="1">
      <alignment horizontal="left" wrapText="1"/>
      <protection locked="0"/>
    </xf>
    <xf numFmtId="49" fontId="5" fillId="0" borderId="13" xfId="0" applyNumberFormat="1" applyFont="1" applyFill="1" applyBorder="1" applyAlignment="1" applyProtection="1">
      <alignment horizontal="left" wrapText="1"/>
      <protection locked="0"/>
    </xf>
    <xf numFmtId="49" fontId="5" fillId="0" borderId="17" xfId="0" applyNumberFormat="1" applyFont="1" applyFill="1" applyBorder="1" applyAlignment="1" applyProtection="1">
      <alignment horizontal="left" wrapText="1"/>
      <protection locked="0"/>
    </xf>
    <xf numFmtId="0" fontId="5" fillId="3" borderId="16" xfId="0" applyFont="1" applyFill="1" applyBorder="1" applyAlignment="1" applyProtection="1">
      <alignment vertical="center" wrapText="1"/>
      <protection hidden="1"/>
    </xf>
    <xf numFmtId="0" fontId="4" fillId="0" borderId="7" xfId="0" applyFont="1" applyBorder="1" applyAlignment="1" applyProtection="1">
      <alignment/>
      <protection hidden="1"/>
    </xf>
    <xf numFmtId="171" fontId="4" fillId="0" borderId="40" xfId="0" applyNumberFormat="1" applyFont="1" applyFill="1" applyBorder="1" applyAlignment="1" applyProtection="1">
      <alignment horizontal="right"/>
      <protection locked="0"/>
    </xf>
    <xf numFmtId="171" fontId="4" fillId="0" borderId="19" xfId="0" applyNumberFormat="1" applyFont="1" applyFill="1" applyBorder="1" applyAlignment="1" applyProtection="1">
      <alignment horizontal="right"/>
      <protection locked="0"/>
    </xf>
    <xf numFmtId="49" fontId="5" fillId="0" borderId="32" xfId="0" applyNumberFormat="1" applyFont="1" applyFill="1" applyBorder="1" applyAlignment="1" applyProtection="1">
      <alignment wrapText="1"/>
      <protection locked="0"/>
    </xf>
    <xf numFmtId="0" fontId="5" fillId="0" borderId="18" xfId="0" applyFont="1" applyBorder="1" applyAlignment="1" applyProtection="1">
      <alignment wrapText="1"/>
      <protection locked="0"/>
    </xf>
    <xf numFmtId="0" fontId="5" fillId="3" borderId="16" xfId="0" applyFont="1" applyFill="1" applyBorder="1" applyAlignment="1" applyProtection="1">
      <alignment horizontal="left" vertical="center" wrapText="1"/>
      <protection/>
    </xf>
    <xf numFmtId="0" fontId="4" fillId="0" borderId="7" xfId="0" applyFont="1" applyBorder="1" applyAlignment="1" applyProtection="1">
      <alignment horizontal="left"/>
      <protection/>
    </xf>
    <xf numFmtId="0" fontId="5" fillId="3" borderId="16"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49" fontId="4" fillId="0" borderId="25" xfId="0" applyNumberFormat="1" applyFont="1" applyFill="1" applyBorder="1" applyAlignment="1" applyProtection="1">
      <alignment/>
      <protection locked="0"/>
    </xf>
    <xf numFmtId="0" fontId="4" fillId="0" borderId="7" xfId="0" applyFont="1" applyBorder="1" applyAlignment="1" applyProtection="1">
      <alignment/>
      <protection/>
    </xf>
    <xf numFmtId="176" fontId="5" fillId="3" borderId="25" xfId="39" applyNumberFormat="1" applyFont="1" applyFill="1" applyBorder="1" applyAlignment="1" applyProtection="1">
      <alignment/>
      <protection/>
    </xf>
    <xf numFmtId="0" fontId="0" fillId="3" borderId="17" xfId="0" applyFill="1" applyBorder="1" applyAlignment="1">
      <alignment/>
    </xf>
    <xf numFmtId="0" fontId="0" fillId="0" borderId="37" xfId="0" applyBorder="1" applyAlignment="1">
      <alignment/>
    </xf>
    <xf numFmtId="49" fontId="4" fillId="0" borderId="78" xfId="0" applyNumberFormat="1" applyFont="1" applyFill="1" applyBorder="1" applyAlignment="1" applyProtection="1">
      <alignment/>
      <protection locked="0"/>
    </xf>
    <xf numFmtId="0" fontId="0" fillId="0" borderId="70" xfId="0" applyBorder="1" applyAlignment="1">
      <alignment/>
    </xf>
    <xf numFmtId="37" fontId="5" fillId="3" borderId="50" xfId="0" applyNumberFormat="1" applyFont="1" applyFill="1" applyBorder="1" applyAlignment="1" applyProtection="1">
      <alignment horizontal="center" vertical="center" wrapText="1"/>
      <protection hidden="1"/>
    </xf>
    <xf numFmtId="37" fontId="5" fillId="3" borderId="33" xfId="0" applyNumberFormat="1" applyFont="1" applyFill="1" applyBorder="1" applyAlignment="1" applyProtection="1">
      <alignment horizontal="center" vertical="center" wrapText="1"/>
      <protection hidden="1"/>
    </xf>
    <xf numFmtId="37" fontId="5" fillId="3" borderId="37" xfId="0" applyNumberFormat="1" applyFont="1" applyFill="1" applyBorder="1" applyAlignment="1" applyProtection="1">
      <alignment horizontal="center" vertical="center" wrapText="1"/>
      <protection hidden="1"/>
    </xf>
    <xf numFmtId="191" fontId="5" fillId="3" borderId="16" xfId="0" applyNumberFormat="1" applyFont="1" applyFill="1" applyBorder="1" applyAlignment="1" applyProtection="1">
      <alignment horizontal="center" vertical="center" wrapText="1"/>
      <protection hidden="1"/>
    </xf>
    <xf numFmtId="191" fontId="5" fillId="3" borderId="5" xfId="0" applyNumberFormat="1" applyFont="1" applyFill="1" applyBorder="1" applyAlignment="1" applyProtection="1">
      <alignment horizontal="center" vertical="center" wrapText="1"/>
      <protection hidden="1"/>
    </xf>
    <xf numFmtId="191" fontId="5" fillId="3" borderId="7" xfId="0" applyNumberFormat="1" applyFont="1" applyFill="1" applyBorder="1" applyAlignment="1" applyProtection="1">
      <alignment horizontal="center" vertical="center" wrapText="1"/>
      <protection hidden="1"/>
    </xf>
    <xf numFmtId="0" fontId="5" fillId="3" borderId="21" xfId="0" applyFont="1" applyFill="1" applyBorder="1" applyAlignment="1" applyProtection="1">
      <alignment horizontal="center" wrapText="1"/>
      <protection/>
    </xf>
    <xf numFmtId="0" fontId="0" fillId="0" borderId="14" xfId="0" applyBorder="1" applyAlignment="1">
      <alignment horizontal="center" wrapText="1"/>
    </xf>
    <xf numFmtId="3" fontId="4" fillId="0" borderId="25" xfId="36" applyNumberFormat="1" applyFont="1" applyFill="1" applyBorder="1" applyAlignment="1" applyProtection="1">
      <alignment/>
      <protection locked="0"/>
    </xf>
    <xf numFmtId="3" fontId="4" fillId="0" borderId="13" xfId="36" applyNumberFormat="1" applyFont="1" applyFill="1" applyBorder="1" applyAlignment="1" applyProtection="1">
      <alignment/>
      <protection locked="0"/>
    </xf>
    <xf numFmtId="0" fontId="0" fillId="0" borderId="13" xfId="0" applyBorder="1" applyAlignment="1" applyProtection="1">
      <alignment/>
      <protection locked="0"/>
    </xf>
    <xf numFmtId="0" fontId="0" fillId="0" borderId="17" xfId="0" applyBorder="1" applyAlignment="1" applyProtection="1">
      <alignment/>
      <protection locked="0"/>
    </xf>
    <xf numFmtId="3" fontId="4" fillId="0" borderId="49" xfId="36" applyNumberFormat="1" applyFont="1" applyFill="1" applyBorder="1" applyAlignment="1" applyProtection="1">
      <alignment/>
      <protection locked="0"/>
    </xf>
    <xf numFmtId="3" fontId="4" fillId="0" borderId="32" xfId="36" applyNumberFormat="1" applyFont="1" applyFill="1" applyBorder="1" applyAlignment="1" applyProtection="1">
      <alignment/>
      <protection locked="0"/>
    </xf>
    <xf numFmtId="0" fontId="0" fillId="0" borderId="32" xfId="0" applyBorder="1" applyAlignment="1" applyProtection="1">
      <alignment/>
      <protection locked="0"/>
    </xf>
    <xf numFmtId="0" fontId="0" fillId="0" borderId="12" xfId="0" applyBorder="1" applyAlignment="1" applyProtection="1">
      <alignment/>
      <protection locked="0"/>
    </xf>
    <xf numFmtId="37" fontId="5" fillId="3" borderId="25" xfId="0" applyNumberFormat="1" applyFont="1" applyFill="1" applyBorder="1" applyAlignment="1" applyProtection="1">
      <alignment/>
      <protection hidden="1"/>
    </xf>
    <xf numFmtId="171" fontId="5" fillId="3" borderId="13" xfId="39" applyNumberFormat="1" applyFont="1" applyBorder="1" applyAlignment="1" applyProtection="1">
      <alignment/>
      <protection/>
    </xf>
    <xf numFmtId="3" fontId="4" fillId="0" borderId="65" xfId="36" applyNumberFormat="1" applyFont="1" applyFill="1" applyBorder="1" applyAlignment="1" applyProtection="1">
      <alignment/>
      <protection locked="0"/>
    </xf>
    <xf numFmtId="3" fontId="4" fillId="0" borderId="26" xfId="36" applyNumberFormat="1" applyFont="1" applyFill="1" applyBorder="1" applyAlignment="1" applyProtection="1">
      <alignment/>
      <protection locked="0"/>
    </xf>
    <xf numFmtId="0" fontId="0" fillId="0" borderId="26" xfId="0" applyBorder="1" applyAlignment="1" applyProtection="1">
      <alignment/>
      <protection locked="0"/>
    </xf>
    <xf numFmtId="0" fontId="0" fillId="0" borderId="47" xfId="0" applyBorder="1" applyAlignment="1" applyProtection="1">
      <alignment/>
      <protection locked="0"/>
    </xf>
    <xf numFmtId="0" fontId="0" fillId="3" borderId="5" xfId="0" applyFill="1" applyBorder="1" applyAlignment="1">
      <alignment vertical="center"/>
    </xf>
    <xf numFmtId="0" fontId="0" fillId="3" borderId="5" xfId="0" applyFill="1" applyBorder="1" applyAlignment="1">
      <alignment/>
    </xf>
    <xf numFmtId="37" fontId="5" fillId="3" borderId="5" xfId="0" applyNumberFormat="1" applyFont="1" applyFill="1" applyBorder="1" applyAlignment="1" applyProtection="1">
      <alignment horizontal="center" vertical="center"/>
      <protection hidden="1"/>
    </xf>
    <xf numFmtId="0" fontId="5" fillId="3" borderId="16" xfId="0" applyFont="1" applyFill="1" applyBorder="1" applyAlignment="1" applyProtection="1">
      <alignment horizontal="center" vertical="center"/>
      <protection hidden="1"/>
    </xf>
    <xf numFmtId="177" fontId="5" fillId="3" borderId="5" xfId="39" applyFont="1" applyFill="1" applyBorder="1" applyAlignment="1" applyProtection="1">
      <alignment horizontal="center" vertical="center"/>
      <protection/>
    </xf>
    <xf numFmtId="0" fontId="0" fillId="3" borderId="7" xfId="0" applyFill="1" applyBorder="1" applyAlignment="1">
      <alignment/>
    </xf>
    <xf numFmtId="0" fontId="0" fillId="0" borderId="7" xfId="0" applyBorder="1" applyAlignment="1">
      <alignment horizontal="center" vertical="center"/>
    </xf>
    <xf numFmtId="182" fontId="4" fillId="0" borderId="25" xfId="0" applyNumberFormat="1" applyFont="1" applyFill="1" applyBorder="1" applyAlignment="1" applyProtection="1">
      <alignment horizontal="left"/>
      <protection locked="0"/>
    </xf>
    <xf numFmtId="0" fontId="0" fillId="0" borderId="17" xfId="0" applyBorder="1" applyAlignment="1">
      <alignment horizontal="left"/>
    </xf>
    <xf numFmtId="0" fontId="4" fillId="0" borderId="33" xfId="0" applyFont="1" applyBorder="1" applyAlignment="1" applyProtection="1">
      <alignment horizontal="center" vertical="center" wrapText="1"/>
      <protection hidden="1"/>
    </xf>
    <xf numFmtId="0" fontId="0" fillId="0" borderId="33" xfId="0" applyBorder="1" applyAlignment="1">
      <alignment vertical="center"/>
    </xf>
    <xf numFmtId="0" fontId="0" fillId="0" borderId="5" xfId="0" applyBorder="1" applyAlignment="1">
      <alignment vertical="center"/>
    </xf>
    <xf numFmtId="188" fontId="4" fillId="0" borderId="25" xfId="36" applyNumberFormat="1" applyFill="1" applyBorder="1" applyAlignment="1" applyProtection="1">
      <alignment/>
      <protection locked="0"/>
    </xf>
    <xf numFmtId="3" fontId="4" fillId="0" borderId="17" xfId="36" applyNumberFormat="1" applyFont="1" applyFill="1" applyBorder="1" applyAlignment="1" applyProtection="1">
      <alignment/>
      <protection locked="0"/>
    </xf>
    <xf numFmtId="171" fontId="5" fillId="3" borderId="25" xfId="39" applyNumberFormat="1" applyFont="1" applyBorder="1" applyAlignment="1" applyProtection="1">
      <alignment/>
      <protection/>
    </xf>
    <xf numFmtId="0" fontId="5" fillId="3" borderId="25" xfId="32" applyFont="1" applyFill="1" applyBorder="1" applyAlignment="1" applyProtection="1">
      <alignment/>
      <protection hidden="1"/>
    </xf>
    <xf numFmtId="188" fontId="5" fillId="3" borderId="25" xfId="39" applyNumberFormat="1" applyBorder="1" applyAlignment="1" applyProtection="1">
      <alignment/>
      <protection/>
    </xf>
    <xf numFmtId="37" fontId="5" fillId="3" borderId="50" xfId="0" applyNumberFormat="1" applyFont="1" applyFill="1" applyBorder="1" applyAlignment="1" applyProtection="1">
      <alignment horizontal="center" vertical="center"/>
      <protection hidden="1"/>
    </xf>
    <xf numFmtId="177" fontId="5" fillId="3" borderId="51" xfId="39" applyFont="1" applyFill="1" applyBorder="1" applyAlignment="1" applyProtection="1">
      <alignment horizontal="center" vertical="center"/>
      <protection/>
    </xf>
    <xf numFmtId="0" fontId="5" fillId="3" borderId="50" xfId="0" applyFont="1" applyFill="1" applyBorder="1" applyAlignment="1" applyProtection="1">
      <alignment horizontal="center"/>
      <protection/>
    </xf>
    <xf numFmtId="188" fontId="4" fillId="0" borderId="65" xfId="36" applyNumberFormat="1" applyFill="1" applyBorder="1" applyAlignment="1" applyProtection="1">
      <alignment/>
      <protection locked="0"/>
    </xf>
    <xf numFmtId="188" fontId="4" fillId="0" borderId="17" xfId="36" applyNumberFormat="1" applyFill="1" applyBorder="1" applyAlignment="1" applyProtection="1">
      <alignment/>
      <protection locked="0"/>
    </xf>
    <xf numFmtId="37" fontId="35" fillId="8" borderId="0" xfId="0" applyNumberFormat="1" applyFont="1" applyFill="1" applyBorder="1" applyAlignment="1" applyProtection="1">
      <alignment vertical="top" wrapText="1"/>
      <protection hidden="1"/>
    </xf>
    <xf numFmtId="0" fontId="0" fillId="0" borderId="0" xfId="0" applyAlignment="1">
      <alignment vertical="top" wrapText="1"/>
    </xf>
    <xf numFmtId="49" fontId="5" fillId="3" borderId="16" xfId="0" applyNumberFormat="1" applyFont="1" applyFill="1" applyBorder="1" applyAlignment="1" applyProtection="1">
      <alignment horizontal="center" vertical="center"/>
      <protection hidden="1"/>
    </xf>
    <xf numFmtId="49" fontId="5" fillId="3" borderId="5" xfId="0" applyNumberFormat="1" applyFont="1" applyFill="1" applyBorder="1" applyAlignment="1" applyProtection="1">
      <alignment horizontal="center" vertical="center"/>
      <protection hidden="1"/>
    </xf>
    <xf numFmtId="0" fontId="4" fillId="3" borderId="37" xfId="0" applyFont="1" applyFill="1" applyBorder="1" applyAlignment="1" applyProtection="1">
      <alignment horizontal="center" vertical="center" wrapText="1"/>
      <protection hidden="1"/>
    </xf>
    <xf numFmtId="37" fontId="5" fillId="3" borderId="33" xfId="0" applyNumberFormat="1" applyFont="1" applyFill="1" applyBorder="1" applyAlignment="1" applyProtection="1">
      <alignment horizontal="center" vertical="center"/>
      <protection hidden="1"/>
    </xf>
    <xf numFmtId="37" fontId="5" fillId="3" borderId="37" xfId="0" applyNumberFormat="1" applyFont="1" applyFill="1" applyBorder="1" applyAlignment="1" applyProtection="1">
      <alignment horizontal="center" vertical="center"/>
      <protection hidden="1"/>
    </xf>
    <xf numFmtId="37" fontId="5" fillId="3" borderId="68" xfId="0" applyNumberFormat="1" applyFont="1" applyFill="1" applyBorder="1" applyAlignment="1" applyProtection="1">
      <alignment horizontal="center" vertical="center"/>
      <protection hidden="1"/>
    </xf>
    <xf numFmtId="37" fontId="5" fillId="3" borderId="0" xfId="0" applyNumberFormat="1" applyFont="1" applyFill="1" applyBorder="1" applyAlignment="1" applyProtection="1">
      <alignment horizontal="center" vertical="center"/>
      <protection hidden="1"/>
    </xf>
    <xf numFmtId="37" fontId="5" fillId="3" borderId="34" xfId="0" applyNumberFormat="1" applyFont="1" applyFill="1" applyBorder="1" applyAlignment="1" applyProtection="1">
      <alignment horizontal="center" vertical="center"/>
      <protection hidden="1"/>
    </xf>
    <xf numFmtId="37" fontId="5" fillId="3" borderId="21" xfId="0" applyNumberFormat="1" applyFont="1" applyFill="1" applyBorder="1" applyAlignment="1" applyProtection="1">
      <alignment horizontal="center" vertical="center" wrapText="1"/>
      <protection hidden="1"/>
    </xf>
    <xf numFmtId="0" fontId="0" fillId="0" borderId="2" xfId="0" applyBorder="1" applyAlignment="1">
      <alignment horizontal="center" vertical="center" wrapText="1"/>
    </xf>
    <xf numFmtId="0" fontId="0" fillId="0" borderId="14" xfId="0" applyBorder="1" applyAlignment="1">
      <alignment horizontal="center" vertical="center" wrapText="1"/>
    </xf>
    <xf numFmtId="177" fontId="2" fillId="0" borderId="26" xfId="36" applyFont="1" applyFill="1" applyBorder="1" applyAlignment="1" applyProtection="1">
      <alignment horizontal="right"/>
      <protection/>
    </xf>
    <xf numFmtId="3" fontId="3" fillId="3" borderId="16" xfId="0" applyNumberFormat="1" applyFont="1" applyFill="1" applyBorder="1" applyAlignment="1" applyProtection="1">
      <alignment horizontal="center" vertical="center" wrapText="1"/>
      <protection hidden="1"/>
    </xf>
    <xf numFmtId="3" fontId="3" fillId="3" borderId="5" xfId="0" applyNumberFormat="1" applyFont="1" applyFill="1" applyBorder="1" applyAlignment="1" applyProtection="1">
      <alignment horizontal="center" vertical="center" wrapText="1"/>
      <protection hidden="1"/>
    </xf>
    <xf numFmtId="3" fontId="3" fillId="3" borderId="7" xfId="0" applyNumberFormat="1" applyFont="1" applyFill="1"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0" fontId="2" fillId="3" borderId="7" xfId="0" applyFont="1" applyFill="1" applyBorder="1" applyAlignment="1" applyProtection="1">
      <alignment horizontal="center" vertical="center" wrapText="1"/>
      <protection hidden="1"/>
    </xf>
    <xf numFmtId="0" fontId="2" fillId="3" borderId="6" xfId="0" applyFont="1" applyFill="1" applyBorder="1" applyAlignment="1" applyProtection="1">
      <alignment horizontal="center"/>
      <protection hidden="1"/>
    </xf>
    <xf numFmtId="0" fontId="2" fillId="3" borderId="6" xfId="0" applyFont="1" applyFill="1" applyBorder="1" applyAlignment="1" applyProtection="1">
      <alignment/>
      <protection hidden="1"/>
    </xf>
    <xf numFmtId="0" fontId="2" fillId="0" borderId="0" xfId="0" applyNumberFormat="1" applyFont="1" applyBorder="1" applyAlignment="1" applyProtection="1">
      <alignment horizontal="justify" vertical="top" wrapText="1"/>
      <protection/>
    </xf>
    <xf numFmtId="177" fontId="2" fillId="0" borderId="26" xfId="36" applyFont="1" applyFill="1" applyBorder="1" applyAlignment="1" applyProtection="1">
      <alignment/>
      <protection/>
    </xf>
    <xf numFmtId="0" fontId="5" fillId="3" borderId="24" xfId="32" applyFont="1" applyFill="1" applyBorder="1" applyAlignment="1" applyProtection="1">
      <alignment horizontal="center" vertical="center"/>
      <protection hidden="1"/>
    </xf>
    <xf numFmtId="0" fontId="5" fillId="3" borderId="62" xfId="32" applyFont="1" applyFill="1" applyBorder="1" applyAlignment="1" applyProtection="1">
      <alignment horizontal="center" vertical="center"/>
      <protection hidden="1"/>
    </xf>
    <xf numFmtId="0" fontId="5" fillId="3" borderId="38" xfId="32" applyFont="1" applyFill="1" applyBorder="1" applyAlignment="1" applyProtection="1">
      <alignment horizontal="center" vertical="center"/>
      <protection hidden="1"/>
    </xf>
    <xf numFmtId="0" fontId="4" fillId="0" borderId="21" xfId="35" applyFont="1" applyFill="1" applyBorder="1" applyAlignment="1" applyProtection="1">
      <alignment horizontal="center" vertical="center" wrapText="1"/>
      <protection locked="0"/>
    </xf>
    <xf numFmtId="0" fontId="4" fillId="0" borderId="2" xfId="35" applyFont="1" applyFill="1" applyBorder="1" applyAlignment="1" applyProtection="1">
      <alignment horizontal="center" vertical="center" wrapText="1"/>
      <protection locked="0"/>
    </xf>
    <xf numFmtId="0" fontId="4" fillId="0" borderId="14" xfId="35" applyFont="1" applyFill="1" applyBorder="1" applyAlignment="1" applyProtection="1">
      <alignment horizontal="center" vertical="center" wrapText="1"/>
      <protection locked="0"/>
    </xf>
    <xf numFmtId="0" fontId="4" fillId="0" borderId="50" xfId="35" applyFont="1" applyFill="1" applyBorder="1" applyAlignment="1" applyProtection="1">
      <alignment horizontal="center" vertical="center" wrapText="1"/>
      <protection locked="0"/>
    </xf>
    <xf numFmtId="0" fontId="4" fillId="0" borderId="68" xfId="35" applyFont="1" applyFill="1" applyBorder="1" applyAlignment="1" applyProtection="1">
      <alignment horizontal="center" vertical="center" wrapText="1"/>
      <protection locked="0"/>
    </xf>
    <xf numFmtId="0" fontId="4" fillId="0" borderId="51" xfId="35" applyFont="1" applyFill="1" applyBorder="1" applyAlignment="1" applyProtection="1">
      <alignment horizontal="center" vertical="center" wrapText="1"/>
      <protection locked="0"/>
    </xf>
    <xf numFmtId="0" fontId="0" fillId="0" borderId="23" xfId="35" applyFont="1" applyBorder="1" applyAlignment="1" applyProtection="1">
      <alignment vertical="center" wrapText="1"/>
      <protection hidden="1"/>
    </xf>
    <xf numFmtId="0" fontId="0" fillId="0" borderId="23" xfId="35" applyBorder="1" applyAlignment="1" applyProtection="1">
      <alignment vertical="center" wrapText="1"/>
      <protection hidden="1"/>
    </xf>
    <xf numFmtId="0" fontId="0" fillId="0" borderId="23" xfId="35" applyFont="1" applyFill="1" applyBorder="1" applyAlignment="1">
      <alignment vertical="center" wrapText="1"/>
      <protection/>
    </xf>
    <xf numFmtId="0" fontId="0" fillId="0" borderId="23" xfId="35" applyFill="1" applyBorder="1" applyAlignment="1">
      <alignment vertical="center" wrapText="1"/>
      <protection/>
    </xf>
    <xf numFmtId="0" fontId="0" fillId="0" borderId="23" xfId="35" applyFont="1" applyBorder="1" applyAlignment="1">
      <alignment vertical="center" wrapText="1"/>
      <protection/>
    </xf>
    <xf numFmtId="0" fontId="0" fillId="0" borderId="23" xfId="35" applyBorder="1" applyAlignment="1">
      <alignment vertical="center" wrapText="1"/>
      <protection/>
    </xf>
    <xf numFmtId="0" fontId="5" fillId="3" borderId="24" xfId="32" applyFont="1" applyFill="1" applyBorder="1" applyAlignment="1" applyProtection="1">
      <alignment horizontal="center" vertical="center" wrapText="1"/>
      <protection hidden="1"/>
    </xf>
    <xf numFmtId="0" fontId="5" fillId="3" borderId="62" xfId="32" applyFont="1" applyFill="1" applyBorder="1" applyAlignment="1" applyProtection="1">
      <alignment horizontal="center" vertical="center" wrapText="1"/>
      <protection hidden="1"/>
    </xf>
    <xf numFmtId="0" fontId="0" fillId="0" borderId="38" xfId="0" applyBorder="1" applyAlignment="1">
      <alignment horizontal="center" vertical="center" wrapText="1"/>
    </xf>
    <xf numFmtId="0" fontId="0" fillId="0" borderId="24" xfId="35" applyFont="1" applyBorder="1" applyAlignment="1">
      <alignment vertical="center" wrapText="1"/>
      <protection/>
    </xf>
    <xf numFmtId="0" fontId="0" fillId="0" borderId="62" xfId="35" applyBorder="1" applyAlignment="1">
      <alignment vertical="center" wrapText="1"/>
      <protection/>
    </xf>
    <xf numFmtId="0" fontId="0" fillId="0" borderId="38" xfId="35" applyBorder="1" applyAlignment="1">
      <alignment vertical="center" wrapText="1"/>
      <protection/>
    </xf>
    <xf numFmtId="0" fontId="0" fillId="0" borderId="66" xfId="35" applyBorder="1" applyAlignment="1">
      <alignment horizontal="center"/>
      <protection/>
    </xf>
    <xf numFmtId="0" fontId="4" fillId="0" borderId="3" xfId="35" applyFont="1" applyFill="1" applyBorder="1" applyAlignment="1" applyProtection="1">
      <alignment horizontal="center" vertical="center" wrapText="1"/>
      <protection locked="0"/>
    </xf>
    <xf numFmtId="0" fontId="5" fillId="3" borderId="24" xfId="35" applyFont="1" applyFill="1" applyBorder="1" applyAlignment="1" applyProtection="1">
      <alignment horizontal="center" vertical="center"/>
      <protection hidden="1"/>
    </xf>
    <xf numFmtId="0" fontId="5" fillId="3" borderId="62" xfId="35" applyFont="1" applyFill="1" applyBorder="1" applyAlignment="1" applyProtection="1">
      <alignment horizontal="center" vertical="center"/>
      <protection hidden="1"/>
    </xf>
    <xf numFmtId="0" fontId="5" fillId="3" borderId="38" xfId="35" applyFont="1" applyFill="1" applyBorder="1" applyAlignment="1" applyProtection="1">
      <alignment horizontal="center" vertical="center"/>
      <protection hidden="1"/>
    </xf>
    <xf numFmtId="0" fontId="0" fillId="0" borderId="0" xfId="35" applyFont="1" applyBorder="1" applyAlignment="1">
      <alignment vertical="center" wrapText="1"/>
      <protection/>
    </xf>
    <xf numFmtId="0" fontId="0" fillId="0" borderId="0" xfId="0" applyBorder="1" applyAlignment="1">
      <alignment vertical="center" wrapText="1"/>
    </xf>
    <xf numFmtId="0" fontId="0" fillId="0" borderId="0" xfId="35" applyBorder="1" applyAlignment="1">
      <alignment vertical="center" wrapText="1"/>
      <protection/>
    </xf>
    <xf numFmtId="0" fontId="4" fillId="0" borderId="16" xfId="35" applyFont="1" applyFill="1" applyBorder="1" applyAlignment="1" applyProtection="1">
      <alignment horizontal="center" vertical="center" wrapText="1"/>
      <protection locked="0"/>
    </xf>
    <xf numFmtId="0" fontId="0" fillId="0" borderId="62" xfId="0" applyBorder="1" applyAlignment="1">
      <alignment vertical="center" wrapText="1"/>
    </xf>
    <xf numFmtId="0" fontId="0" fillId="0" borderId="38" xfId="0" applyBorder="1" applyAlignment="1">
      <alignment vertical="center" wrapText="1"/>
    </xf>
    <xf numFmtId="0" fontId="0" fillId="8" borderId="23" xfId="35" applyFont="1" applyFill="1" applyBorder="1" applyAlignment="1">
      <alignment vertical="center" wrapText="1"/>
      <protection/>
    </xf>
    <xf numFmtId="0" fontId="0" fillId="8" borderId="23" xfId="35" applyFill="1" applyBorder="1" applyAlignment="1">
      <alignment vertical="center" wrapText="1"/>
      <protection/>
    </xf>
    <xf numFmtId="0" fontId="5" fillId="0" borderId="16" xfId="0" applyFont="1" applyBorder="1" applyAlignment="1" applyProtection="1">
      <alignment horizontal="left"/>
      <protection hidden="1"/>
    </xf>
    <xf numFmtId="0" fontId="5" fillId="0" borderId="7" xfId="0" applyFont="1" applyBorder="1" applyAlignment="1" applyProtection="1">
      <alignment horizontal="left"/>
      <protection hidden="1"/>
    </xf>
    <xf numFmtId="0" fontId="0" fillId="3" borderId="16" xfId="35" applyFill="1" applyBorder="1" applyAlignment="1">
      <alignment horizontal="center"/>
      <protection/>
    </xf>
    <xf numFmtId="0" fontId="0" fillId="3" borderId="5" xfId="35" applyFill="1" applyBorder="1" applyAlignment="1">
      <alignment horizontal="center"/>
      <protection/>
    </xf>
    <xf numFmtId="0" fontId="0" fillId="3" borderId="7" xfId="35" applyFill="1" applyBorder="1" applyAlignment="1">
      <alignment horizontal="center"/>
      <protection/>
    </xf>
    <xf numFmtId="0" fontId="4" fillId="0" borderId="6" xfId="35" applyFont="1" applyFill="1" applyBorder="1" applyAlignment="1" applyProtection="1">
      <alignment horizontal="center" vertical="center" wrapText="1"/>
      <protection locked="0"/>
    </xf>
    <xf numFmtId="0" fontId="4" fillId="0" borderId="5" xfId="35" applyFont="1" applyFill="1" applyBorder="1" applyAlignment="1" applyProtection="1">
      <alignment horizontal="center" vertical="center" wrapText="1"/>
      <protection locked="0"/>
    </xf>
    <xf numFmtId="0" fontId="4" fillId="0" borderId="33" xfId="35" applyFont="1" applyFill="1" applyBorder="1" applyAlignment="1" applyProtection="1">
      <alignment horizontal="center" vertical="center" wrapText="1"/>
      <protection locked="0"/>
    </xf>
    <xf numFmtId="0" fontId="4" fillId="0" borderId="24" xfId="0" applyFont="1" applyBorder="1" applyAlignment="1">
      <alignment vertical="top" wrapText="1"/>
    </xf>
    <xf numFmtId="0" fontId="0" fillId="0" borderId="62" xfId="0" applyBorder="1" applyAlignment="1">
      <alignment vertical="top" wrapText="1"/>
    </xf>
    <xf numFmtId="0" fontId="0" fillId="0" borderId="38" xfId="0" applyBorder="1" applyAlignment="1">
      <alignment vertical="top" wrapText="1"/>
    </xf>
    <xf numFmtId="0" fontId="5" fillId="0" borderId="16" xfId="0" applyFont="1" applyBorder="1" applyAlignment="1" applyProtection="1">
      <alignment horizontal="center"/>
      <protection hidden="1"/>
    </xf>
    <xf numFmtId="171" fontId="4" fillId="0" borderId="16" xfId="0" applyNumberFormat="1" applyFont="1" applyBorder="1" applyAlignment="1">
      <alignment horizontal="center"/>
    </xf>
    <xf numFmtId="171" fontId="4" fillId="0" borderId="5" xfId="0" applyNumberFormat="1" applyFont="1" applyBorder="1" applyAlignment="1">
      <alignment horizontal="center"/>
    </xf>
    <xf numFmtId="171" fontId="4" fillId="0" borderId="7" xfId="0" applyNumberFormat="1"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4" fillId="0" borderId="0" xfId="0" applyFont="1" applyAlignment="1" applyProtection="1">
      <alignment vertical="top" wrapText="1"/>
      <protection/>
    </xf>
    <xf numFmtId="0" fontId="5" fillId="0" borderId="0" xfId="0" applyFont="1" applyAlignment="1" applyProtection="1">
      <alignment vertical="top" wrapText="1"/>
      <protection/>
    </xf>
    <xf numFmtId="0" fontId="4" fillId="0" borderId="0" xfId="35" applyFont="1" applyAlignment="1" applyProtection="1">
      <alignment vertical="top" wrapText="1"/>
      <protection/>
    </xf>
    <xf numFmtId="0" fontId="4" fillId="0" borderId="0" xfId="35" applyFont="1" applyAlignment="1" applyProtection="1">
      <alignment horizontal="left" vertical="top"/>
      <protection/>
    </xf>
    <xf numFmtId="0" fontId="4" fillId="0" borderId="0" xfId="35" applyFont="1" applyBorder="1" applyAlignment="1" applyProtection="1">
      <alignment horizontal="left" vertical="top"/>
      <protection/>
    </xf>
    <xf numFmtId="0" fontId="20" fillId="0" borderId="0" xfId="35" applyFont="1" applyBorder="1" applyAlignment="1" applyProtection="1">
      <alignment horizontal="right"/>
      <protection/>
    </xf>
    <xf numFmtId="0" fontId="4" fillId="0" borderId="0" xfId="35" applyFont="1" applyBorder="1" applyAlignment="1" applyProtection="1">
      <alignment horizontal="right"/>
      <protection/>
    </xf>
    <xf numFmtId="0" fontId="4" fillId="0" borderId="0" xfId="0" applyFont="1" applyAlignment="1" applyProtection="1">
      <alignment vertical="center" wrapText="1"/>
      <protection/>
    </xf>
    <xf numFmtId="0" fontId="5" fillId="0" borderId="0" xfId="34" applyNumberFormat="1" applyFont="1" applyBorder="1" applyAlignment="1" applyProtection="1">
      <alignment horizontal="left" vertical="top"/>
      <protection/>
    </xf>
    <xf numFmtId="0" fontId="4" fillId="0" borderId="0" xfId="34" applyFont="1" applyBorder="1" applyAlignment="1" applyProtection="1">
      <alignment vertical="top"/>
      <protection/>
    </xf>
    <xf numFmtId="0" fontId="0" fillId="0" borderId="0" xfId="0" applyAlignment="1" applyProtection="1">
      <alignment vertical="top" wrapText="1"/>
      <protection/>
    </xf>
  </cellXfs>
  <cellStyles count="35">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APZ Nacalculatie1998" xfId="32"/>
    <cellStyle name="Standaard_Concept nac 2004 ent II" xfId="33"/>
    <cellStyle name="Standaard_cp2002" xfId="34"/>
    <cellStyle name="Standaard_Nacalculatieformulier 2002" xfId="35"/>
    <cellStyle name="Tabelstandaard" xfId="36"/>
    <cellStyle name="Tabelstandaard financieel" xfId="37"/>
    <cellStyle name="Tabelstandaard negatief" xfId="38"/>
    <cellStyle name="Tabelstandaard Totaal" xfId="39"/>
    <cellStyle name="Tabelstandaard Totaal Negatief" xfId="40"/>
    <cellStyle name="Tabelstandaard Totaal_Afschrijvingen 2003 vzh" xfId="41"/>
    <cellStyle name="Tabelstandaard_Afschrijvingen 2003 vzh" xfId="42"/>
    <cellStyle name="Table  - Opmaakprofiel6" xfId="43"/>
    <cellStyle name="Title  - Opmaakprofiel1" xfId="44"/>
    <cellStyle name="TotCol - Opmaakprofiel5" xfId="45"/>
    <cellStyle name="TotRow - Opmaakprofiel4" xfId="46"/>
    <cellStyle name="Currency" xfId="47"/>
    <cellStyle name="Currency [0]" xfId="48"/>
  </cellStyles>
  <dxfs count="7">
    <dxf>
      <fill>
        <patternFill>
          <bgColor rgb="FFFFCC99"/>
        </patternFill>
      </fill>
      <border/>
    </dxf>
    <dxf>
      <fill>
        <patternFill>
          <bgColor rgb="FFFFFFCC"/>
        </patternFill>
      </fill>
      <border/>
    </dxf>
    <dxf>
      <fill>
        <patternFill>
          <bgColor rgb="FFCCFFCC"/>
        </patternFill>
      </fill>
      <border/>
    </dxf>
    <dxf>
      <font>
        <color rgb="FFFFFFFF"/>
      </font>
      <fill>
        <patternFill>
          <bgColor rgb="FF0000FF"/>
        </patternFill>
      </fill>
      <border/>
    </dxf>
    <dxf>
      <font>
        <b/>
        <i val="0"/>
        <color rgb="FF800000"/>
      </font>
      <fill>
        <patternFill patternType="none">
          <bgColor indexed="65"/>
        </patternFill>
      </fill>
      <border/>
    </dxf>
    <dxf>
      <font>
        <color auto="1"/>
      </font>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file://X:\Algemeen\Clipart\Ctg\NotaVervolg.ep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38</xdr:row>
      <xdr:rowOff>0</xdr:rowOff>
    </xdr:from>
    <xdr:to>
      <xdr:col>6</xdr:col>
      <xdr:colOff>0</xdr:colOff>
      <xdr:row>38</xdr:row>
      <xdr:rowOff>0</xdr:rowOff>
    </xdr:to>
    <xdr:grpSp>
      <xdr:nvGrpSpPr>
        <xdr:cNvPr id="1" name="Group 1"/>
        <xdr:cNvGrpSpPr>
          <a:grpSpLocks/>
        </xdr:cNvGrpSpPr>
      </xdr:nvGrpSpPr>
      <xdr:grpSpPr>
        <a:xfrm>
          <a:off x="4905375" y="6229350"/>
          <a:ext cx="0"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0</xdr:colOff>
      <xdr:row>38</xdr:row>
      <xdr:rowOff>0</xdr:rowOff>
    </xdr:from>
    <xdr:to>
      <xdr:col>6</xdr:col>
      <xdr:colOff>0</xdr:colOff>
      <xdr:row>38</xdr:row>
      <xdr:rowOff>0</xdr:rowOff>
    </xdr:to>
    <xdr:grpSp>
      <xdr:nvGrpSpPr>
        <xdr:cNvPr id="5" name="Group 5"/>
        <xdr:cNvGrpSpPr>
          <a:grpSpLocks/>
        </xdr:cNvGrpSpPr>
      </xdr:nvGrpSpPr>
      <xdr:grpSpPr>
        <a:xfrm>
          <a:off x="4905375" y="6229350"/>
          <a:ext cx="0"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11</xdr:col>
      <xdr:colOff>180975</xdr:colOff>
      <xdr:row>0</xdr:row>
      <xdr:rowOff>9525</xdr:rowOff>
    </xdr:from>
    <xdr:to>
      <xdr:col>13</xdr:col>
      <xdr:colOff>0</xdr:colOff>
      <xdr:row>2</xdr:row>
      <xdr:rowOff>0</xdr:rowOff>
    </xdr:to>
    <xdr:grpSp>
      <xdr:nvGrpSpPr>
        <xdr:cNvPr id="9" name="Group 9"/>
        <xdr:cNvGrpSpPr>
          <a:grpSpLocks/>
        </xdr:cNvGrpSpPr>
      </xdr:nvGrpSpPr>
      <xdr:grpSpPr>
        <a:xfrm>
          <a:off x="8086725" y="9525"/>
          <a:ext cx="180975" cy="390525"/>
          <a:chOff x="769" y="35"/>
          <a:chExt cx="110" cy="41"/>
        </a:xfrm>
        <a:solidFill>
          <a:srgbClr val="FFFFFF"/>
        </a:solidFill>
      </xdr:grpSpPr>
      <xdr:sp>
        <xdr:nvSpPr>
          <xdr:cNvPr id="10" name="Rectangle 1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 name="Picture 12"/>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13" name="Rectangle 1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0</xdr:colOff>
      <xdr:row>40</xdr:row>
      <xdr:rowOff>0</xdr:rowOff>
    </xdr:from>
    <xdr:to>
      <xdr:col>9</xdr:col>
      <xdr:colOff>0</xdr:colOff>
      <xdr:row>40</xdr:row>
      <xdr:rowOff>0</xdr:rowOff>
    </xdr:to>
    <xdr:grpSp>
      <xdr:nvGrpSpPr>
        <xdr:cNvPr id="14" name="Group 14"/>
        <xdr:cNvGrpSpPr>
          <a:grpSpLocks/>
        </xdr:cNvGrpSpPr>
      </xdr:nvGrpSpPr>
      <xdr:grpSpPr>
        <a:xfrm>
          <a:off x="7543800" y="6553200"/>
          <a:ext cx="0" cy="0"/>
          <a:chOff x="790" y="4"/>
          <a:chExt cx="90" cy="54"/>
        </a:xfrm>
        <a:solidFill>
          <a:srgbClr val="FFFFFF"/>
        </a:solidFill>
      </xdr:grpSpPr>
      <xdr:sp>
        <xdr:nvSpPr>
          <xdr:cNvPr id="15" name="Rectangle 15"/>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6" name="Picture 16"/>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7" name="TextBox 17"/>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9</xdr:col>
      <xdr:colOff>0</xdr:colOff>
      <xdr:row>40</xdr:row>
      <xdr:rowOff>0</xdr:rowOff>
    </xdr:from>
    <xdr:to>
      <xdr:col>9</xdr:col>
      <xdr:colOff>0</xdr:colOff>
      <xdr:row>40</xdr:row>
      <xdr:rowOff>0</xdr:rowOff>
    </xdr:to>
    <xdr:grpSp>
      <xdr:nvGrpSpPr>
        <xdr:cNvPr id="18" name="Group 18"/>
        <xdr:cNvGrpSpPr>
          <a:grpSpLocks/>
        </xdr:cNvGrpSpPr>
      </xdr:nvGrpSpPr>
      <xdr:grpSpPr>
        <a:xfrm>
          <a:off x="7543800" y="6553200"/>
          <a:ext cx="0" cy="0"/>
          <a:chOff x="790" y="4"/>
          <a:chExt cx="90" cy="54"/>
        </a:xfrm>
        <a:solidFill>
          <a:srgbClr val="FFFFFF"/>
        </a:solidFill>
      </xdr:grpSpPr>
      <xdr:sp>
        <xdr:nvSpPr>
          <xdr:cNvPr id="19" name="Rectangle 19"/>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0" name="Picture 20"/>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1" name="TextBox 21"/>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0</xdr:colOff>
      <xdr:row>38</xdr:row>
      <xdr:rowOff>9525</xdr:rowOff>
    </xdr:from>
    <xdr:to>
      <xdr:col>6</xdr:col>
      <xdr:colOff>0</xdr:colOff>
      <xdr:row>39</xdr:row>
      <xdr:rowOff>0</xdr:rowOff>
    </xdr:to>
    <xdr:grpSp>
      <xdr:nvGrpSpPr>
        <xdr:cNvPr id="22" name="Group 22"/>
        <xdr:cNvGrpSpPr>
          <a:grpSpLocks/>
        </xdr:cNvGrpSpPr>
      </xdr:nvGrpSpPr>
      <xdr:grpSpPr>
        <a:xfrm>
          <a:off x="4905375" y="6238875"/>
          <a:ext cx="0" cy="152400"/>
          <a:chOff x="769" y="35"/>
          <a:chExt cx="110" cy="41"/>
        </a:xfrm>
        <a:solidFill>
          <a:srgbClr val="FFFFFF"/>
        </a:solidFill>
      </xdr:grpSpPr>
      <xdr:sp>
        <xdr:nvSpPr>
          <xdr:cNvPr id="23" name="Rectangle 2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2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5" name="Picture 25"/>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26" name="Rectangle 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38</xdr:row>
      <xdr:rowOff>9525</xdr:rowOff>
    </xdr:from>
    <xdr:to>
      <xdr:col>6</xdr:col>
      <xdr:colOff>0</xdr:colOff>
      <xdr:row>39</xdr:row>
      <xdr:rowOff>0</xdr:rowOff>
    </xdr:to>
    <xdr:grpSp>
      <xdr:nvGrpSpPr>
        <xdr:cNvPr id="27" name="Group 27"/>
        <xdr:cNvGrpSpPr>
          <a:grpSpLocks/>
        </xdr:cNvGrpSpPr>
      </xdr:nvGrpSpPr>
      <xdr:grpSpPr>
        <a:xfrm>
          <a:off x="4905375" y="6238875"/>
          <a:ext cx="0" cy="152400"/>
          <a:chOff x="769" y="35"/>
          <a:chExt cx="110" cy="41"/>
        </a:xfrm>
        <a:solidFill>
          <a:srgbClr val="FFFFFF"/>
        </a:solidFill>
      </xdr:grpSpPr>
      <xdr:sp>
        <xdr:nvSpPr>
          <xdr:cNvPr id="28" name="Rectangle 2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9" name="Rectangle 2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 name="Picture 30"/>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31" name="Rectangle 3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266</xdr:row>
      <xdr:rowOff>0</xdr:rowOff>
    </xdr:from>
    <xdr:to>
      <xdr:col>4</xdr:col>
      <xdr:colOff>9525</xdr:colOff>
      <xdr:row>266</xdr:row>
      <xdr:rowOff>0</xdr:rowOff>
    </xdr:to>
    <xdr:grpSp>
      <xdr:nvGrpSpPr>
        <xdr:cNvPr id="32" name="Group 32"/>
        <xdr:cNvGrpSpPr>
          <a:grpSpLocks/>
        </xdr:cNvGrpSpPr>
      </xdr:nvGrpSpPr>
      <xdr:grpSpPr>
        <a:xfrm>
          <a:off x="3114675" y="43148250"/>
          <a:ext cx="9525" cy="0"/>
          <a:chOff x="790" y="4"/>
          <a:chExt cx="90" cy="54"/>
        </a:xfrm>
        <a:solidFill>
          <a:srgbClr val="FFFFFF"/>
        </a:solidFill>
      </xdr:grpSpPr>
      <xdr:sp>
        <xdr:nvSpPr>
          <xdr:cNvPr id="33" name="Rectangle 33"/>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4" name="Picture 34"/>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5" name="TextBox 35"/>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4</xdr:col>
      <xdr:colOff>0</xdr:colOff>
      <xdr:row>266</xdr:row>
      <xdr:rowOff>0</xdr:rowOff>
    </xdr:from>
    <xdr:to>
      <xdr:col>4</xdr:col>
      <xdr:colOff>9525</xdr:colOff>
      <xdr:row>266</xdr:row>
      <xdr:rowOff>0</xdr:rowOff>
    </xdr:to>
    <xdr:grpSp>
      <xdr:nvGrpSpPr>
        <xdr:cNvPr id="36" name="Group 36"/>
        <xdr:cNvGrpSpPr>
          <a:grpSpLocks/>
        </xdr:cNvGrpSpPr>
      </xdr:nvGrpSpPr>
      <xdr:grpSpPr>
        <a:xfrm>
          <a:off x="3114675" y="43148250"/>
          <a:ext cx="9525" cy="0"/>
          <a:chOff x="790" y="4"/>
          <a:chExt cx="90" cy="54"/>
        </a:xfrm>
        <a:solidFill>
          <a:srgbClr val="FFFFFF"/>
        </a:solidFill>
      </xdr:grpSpPr>
      <xdr:sp>
        <xdr:nvSpPr>
          <xdr:cNvPr id="37" name="Rectangle 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8" name="Picture 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9" name="TextBox 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16</xdr:col>
      <xdr:colOff>657225</xdr:colOff>
      <xdr:row>350</xdr:row>
      <xdr:rowOff>0</xdr:rowOff>
    </xdr:from>
    <xdr:to>
      <xdr:col>18</xdr:col>
      <xdr:colOff>9525</xdr:colOff>
      <xdr:row>350</xdr:row>
      <xdr:rowOff>0</xdr:rowOff>
    </xdr:to>
    <xdr:grpSp>
      <xdr:nvGrpSpPr>
        <xdr:cNvPr id="40" name="Group 40"/>
        <xdr:cNvGrpSpPr>
          <a:grpSpLocks/>
        </xdr:cNvGrpSpPr>
      </xdr:nvGrpSpPr>
      <xdr:grpSpPr>
        <a:xfrm>
          <a:off x="10982325" y="56749950"/>
          <a:ext cx="590550" cy="0"/>
          <a:chOff x="769" y="35"/>
          <a:chExt cx="110" cy="41"/>
        </a:xfrm>
        <a:solidFill>
          <a:srgbClr val="FFFFFF"/>
        </a:solidFill>
      </xdr:grpSpPr>
      <xdr:sp>
        <xdr:nvSpPr>
          <xdr:cNvPr id="41" name="Rectangle 4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3" name="Picture 43"/>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44" name="Rectangle 4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266700</xdr:colOff>
      <xdr:row>1</xdr:row>
      <xdr:rowOff>28575</xdr:rowOff>
    </xdr:from>
    <xdr:to>
      <xdr:col>11</xdr:col>
      <xdr:colOff>733425</xdr:colOff>
      <xdr:row>1</xdr:row>
      <xdr:rowOff>190500</xdr:rowOff>
    </xdr:to>
    <xdr:pic>
      <xdr:nvPicPr>
        <xdr:cNvPr id="1" name="Picture 44"/>
        <xdr:cNvPicPr preferRelativeResize="1">
          <a:picLocks noChangeAspect="1"/>
        </xdr:cNvPicPr>
      </xdr:nvPicPr>
      <xdr:blipFill>
        <a:blip r:embed="rId1"/>
        <a:stretch>
          <a:fillRect/>
        </a:stretch>
      </xdr:blipFill>
      <xdr:spPr>
        <a:xfrm>
          <a:off x="8543925" y="190500"/>
          <a:ext cx="466725" cy="161925"/>
        </a:xfrm>
        <a:prstGeom prst="rect">
          <a:avLst/>
        </a:prstGeom>
        <a:noFill/>
        <a:ln w="9525" cmpd="sng">
          <a:noFill/>
        </a:ln>
      </xdr:spPr>
    </xdr:pic>
    <xdr:clientData/>
  </xdr:twoCellAnchor>
  <xdr:twoCellAnchor editAs="absolute">
    <xdr:from>
      <xdr:col>11</xdr:col>
      <xdr:colOff>314325</xdr:colOff>
      <xdr:row>46</xdr:row>
      <xdr:rowOff>28575</xdr:rowOff>
    </xdr:from>
    <xdr:to>
      <xdr:col>11</xdr:col>
      <xdr:colOff>781050</xdr:colOff>
      <xdr:row>46</xdr:row>
      <xdr:rowOff>190500</xdr:rowOff>
    </xdr:to>
    <xdr:pic>
      <xdr:nvPicPr>
        <xdr:cNvPr id="2" name="Picture 50"/>
        <xdr:cNvPicPr preferRelativeResize="1">
          <a:picLocks noChangeAspect="1"/>
        </xdr:cNvPicPr>
      </xdr:nvPicPr>
      <xdr:blipFill>
        <a:blip r:embed="rId1"/>
        <a:stretch>
          <a:fillRect/>
        </a:stretch>
      </xdr:blipFill>
      <xdr:spPr>
        <a:xfrm>
          <a:off x="8591550" y="7515225"/>
          <a:ext cx="466725" cy="161925"/>
        </a:xfrm>
        <a:prstGeom prst="rect">
          <a:avLst/>
        </a:prstGeom>
        <a:noFill/>
        <a:ln w="9525" cmpd="sng">
          <a:noFill/>
        </a:ln>
      </xdr:spPr>
    </xdr:pic>
    <xdr:clientData/>
  </xdr:twoCellAnchor>
  <xdr:twoCellAnchor editAs="absolute">
    <xdr:from>
      <xdr:col>11</xdr:col>
      <xdr:colOff>266700</xdr:colOff>
      <xdr:row>84</xdr:row>
      <xdr:rowOff>28575</xdr:rowOff>
    </xdr:from>
    <xdr:to>
      <xdr:col>11</xdr:col>
      <xdr:colOff>733425</xdr:colOff>
      <xdr:row>84</xdr:row>
      <xdr:rowOff>190500</xdr:rowOff>
    </xdr:to>
    <xdr:pic>
      <xdr:nvPicPr>
        <xdr:cNvPr id="3" name="Picture 52"/>
        <xdr:cNvPicPr preferRelativeResize="1">
          <a:picLocks noChangeAspect="1"/>
        </xdr:cNvPicPr>
      </xdr:nvPicPr>
      <xdr:blipFill>
        <a:blip r:embed="rId1"/>
        <a:stretch>
          <a:fillRect/>
        </a:stretch>
      </xdr:blipFill>
      <xdr:spPr>
        <a:xfrm>
          <a:off x="8543925" y="13706475"/>
          <a:ext cx="466725" cy="161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923925</xdr:colOff>
      <xdr:row>1</xdr:row>
      <xdr:rowOff>19050</xdr:rowOff>
    </xdr:from>
    <xdr:to>
      <xdr:col>8</xdr:col>
      <xdr:colOff>133350</xdr:colOff>
      <xdr:row>1</xdr:row>
      <xdr:rowOff>190500</xdr:rowOff>
    </xdr:to>
    <xdr:pic>
      <xdr:nvPicPr>
        <xdr:cNvPr id="1" name="LogoKop1"/>
        <xdr:cNvPicPr preferRelativeResize="1">
          <a:picLocks noChangeAspect="1"/>
        </xdr:cNvPicPr>
      </xdr:nvPicPr>
      <xdr:blipFill>
        <a:blip r:embed="rId1"/>
        <a:stretch>
          <a:fillRect/>
        </a:stretch>
      </xdr:blipFill>
      <xdr:spPr>
        <a:xfrm>
          <a:off x="8505825" y="219075"/>
          <a:ext cx="447675" cy="171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409575</xdr:colOff>
      <xdr:row>1</xdr:row>
      <xdr:rowOff>19050</xdr:rowOff>
    </xdr:from>
    <xdr:to>
      <xdr:col>6</xdr:col>
      <xdr:colOff>857250</xdr:colOff>
      <xdr:row>1</xdr:row>
      <xdr:rowOff>190500</xdr:rowOff>
    </xdr:to>
    <xdr:pic>
      <xdr:nvPicPr>
        <xdr:cNvPr id="1" name="LogoKop1"/>
        <xdr:cNvPicPr preferRelativeResize="1">
          <a:picLocks noChangeAspect="1"/>
        </xdr:cNvPicPr>
      </xdr:nvPicPr>
      <xdr:blipFill>
        <a:blip r:embed="rId1"/>
        <a:stretch>
          <a:fillRect/>
        </a:stretch>
      </xdr:blipFill>
      <xdr:spPr>
        <a:xfrm>
          <a:off x="8486775" y="219075"/>
          <a:ext cx="447675" cy="171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295275</xdr:colOff>
      <xdr:row>1</xdr:row>
      <xdr:rowOff>19050</xdr:rowOff>
    </xdr:from>
    <xdr:to>
      <xdr:col>6</xdr:col>
      <xdr:colOff>742950</xdr:colOff>
      <xdr:row>1</xdr:row>
      <xdr:rowOff>190500</xdr:rowOff>
    </xdr:to>
    <xdr:pic>
      <xdr:nvPicPr>
        <xdr:cNvPr id="1" name="LogoKop1"/>
        <xdr:cNvPicPr preferRelativeResize="1">
          <a:picLocks noChangeAspect="1"/>
        </xdr:cNvPicPr>
      </xdr:nvPicPr>
      <xdr:blipFill>
        <a:blip r:embed="rId1"/>
        <a:stretch>
          <a:fillRect/>
        </a:stretch>
      </xdr:blipFill>
      <xdr:spPr>
        <a:xfrm>
          <a:off x="8515350" y="219075"/>
          <a:ext cx="447675" cy="171450"/>
        </a:xfrm>
        <a:prstGeom prst="rect">
          <a:avLst/>
        </a:prstGeom>
        <a:noFill/>
        <a:ln w="9525" cmpd="sng">
          <a:noFill/>
        </a:ln>
      </xdr:spPr>
    </xdr:pic>
    <xdr:clientData/>
  </xdr:twoCellAnchor>
  <xdr:twoCellAnchor editAs="absolute">
    <xdr:from>
      <xdr:col>6</xdr:col>
      <xdr:colOff>276225</xdr:colOff>
      <xdr:row>47</xdr:row>
      <xdr:rowOff>19050</xdr:rowOff>
    </xdr:from>
    <xdr:to>
      <xdr:col>6</xdr:col>
      <xdr:colOff>723900</xdr:colOff>
      <xdr:row>47</xdr:row>
      <xdr:rowOff>190500</xdr:rowOff>
    </xdr:to>
    <xdr:pic>
      <xdr:nvPicPr>
        <xdr:cNvPr id="2" name="Picture 81"/>
        <xdr:cNvPicPr preferRelativeResize="1">
          <a:picLocks noChangeAspect="1"/>
        </xdr:cNvPicPr>
      </xdr:nvPicPr>
      <xdr:blipFill>
        <a:blip r:embed="rId1"/>
        <a:stretch>
          <a:fillRect/>
        </a:stretch>
      </xdr:blipFill>
      <xdr:spPr>
        <a:xfrm>
          <a:off x="8496300" y="7362825"/>
          <a:ext cx="447675" cy="171450"/>
        </a:xfrm>
        <a:prstGeom prst="rect">
          <a:avLst/>
        </a:prstGeom>
        <a:noFill/>
        <a:ln w="9525" cmpd="sng">
          <a:noFill/>
        </a:ln>
      </xdr:spPr>
    </xdr:pic>
    <xdr:clientData/>
  </xdr:twoCellAnchor>
  <xdr:twoCellAnchor editAs="absolute">
    <xdr:from>
      <xdr:col>6</xdr:col>
      <xdr:colOff>276225</xdr:colOff>
      <xdr:row>92</xdr:row>
      <xdr:rowOff>19050</xdr:rowOff>
    </xdr:from>
    <xdr:to>
      <xdr:col>6</xdr:col>
      <xdr:colOff>723900</xdr:colOff>
      <xdr:row>92</xdr:row>
      <xdr:rowOff>190500</xdr:rowOff>
    </xdr:to>
    <xdr:pic>
      <xdr:nvPicPr>
        <xdr:cNvPr id="3" name="Picture 82"/>
        <xdr:cNvPicPr preferRelativeResize="1">
          <a:picLocks noChangeAspect="1"/>
        </xdr:cNvPicPr>
      </xdr:nvPicPr>
      <xdr:blipFill>
        <a:blip r:embed="rId1"/>
        <a:stretch>
          <a:fillRect/>
        </a:stretch>
      </xdr:blipFill>
      <xdr:spPr>
        <a:xfrm>
          <a:off x="8496300" y="14382750"/>
          <a:ext cx="447675" cy="171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18</xdr:col>
      <xdr:colOff>142875</xdr:colOff>
      <xdr:row>1</xdr:row>
      <xdr:rowOff>19050</xdr:rowOff>
    </xdr:from>
    <xdr:to>
      <xdr:col>18</xdr:col>
      <xdr:colOff>590550</xdr:colOff>
      <xdr:row>1</xdr:row>
      <xdr:rowOff>190500</xdr:rowOff>
    </xdr:to>
    <xdr:pic>
      <xdr:nvPicPr>
        <xdr:cNvPr id="1" name="LogoKop1"/>
        <xdr:cNvPicPr preferRelativeResize="1">
          <a:picLocks noChangeAspect="1"/>
        </xdr:cNvPicPr>
      </xdr:nvPicPr>
      <xdr:blipFill>
        <a:blip r:embed="rId1"/>
        <a:stretch>
          <a:fillRect/>
        </a:stretch>
      </xdr:blipFill>
      <xdr:spPr>
        <a:xfrm>
          <a:off x="8515350" y="219075"/>
          <a:ext cx="447675" cy="171450"/>
        </a:xfrm>
        <a:prstGeom prst="rect">
          <a:avLst/>
        </a:prstGeom>
        <a:noFill/>
        <a:ln w="9525" cmpd="sng">
          <a:noFill/>
        </a:ln>
      </xdr:spPr>
    </xdr:pic>
    <xdr:clientData/>
  </xdr:twoCellAnchor>
  <xdr:twoCellAnchor editAs="absolute">
    <xdr:from>
      <xdr:col>18</xdr:col>
      <xdr:colOff>66675</xdr:colOff>
      <xdr:row>45</xdr:row>
      <xdr:rowOff>19050</xdr:rowOff>
    </xdr:from>
    <xdr:to>
      <xdr:col>18</xdr:col>
      <xdr:colOff>523875</xdr:colOff>
      <xdr:row>45</xdr:row>
      <xdr:rowOff>190500</xdr:rowOff>
    </xdr:to>
    <xdr:pic>
      <xdr:nvPicPr>
        <xdr:cNvPr id="2" name="Picture 55"/>
        <xdr:cNvPicPr preferRelativeResize="1">
          <a:picLocks noChangeAspect="1"/>
        </xdr:cNvPicPr>
      </xdr:nvPicPr>
      <xdr:blipFill>
        <a:blip r:embed="rId1"/>
        <a:stretch>
          <a:fillRect/>
        </a:stretch>
      </xdr:blipFill>
      <xdr:spPr>
        <a:xfrm>
          <a:off x="8439150" y="7419975"/>
          <a:ext cx="457200" cy="171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314325</xdr:colOff>
      <xdr:row>1</xdr:row>
      <xdr:rowOff>19050</xdr:rowOff>
    </xdr:from>
    <xdr:to>
      <xdr:col>4</xdr:col>
      <xdr:colOff>762000</xdr:colOff>
      <xdr:row>1</xdr:row>
      <xdr:rowOff>190500</xdr:rowOff>
    </xdr:to>
    <xdr:pic>
      <xdr:nvPicPr>
        <xdr:cNvPr id="1" name="LogoKop1"/>
        <xdr:cNvPicPr preferRelativeResize="1">
          <a:picLocks noChangeAspect="1"/>
        </xdr:cNvPicPr>
      </xdr:nvPicPr>
      <xdr:blipFill>
        <a:blip r:embed="rId1"/>
        <a:stretch>
          <a:fillRect/>
        </a:stretch>
      </xdr:blipFill>
      <xdr:spPr>
        <a:xfrm>
          <a:off x="8515350" y="219075"/>
          <a:ext cx="447675" cy="171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276225</xdr:colOff>
      <xdr:row>1</xdr:row>
      <xdr:rowOff>19050</xdr:rowOff>
    </xdr:from>
    <xdr:to>
      <xdr:col>5</xdr:col>
      <xdr:colOff>171450</xdr:colOff>
      <xdr:row>1</xdr:row>
      <xdr:rowOff>190500</xdr:rowOff>
    </xdr:to>
    <xdr:pic>
      <xdr:nvPicPr>
        <xdr:cNvPr id="1" name="LogoKop1"/>
        <xdr:cNvPicPr preferRelativeResize="1">
          <a:picLocks noChangeAspect="1"/>
        </xdr:cNvPicPr>
      </xdr:nvPicPr>
      <xdr:blipFill>
        <a:blip r:embed="rId1"/>
        <a:stretch>
          <a:fillRect/>
        </a:stretch>
      </xdr:blipFill>
      <xdr:spPr>
        <a:xfrm>
          <a:off x="8562975" y="180975"/>
          <a:ext cx="447675" cy="171450"/>
        </a:xfrm>
        <a:prstGeom prst="rect">
          <a:avLst/>
        </a:prstGeom>
        <a:noFill/>
        <a:ln w="9525" cmpd="sng">
          <a:noFill/>
        </a:ln>
      </xdr:spPr>
    </xdr:pic>
    <xdr:clientData/>
  </xdr:twoCellAnchor>
  <xdr:twoCellAnchor editAs="absolute">
    <xdr:from>
      <xdr:col>4</xdr:col>
      <xdr:colOff>276225</xdr:colOff>
      <xdr:row>46</xdr:row>
      <xdr:rowOff>9525</xdr:rowOff>
    </xdr:from>
    <xdr:to>
      <xdr:col>5</xdr:col>
      <xdr:colOff>171450</xdr:colOff>
      <xdr:row>46</xdr:row>
      <xdr:rowOff>180975</xdr:rowOff>
    </xdr:to>
    <xdr:pic>
      <xdr:nvPicPr>
        <xdr:cNvPr id="2" name="Picture 325"/>
        <xdr:cNvPicPr preferRelativeResize="1">
          <a:picLocks noChangeAspect="1"/>
        </xdr:cNvPicPr>
      </xdr:nvPicPr>
      <xdr:blipFill>
        <a:blip r:embed="rId1"/>
        <a:stretch>
          <a:fillRect/>
        </a:stretch>
      </xdr:blipFill>
      <xdr:spPr>
        <a:xfrm>
          <a:off x="8562975" y="7496175"/>
          <a:ext cx="447675" cy="171450"/>
        </a:xfrm>
        <a:prstGeom prst="rect">
          <a:avLst/>
        </a:prstGeom>
        <a:noFill/>
        <a:ln w="9525" cmpd="sng">
          <a:noFill/>
        </a:ln>
      </xdr:spPr>
    </xdr:pic>
    <xdr:clientData/>
  </xdr:twoCellAnchor>
  <xdr:twoCellAnchor editAs="absolute">
    <xdr:from>
      <xdr:col>4</xdr:col>
      <xdr:colOff>428625</xdr:colOff>
      <xdr:row>89</xdr:row>
      <xdr:rowOff>19050</xdr:rowOff>
    </xdr:from>
    <xdr:to>
      <xdr:col>5</xdr:col>
      <xdr:colOff>323850</xdr:colOff>
      <xdr:row>89</xdr:row>
      <xdr:rowOff>190500</xdr:rowOff>
    </xdr:to>
    <xdr:pic>
      <xdr:nvPicPr>
        <xdr:cNvPr id="3" name="Picture 326"/>
        <xdr:cNvPicPr preferRelativeResize="1">
          <a:picLocks noChangeAspect="1"/>
        </xdr:cNvPicPr>
      </xdr:nvPicPr>
      <xdr:blipFill>
        <a:blip r:embed="rId1"/>
        <a:stretch>
          <a:fillRect/>
        </a:stretch>
      </xdr:blipFill>
      <xdr:spPr>
        <a:xfrm>
          <a:off x="8715375" y="14506575"/>
          <a:ext cx="447675" cy="171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180975</xdr:colOff>
      <xdr:row>1</xdr:row>
      <xdr:rowOff>19050</xdr:rowOff>
    </xdr:from>
    <xdr:to>
      <xdr:col>7</xdr:col>
      <xdr:colOff>628650</xdr:colOff>
      <xdr:row>1</xdr:row>
      <xdr:rowOff>190500</xdr:rowOff>
    </xdr:to>
    <xdr:pic>
      <xdr:nvPicPr>
        <xdr:cNvPr id="1" name="LogoKop1"/>
        <xdr:cNvPicPr preferRelativeResize="1">
          <a:picLocks noChangeAspect="1"/>
        </xdr:cNvPicPr>
      </xdr:nvPicPr>
      <xdr:blipFill>
        <a:blip r:embed="rId1"/>
        <a:stretch>
          <a:fillRect/>
        </a:stretch>
      </xdr:blipFill>
      <xdr:spPr>
        <a:xfrm>
          <a:off x="9039225" y="219075"/>
          <a:ext cx="447675" cy="171450"/>
        </a:xfrm>
        <a:prstGeom prst="rect">
          <a:avLst/>
        </a:prstGeom>
        <a:noFill/>
        <a:ln w="9525" cmpd="sng">
          <a:noFill/>
        </a:ln>
      </xdr:spPr>
    </xdr:pic>
    <xdr:clientData/>
  </xdr:twoCellAnchor>
  <xdr:twoCellAnchor editAs="absolute">
    <xdr:from>
      <xdr:col>7</xdr:col>
      <xdr:colOff>180975</xdr:colOff>
      <xdr:row>45</xdr:row>
      <xdr:rowOff>19050</xdr:rowOff>
    </xdr:from>
    <xdr:to>
      <xdr:col>7</xdr:col>
      <xdr:colOff>628650</xdr:colOff>
      <xdr:row>45</xdr:row>
      <xdr:rowOff>190500</xdr:rowOff>
    </xdr:to>
    <xdr:pic>
      <xdr:nvPicPr>
        <xdr:cNvPr id="2" name="Picture 22"/>
        <xdr:cNvPicPr preferRelativeResize="1">
          <a:picLocks noChangeAspect="1"/>
        </xdr:cNvPicPr>
      </xdr:nvPicPr>
      <xdr:blipFill>
        <a:blip r:embed="rId1"/>
        <a:stretch>
          <a:fillRect/>
        </a:stretch>
      </xdr:blipFill>
      <xdr:spPr>
        <a:xfrm>
          <a:off x="9039225" y="7372350"/>
          <a:ext cx="447675" cy="1714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pic>
      <xdr:nvPicPr>
        <xdr:cNvPr id="1" name="Picture 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 name="Picture 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 name="Picture 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 name="Picture 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 name="Picture 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 name="Picture 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 name="Picture 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 name="Picture 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 name="Picture 1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 name="Picture 1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 name="Picture 1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2" name="Picture 1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3" name="Picture 1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4" name="Picture 1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5" name="Picture 1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6" name="Picture 1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7" name="Picture 1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8" name="Picture 1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9" name="Picture 2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0" name="Picture 2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1" name="Picture 2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2" name="Picture 2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3" name="Picture 2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4" name="Picture 2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5" name="Picture 2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6" name="Picture 2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7" name="Picture 2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8" name="Picture 2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9" name="Picture 3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0" name="Picture 3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1" name="Picture 3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2" name="Picture 3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3" name="Picture 3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4" name="Picture 3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5" name="Picture 3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6" name="Picture 3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7" name="Picture 3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8" name="Picture 3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9" name="Picture 4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0" name="Picture 4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1" name="Picture 4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2" name="Picture 4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3" name="Picture 4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4" name="Picture 4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5" name="Picture 4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6" name="Picture 4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7" name="Picture 4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8" name="Picture 4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9" name="Picture 5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0" name="Picture 5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1" name="Picture 5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2" name="Picture 5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3" name="Picture 5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4" name="Picture 5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5" name="Picture 5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6" name="Picture 5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7" name="Picture 5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8" name="Picture 5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9" name="Picture 6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0" name="Picture 6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1" name="Picture 6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2" name="Picture 6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3" name="Picture 6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4" name="Picture 6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5" name="Picture 6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6" name="Picture 6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7" name="Picture 6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8" name="Picture 6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9" name="Picture 7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0" name="Picture 7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1" name="Picture 7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2" name="Picture 7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3" name="Picture 7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4" name="Picture 7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5" name="Picture 7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6" name="Picture 7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7" name="Picture 7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8" name="Picture 7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9" name="Picture 8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0" name="Picture 8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1" name="Picture 8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2" name="Picture 8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3" name="Picture 8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4" name="Picture 8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5" name="Picture 8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6" name="Picture 8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7" name="Picture 8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8" name="Picture 8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9" name="Picture 9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0" name="Picture 9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1" name="Picture 9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2" name="Picture 9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3" name="Picture 9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4" name="Picture 9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5" name="Picture 9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6" name="Picture 9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7" name="Picture 9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8" name="Picture 9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9" name="Picture 10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0" name="Picture 10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1" name="Picture 10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2" name="Picture 10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3" name="Picture 10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4" name="Picture 10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5" name="Picture 10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6" name="Picture 10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7" name="Picture 10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8" name="Picture 10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9" name="Picture 11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0" name="Picture 11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1" name="Picture 11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2" name="Picture 11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3" name="Picture 11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4" name="Picture 11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5" name="Picture 11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6" name="Picture 11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7" name="Picture 11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8" name="Picture 11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9" name="Picture 12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20" name="Picture 12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21" name="Picture 12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22" name="Picture 12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23" name="Picture 12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24" name="Picture 12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1</xdr:col>
      <xdr:colOff>2057400</xdr:colOff>
      <xdr:row>0</xdr:row>
      <xdr:rowOff>0</xdr:rowOff>
    </xdr:from>
    <xdr:to>
      <xdr:col>1</xdr:col>
      <xdr:colOff>2057400</xdr:colOff>
      <xdr:row>0</xdr:row>
      <xdr:rowOff>0</xdr:rowOff>
    </xdr:to>
    <xdr:pic>
      <xdr:nvPicPr>
        <xdr:cNvPr id="125" name="Picture 127"/>
        <xdr:cNvPicPr preferRelativeResize="1">
          <a:picLocks noChangeAspect="1"/>
        </xdr:cNvPicPr>
      </xdr:nvPicPr>
      <xdr:blipFill>
        <a:blip r:link="rId1"/>
        <a:srcRect l="75572"/>
        <a:stretch>
          <a:fillRect/>
        </a:stretch>
      </xdr:blipFill>
      <xdr:spPr>
        <a:xfrm>
          <a:off x="2276475" y="0"/>
          <a:ext cx="0" cy="0"/>
        </a:xfrm>
        <a:prstGeom prst="rect">
          <a:avLst/>
        </a:prstGeom>
        <a:noFill/>
        <a:ln w="9525" cmpd="sng">
          <a:noFill/>
        </a:ln>
      </xdr:spPr>
    </xdr:pic>
    <xdr:clientData/>
  </xdr:twoCellAnchor>
  <xdr:twoCellAnchor>
    <xdr:from>
      <xdr:col>5</xdr:col>
      <xdr:colOff>1181100</xdr:colOff>
      <xdr:row>42</xdr:row>
      <xdr:rowOff>0</xdr:rowOff>
    </xdr:from>
    <xdr:to>
      <xdr:col>5</xdr:col>
      <xdr:colOff>1181100</xdr:colOff>
      <xdr:row>42</xdr:row>
      <xdr:rowOff>0</xdr:rowOff>
    </xdr:to>
    <xdr:pic>
      <xdr:nvPicPr>
        <xdr:cNvPr id="126" name="Picture 133"/>
        <xdr:cNvPicPr preferRelativeResize="1">
          <a:picLocks noChangeAspect="1"/>
        </xdr:cNvPicPr>
      </xdr:nvPicPr>
      <xdr:blipFill>
        <a:blip r:link="rId1"/>
        <a:srcRect l="75572"/>
        <a:stretch>
          <a:fillRect/>
        </a:stretch>
      </xdr:blipFill>
      <xdr:spPr>
        <a:xfrm>
          <a:off x="8077200" y="7200900"/>
          <a:ext cx="0" cy="0"/>
        </a:xfrm>
        <a:prstGeom prst="rect">
          <a:avLst/>
        </a:prstGeom>
        <a:noFill/>
        <a:ln w="9525" cmpd="sng">
          <a:noFill/>
        </a:ln>
      </xdr:spPr>
    </xdr:pic>
    <xdr:clientData/>
  </xdr:twoCellAnchor>
  <xdr:twoCellAnchor>
    <xdr:from>
      <xdr:col>1</xdr:col>
      <xdr:colOff>2057400</xdr:colOff>
      <xdr:row>42</xdr:row>
      <xdr:rowOff>0</xdr:rowOff>
    </xdr:from>
    <xdr:to>
      <xdr:col>1</xdr:col>
      <xdr:colOff>2057400</xdr:colOff>
      <xdr:row>42</xdr:row>
      <xdr:rowOff>0</xdr:rowOff>
    </xdr:to>
    <xdr:pic>
      <xdr:nvPicPr>
        <xdr:cNvPr id="127" name="Picture 134"/>
        <xdr:cNvPicPr preferRelativeResize="1">
          <a:picLocks noChangeAspect="1"/>
        </xdr:cNvPicPr>
      </xdr:nvPicPr>
      <xdr:blipFill>
        <a:blip r:link="rId1"/>
        <a:srcRect l="75572"/>
        <a:stretch>
          <a:fillRect/>
        </a:stretch>
      </xdr:blipFill>
      <xdr:spPr>
        <a:xfrm>
          <a:off x="2276475" y="720090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16</xdr:row>
      <xdr:rowOff>0</xdr:rowOff>
    </xdr:from>
    <xdr:to>
      <xdr:col>2</xdr:col>
      <xdr:colOff>180975</xdr:colOff>
      <xdr:row>16</xdr:row>
      <xdr:rowOff>0</xdr:rowOff>
    </xdr:to>
    <xdr:sp>
      <xdr:nvSpPr>
        <xdr:cNvPr id="1" name="Rectangle 1"/>
        <xdr:cNvSpPr>
          <a:spLocks/>
        </xdr:cNvSpPr>
      </xdr:nvSpPr>
      <xdr:spPr>
        <a:xfrm>
          <a:off x="962025" y="291465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2" name="Rectangle 2"/>
        <xdr:cNvSpPr>
          <a:spLocks/>
        </xdr:cNvSpPr>
      </xdr:nvSpPr>
      <xdr:spPr>
        <a:xfrm>
          <a:off x="962025" y="291465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3" name="Rectangle 3"/>
        <xdr:cNvSpPr>
          <a:spLocks/>
        </xdr:cNvSpPr>
      </xdr:nvSpPr>
      <xdr:spPr>
        <a:xfrm>
          <a:off x="962025" y="291465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4" name="Rectangle 4"/>
        <xdr:cNvSpPr>
          <a:spLocks/>
        </xdr:cNvSpPr>
      </xdr:nvSpPr>
      <xdr:spPr>
        <a:xfrm>
          <a:off x="962025" y="291465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5" name="Rectangle 5"/>
        <xdr:cNvSpPr>
          <a:spLocks/>
        </xdr:cNvSpPr>
      </xdr:nvSpPr>
      <xdr:spPr>
        <a:xfrm>
          <a:off x="962025" y="291465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6" name="Rectangle 6"/>
        <xdr:cNvSpPr>
          <a:spLocks/>
        </xdr:cNvSpPr>
      </xdr:nvSpPr>
      <xdr:spPr>
        <a:xfrm>
          <a:off x="962025" y="291465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7" name="Rectangle 7"/>
        <xdr:cNvSpPr>
          <a:spLocks/>
        </xdr:cNvSpPr>
      </xdr:nvSpPr>
      <xdr:spPr>
        <a:xfrm>
          <a:off x="962025" y="291465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22</xdr:row>
      <xdr:rowOff>47625</xdr:rowOff>
    </xdr:from>
    <xdr:to>
      <xdr:col>2</xdr:col>
      <xdr:colOff>180975</xdr:colOff>
      <xdr:row>22</xdr:row>
      <xdr:rowOff>123825</xdr:rowOff>
    </xdr:to>
    <xdr:sp>
      <xdr:nvSpPr>
        <xdr:cNvPr id="8" name="Rectangle 8"/>
        <xdr:cNvSpPr>
          <a:spLocks/>
        </xdr:cNvSpPr>
      </xdr:nvSpPr>
      <xdr:spPr>
        <a:xfrm>
          <a:off x="962025" y="39338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47625</xdr:rowOff>
    </xdr:from>
    <xdr:to>
      <xdr:col>2</xdr:col>
      <xdr:colOff>180975</xdr:colOff>
      <xdr:row>19</xdr:row>
      <xdr:rowOff>123825</xdr:rowOff>
    </xdr:to>
    <xdr:sp>
      <xdr:nvSpPr>
        <xdr:cNvPr id="9" name="Rectangle 19"/>
        <xdr:cNvSpPr>
          <a:spLocks/>
        </xdr:cNvSpPr>
      </xdr:nvSpPr>
      <xdr:spPr>
        <a:xfrm>
          <a:off x="962025" y="344805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47625</xdr:rowOff>
    </xdr:from>
    <xdr:to>
      <xdr:col>2</xdr:col>
      <xdr:colOff>180975</xdr:colOff>
      <xdr:row>16</xdr:row>
      <xdr:rowOff>123825</xdr:rowOff>
    </xdr:to>
    <xdr:sp>
      <xdr:nvSpPr>
        <xdr:cNvPr id="10" name="Rectangle 20"/>
        <xdr:cNvSpPr>
          <a:spLocks/>
        </xdr:cNvSpPr>
      </xdr:nvSpPr>
      <xdr:spPr>
        <a:xfrm>
          <a:off x="962025" y="296227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12</xdr:col>
      <xdr:colOff>1095375</xdr:colOff>
      <xdr:row>1</xdr:row>
      <xdr:rowOff>9525</xdr:rowOff>
    </xdr:from>
    <xdr:to>
      <xdr:col>15</xdr:col>
      <xdr:colOff>19050</xdr:colOff>
      <xdr:row>3</xdr:row>
      <xdr:rowOff>95250</xdr:rowOff>
    </xdr:to>
    <xdr:pic>
      <xdr:nvPicPr>
        <xdr:cNvPr id="11" name="LogoKop1"/>
        <xdr:cNvPicPr preferRelativeResize="1">
          <a:picLocks noChangeAspect="1"/>
        </xdr:cNvPicPr>
      </xdr:nvPicPr>
      <xdr:blipFill>
        <a:blip r:embed="rId1"/>
        <a:stretch>
          <a:fillRect/>
        </a:stretch>
      </xdr:blipFill>
      <xdr:spPr>
        <a:xfrm>
          <a:off x="8086725" y="200025"/>
          <a:ext cx="146685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2933700</xdr:colOff>
      <xdr:row>1</xdr:row>
      <xdr:rowOff>19050</xdr:rowOff>
    </xdr:from>
    <xdr:to>
      <xdr:col>8</xdr:col>
      <xdr:colOff>0</xdr:colOff>
      <xdr:row>1</xdr:row>
      <xdr:rowOff>190500</xdr:rowOff>
    </xdr:to>
    <xdr:pic>
      <xdr:nvPicPr>
        <xdr:cNvPr id="1" name="LogoKop1"/>
        <xdr:cNvPicPr preferRelativeResize="1">
          <a:picLocks noChangeAspect="1"/>
        </xdr:cNvPicPr>
      </xdr:nvPicPr>
      <xdr:blipFill>
        <a:blip r:embed="rId1"/>
        <a:stretch>
          <a:fillRect/>
        </a:stretch>
      </xdr:blipFill>
      <xdr:spPr>
        <a:xfrm>
          <a:off x="8610600" y="219075"/>
          <a:ext cx="447675"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152400</xdr:colOff>
      <xdr:row>1</xdr:row>
      <xdr:rowOff>19050</xdr:rowOff>
    </xdr:from>
    <xdr:to>
      <xdr:col>4</xdr:col>
      <xdr:colOff>85725</xdr:colOff>
      <xdr:row>1</xdr:row>
      <xdr:rowOff>190500</xdr:rowOff>
    </xdr:to>
    <xdr:pic>
      <xdr:nvPicPr>
        <xdr:cNvPr id="1" name="Picture 101"/>
        <xdr:cNvPicPr preferRelativeResize="1">
          <a:picLocks noChangeAspect="1"/>
        </xdr:cNvPicPr>
      </xdr:nvPicPr>
      <xdr:blipFill>
        <a:blip r:embed="rId1"/>
        <a:stretch>
          <a:fillRect/>
        </a:stretch>
      </xdr:blipFill>
      <xdr:spPr>
        <a:xfrm>
          <a:off x="8743950" y="219075"/>
          <a:ext cx="447675" cy="171450"/>
        </a:xfrm>
        <a:prstGeom prst="rect">
          <a:avLst/>
        </a:prstGeom>
        <a:noFill/>
        <a:ln w="9525" cmpd="sng">
          <a:noFill/>
        </a:ln>
      </xdr:spPr>
    </xdr:pic>
    <xdr:clientData/>
  </xdr:twoCellAnchor>
  <xdr:twoCellAnchor editAs="absolute">
    <xdr:from>
      <xdr:col>3</xdr:col>
      <xdr:colOff>114300</xdr:colOff>
      <xdr:row>60</xdr:row>
      <xdr:rowOff>28575</xdr:rowOff>
    </xdr:from>
    <xdr:to>
      <xdr:col>4</xdr:col>
      <xdr:colOff>47625</xdr:colOff>
      <xdr:row>60</xdr:row>
      <xdr:rowOff>190500</xdr:rowOff>
    </xdr:to>
    <xdr:pic>
      <xdr:nvPicPr>
        <xdr:cNvPr id="2" name="Picture 103"/>
        <xdr:cNvPicPr preferRelativeResize="1">
          <a:picLocks noChangeAspect="1"/>
        </xdr:cNvPicPr>
      </xdr:nvPicPr>
      <xdr:blipFill>
        <a:blip r:embed="rId1"/>
        <a:stretch>
          <a:fillRect/>
        </a:stretch>
      </xdr:blipFill>
      <xdr:spPr>
        <a:xfrm>
          <a:off x="8705850" y="14859000"/>
          <a:ext cx="447675" cy="161925"/>
        </a:xfrm>
        <a:prstGeom prst="rect">
          <a:avLst/>
        </a:prstGeom>
        <a:noFill/>
        <a:ln w="9525" cmpd="sng">
          <a:noFill/>
        </a:ln>
      </xdr:spPr>
    </xdr:pic>
    <xdr:clientData/>
  </xdr:twoCellAnchor>
  <xdr:twoCellAnchor editAs="absolute">
    <xdr:from>
      <xdr:col>3</xdr:col>
      <xdr:colOff>142875</xdr:colOff>
      <xdr:row>99</xdr:row>
      <xdr:rowOff>28575</xdr:rowOff>
    </xdr:from>
    <xdr:to>
      <xdr:col>4</xdr:col>
      <xdr:colOff>76200</xdr:colOff>
      <xdr:row>100</xdr:row>
      <xdr:rowOff>0</xdr:rowOff>
    </xdr:to>
    <xdr:pic>
      <xdr:nvPicPr>
        <xdr:cNvPr id="3" name="Picture 104"/>
        <xdr:cNvPicPr preferRelativeResize="1">
          <a:picLocks noChangeAspect="1"/>
        </xdr:cNvPicPr>
      </xdr:nvPicPr>
      <xdr:blipFill>
        <a:blip r:embed="rId1"/>
        <a:stretch>
          <a:fillRect/>
        </a:stretch>
      </xdr:blipFill>
      <xdr:spPr>
        <a:xfrm>
          <a:off x="8734425" y="21536025"/>
          <a:ext cx="447675" cy="171450"/>
        </a:xfrm>
        <a:prstGeom prst="rect">
          <a:avLst/>
        </a:prstGeom>
        <a:noFill/>
        <a:ln w="9525" cmpd="sng">
          <a:noFill/>
        </a:ln>
      </xdr:spPr>
    </xdr:pic>
    <xdr:clientData/>
  </xdr:twoCellAnchor>
  <xdr:twoCellAnchor editAs="absolute">
    <xdr:from>
      <xdr:col>3</xdr:col>
      <xdr:colOff>19050</xdr:colOff>
      <xdr:row>30</xdr:row>
      <xdr:rowOff>19050</xdr:rowOff>
    </xdr:from>
    <xdr:to>
      <xdr:col>3</xdr:col>
      <xdr:colOff>466725</xdr:colOff>
      <xdr:row>31</xdr:row>
      <xdr:rowOff>0</xdr:rowOff>
    </xdr:to>
    <xdr:pic>
      <xdr:nvPicPr>
        <xdr:cNvPr id="4" name="Picture 107"/>
        <xdr:cNvPicPr preferRelativeResize="1">
          <a:picLocks noChangeAspect="1"/>
        </xdr:cNvPicPr>
      </xdr:nvPicPr>
      <xdr:blipFill>
        <a:blip r:embed="rId1"/>
        <a:stretch>
          <a:fillRect/>
        </a:stretch>
      </xdr:blipFill>
      <xdr:spPr>
        <a:xfrm>
          <a:off x="8610600" y="7524750"/>
          <a:ext cx="447675" cy="180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0</xdr:rowOff>
    </xdr:from>
    <xdr:to>
      <xdr:col>7</xdr:col>
      <xdr:colOff>0</xdr:colOff>
      <xdr:row>6</xdr:row>
      <xdr:rowOff>0</xdr:rowOff>
    </xdr:to>
    <xdr:grpSp>
      <xdr:nvGrpSpPr>
        <xdr:cNvPr id="1" name="Group 1"/>
        <xdr:cNvGrpSpPr>
          <a:grpSpLocks/>
        </xdr:cNvGrpSpPr>
      </xdr:nvGrpSpPr>
      <xdr:grpSpPr>
        <a:xfrm>
          <a:off x="4810125" y="1038225"/>
          <a:ext cx="0"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7</xdr:col>
      <xdr:colOff>0</xdr:colOff>
      <xdr:row>6</xdr:row>
      <xdr:rowOff>0</xdr:rowOff>
    </xdr:from>
    <xdr:to>
      <xdr:col>7</xdr:col>
      <xdr:colOff>0</xdr:colOff>
      <xdr:row>6</xdr:row>
      <xdr:rowOff>0</xdr:rowOff>
    </xdr:to>
    <xdr:grpSp>
      <xdr:nvGrpSpPr>
        <xdr:cNvPr id="5" name="Group 5"/>
        <xdr:cNvGrpSpPr>
          <a:grpSpLocks/>
        </xdr:cNvGrpSpPr>
      </xdr:nvGrpSpPr>
      <xdr:grpSpPr>
        <a:xfrm>
          <a:off x="4810125" y="1038225"/>
          <a:ext cx="0"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7</xdr:col>
      <xdr:colOff>0</xdr:colOff>
      <xdr:row>6</xdr:row>
      <xdr:rowOff>0</xdr:rowOff>
    </xdr:from>
    <xdr:to>
      <xdr:col>7</xdr:col>
      <xdr:colOff>0</xdr:colOff>
      <xdr:row>6</xdr:row>
      <xdr:rowOff>0</xdr:rowOff>
    </xdr:to>
    <xdr:grpSp>
      <xdr:nvGrpSpPr>
        <xdr:cNvPr id="9" name="Group 14"/>
        <xdr:cNvGrpSpPr>
          <a:grpSpLocks/>
        </xdr:cNvGrpSpPr>
      </xdr:nvGrpSpPr>
      <xdr:grpSpPr>
        <a:xfrm>
          <a:off x="4810125" y="1038225"/>
          <a:ext cx="0" cy="0"/>
          <a:chOff x="790" y="4"/>
          <a:chExt cx="90" cy="54"/>
        </a:xfrm>
        <a:solidFill>
          <a:srgbClr val="FFFFFF"/>
        </a:solidFill>
      </xdr:grpSpPr>
      <xdr:sp>
        <xdr:nvSpPr>
          <xdr:cNvPr id="10" name="Rectangle 15"/>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1" name="Picture 16"/>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2" name="TextBox 17"/>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7</xdr:col>
      <xdr:colOff>0</xdr:colOff>
      <xdr:row>6</xdr:row>
      <xdr:rowOff>0</xdr:rowOff>
    </xdr:from>
    <xdr:to>
      <xdr:col>7</xdr:col>
      <xdr:colOff>0</xdr:colOff>
      <xdr:row>6</xdr:row>
      <xdr:rowOff>0</xdr:rowOff>
    </xdr:to>
    <xdr:grpSp>
      <xdr:nvGrpSpPr>
        <xdr:cNvPr id="13" name="Group 18"/>
        <xdr:cNvGrpSpPr>
          <a:grpSpLocks/>
        </xdr:cNvGrpSpPr>
      </xdr:nvGrpSpPr>
      <xdr:grpSpPr>
        <a:xfrm>
          <a:off x="4810125" y="1038225"/>
          <a:ext cx="0" cy="0"/>
          <a:chOff x="790" y="4"/>
          <a:chExt cx="90" cy="54"/>
        </a:xfrm>
        <a:solidFill>
          <a:srgbClr val="FFFFFF"/>
        </a:solidFill>
      </xdr:grpSpPr>
      <xdr:sp>
        <xdr:nvSpPr>
          <xdr:cNvPr id="14" name="Rectangle 19"/>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5" name="Picture 20"/>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6" name="TextBox 21"/>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7</xdr:col>
      <xdr:colOff>0</xdr:colOff>
      <xdr:row>6</xdr:row>
      <xdr:rowOff>0</xdr:rowOff>
    </xdr:from>
    <xdr:to>
      <xdr:col>7</xdr:col>
      <xdr:colOff>0</xdr:colOff>
      <xdr:row>6</xdr:row>
      <xdr:rowOff>0</xdr:rowOff>
    </xdr:to>
    <xdr:grpSp>
      <xdr:nvGrpSpPr>
        <xdr:cNvPr id="17" name="Group 22"/>
        <xdr:cNvGrpSpPr>
          <a:grpSpLocks/>
        </xdr:cNvGrpSpPr>
      </xdr:nvGrpSpPr>
      <xdr:grpSpPr>
        <a:xfrm>
          <a:off x="4810125" y="1038225"/>
          <a:ext cx="0" cy="0"/>
          <a:chOff x="769" y="35"/>
          <a:chExt cx="110" cy="41"/>
        </a:xfrm>
        <a:solidFill>
          <a:srgbClr val="FFFFFF"/>
        </a:solidFill>
      </xdr:grpSpPr>
      <xdr:sp>
        <xdr:nvSpPr>
          <xdr:cNvPr id="18" name="Rectangle 2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9" name="Rectangle 2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0" name="Picture 25"/>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21" name="Rectangle 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0</xdr:colOff>
      <xdr:row>6</xdr:row>
      <xdr:rowOff>0</xdr:rowOff>
    </xdr:from>
    <xdr:to>
      <xdr:col>7</xdr:col>
      <xdr:colOff>0</xdr:colOff>
      <xdr:row>6</xdr:row>
      <xdr:rowOff>0</xdr:rowOff>
    </xdr:to>
    <xdr:grpSp>
      <xdr:nvGrpSpPr>
        <xdr:cNvPr id="22" name="Group 27"/>
        <xdr:cNvGrpSpPr>
          <a:grpSpLocks/>
        </xdr:cNvGrpSpPr>
      </xdr:nvGrpSpPr>
      <xdr:grpSpPr>
        <a:xfrm>
          <a:off x="4810125" y="1038225"/>
          <a:ext cx="0" cy="0"/>
          <a:chOff x="769" y="35"/>
          <a:chExt cx="110" cy="41"/>
        </a:xfrm>
        <a:solidFill>
          <a:srgbClr val="FFFFFF"/>
        </a:solidFill>
      </xdr:grpSpPr>
      <xdr:sp>
        <xdr:nvSpPr>
          <xdr:cNvPr id="23" name="Rectangle 2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2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5" name="Picture 30"/>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26" name="Rectangle 3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11</xdr:col>
      <xdr:colOff>314325</xdr:colOff>
      <xdr:row>1</xdr:row>
      <xdr:rowOff>19050</xdr:rowOff>
    </xdr:from>
    <xdr:to>
      <xdr:col>12</xdr:col>
      <xdr:colOff>238125</xdr:colOff>
      <xdr:row>1</xdr:row>
      <xdr:rowOff>190500</xdr:rowOff>
    </xdr:to>
    <xdr:pic>
      <xdr:nvPicPr>
        <xdr:cNvPr id="27" name="LogoKop1"/>
        <xdr:cNvPicPr preferRelativeResize="1">
          <a:picLocks noChangeAspect="1"/>
        </xdr:cNvPicPr>
      </xdr:nvPicPr>
      <xdr:blipFill>
        <a:blip r:embed="rId3"/>
        <a:stretch>
          <a:fillRect/>
        </a:stretch>
      </xdr:blipFill>
      <xdr:spPr>
        <a:xfrm>
          <a:off x="8601075" y="219075"/>
          <a:ext cx="447675" cy="171450"/>
        </a:xfrm>
        <a:prstGeom prst="rect">
          <a:avLst/>
        </a:prstGeom>
        <a:noFill/>
        <a:ln w="9525" cmpd="sng">
          <a:noFill/>
        </a:ln>
      </xdr:spPr>
    </xdr:pic>
    <xdr:clientData/>
  </xdr:twoCellAnchor>
  <xdr:twoCellAnchor editAs="absolute">
    <xdr:from>
      <xdr:col>11</xdr:col>
      <xdr:colOff>314325</xdr:colOff>
      <xdr:row>41</xdr:row>
      <xdr:rowOff>19050</xdr:rowOff>
    </xdr:from>
    <xdr:to>
      <xdr:col>12</xdr:col>
      <xdr:colOff>247650</xdr:colOff>
      <xdr:row>41</xdr:row>
      <xdr:rowOff>190500</xdr:rowOff>
    </xdr:to>
    <xdr:pic>
      <xdr:nvPicPr>
        <xdr:cNvPr id="28" name="Picture 79"/>
        <xdr:cNvPicPr preferRelativeResize="1">
          <a:picLocks noChangeAspect="1"/>
        </xdr:cNvPicPr>
      </xdr:nvPicPr>
      <xdr:blipFill>
        <a:blip r:embed="rId3"/>
        <a:stretch>
          <a:fillRect/>
        </a:stretch>
      </xdr:blipFill>
      <xdr:spPr>
        <a:xfrm>
          <a:off x="8601075" y="6591300"/>
          <a:ext cx="457200" cy="171450"/>
        </a:xfrm>
        <a:prstGeom prst="rect">
          <a:avLst/>
        </a:prstGeom>
        <a:noFill/>
        <a:ln w="9525" cmpd="sng">
          <a:noFill/>
        </a:ln>
      </xdr:spPr>
    </xdr:pic>
    <xdr:clientData/>
  </xdr:twoCellAnchor>
  <xdr:twoCellAnchor editAs="absolute">
    <xdr:from>
      <xdr:col>11</xdr:col>
      <xdr:colOff>314325</xdr:colOff>
      <xdr:row>88</xdr:row>
      <xdr:rowOff>19050</xdr:rowOff>
    </xdr:from>
    <xdr:to>
      <xdr:col>12</xdr:col>
      <xdr:colOff>247650</xdr:colOff>
      <xdr:row>88</xdr:row>
      <xdr:rowOff>190500</xdr:rowOff>
    </xdr:to>
    <xdr:pic>
      <xdr:nvPicPr>
        <xdr:cNvPr id="29" name="Picture 80"/>
        <xdr:cNvPicPr preferRelativeResize="1">
          <a:picLocks noChangeAspect="1"/>
        </xdr:cNvPicPr>
      </xdr:nvPicPr>
      <xdr:blipFill>
        <a:blip r:embed="rId3"/>
        <a:stretch>
          <a:fillRect/>
        </a:stretch>
      </xdr:blipFill>
      <xdr:spPr>
        <a:xfrm>
          <a:off x="8601075" y="13849350"/>
          <a:ext cx="457200" cy="171450"/>
        </a:xfrm>
        <a:prstGeom prst="rect">
          <a:avLst/>
        </a:prstGeom>
        <a:noFill/>
        <a:ln w="9525" cmpd="sng">
          <a:noFill/>
        </a:ln>
      </xdr:spPr>
    </xdr:pic>
    <xdr:clientData/>
  </xdr:twoCellAnchor>
  <xdr:twoCellAnchor editAs="absolute">
    <xdr:from>
      <xdr:col>12</xdr:col>
      <xdr:colOff>0</xdr:colOff>
      <xdr:row>126</xdr:row>
      <xdr:rowOff>38100</xdr:rowOff>
    </xdr:from>
    <xdr:to>
      <xdr:col>12</xdr:col>
      <xdr:colOff>447675</xdr:colOff>
      <xdr:row>127</xdr:row>
      <xdr:rowOff>9525</xdr:rowOff>
    </xdr:to>
    <xdr:pic>
      <xdr:nvPicPr>
        <xdr:cNvPr id="30" name="Picture 81"/>
        <xdr:cNvPicPr preferRelativeResize="1">
          <a:picLocks noChangeAspect="1"/>
        </xdr:cNvPicPr>
      </xdr:nvPicPr>
      <xdr:blipFill>
        <a:blip r:embed="rId3"/>
        <a:stretch>
          <a:fillRect/>
        </a:stretch>
      </xdr:blipFill>
      <xdr:spPr>
        <a:xfrm>
          <a:off x="8810625" y="19935825"/>
          <a:ext cx="447675"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43</xdr:row>
      <xdr:rowOff>0</xdr:rowOff>
    </xdr:from>
    <xdr:to>
      <xdr:col>13</xdr:col>
      <xdr:colOff>0</xdr:colOff>
      <xdr:row>43</xdr:row>
      <xdr:rowOff>0</xdr:rowOff>
    </xdr:to>
    <xdr:grpSp>
      <xdr:nvGrpSpPr>
        <xdr:cNvPr id="1" name="Group 71"/>
        <xdr:cNvGrpSpPr>
          <a:grpSpLocks/>
        </xdr:cNvGrpSpPr>
      </xdr:nvGrpSpPr>
      <xdr:grpSpPr>
        <a:xfrm>
          <a:off x="9410700" y="6877050"/>
          <a:ext cx="0" cy="0"/>
          <a:chOff x="790" y="4"/>
          <a:chExt cx="90" cy="54"/>
        </a:xfrm>
        <a:solidFill>
          <a:srgbClr val="FFFFFF"/>
        </a:solidFill>
      </xdr:grpSpPr>
      <xdr:sp>
        <xdr:nvSpPr>
          <xdr:cNvPr id="2" name="Rectangle 7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7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7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13</xdr:col>
      <xdr:colOff>0</xdr:colOff>
      <xdr:row>43</xdr:row>
      <xdr:rowOff>0</xdr:rowOff>
    </xdr:from>
    <xdr:to>
      <xdr:col>13</xdr:col>
      <xdr:colOff>0</xdr:colOff>
      <xdr:row>43</xdr:row>
      <xdr:rowOff>0</xdr:rowOff>
    </xdr:to>
    <xdr:grpSp>
      <xdr:nvGrpSpPr>
        <xdr:cNvPr id="5" name="Group 75"/>
        <xdr:cNvGrpSpPr>
          <a:grpSpLocks/>
        </xdr:cNvGrpSpPr>
      </xdr:nvGrpSpPr>
      <xdr:grpSpPr>
        <a:xfrm>
          <a:off x="9410700" y="6877050"/>
          <a:ext cx="0" cy="0"/>
          <a:chOff x="790" y="4"/>
          <a:chExt cx="90" cy="54"/>
        </a:xfrm>
        <a:solidFill>
          <a:srgbClr val="FFFFFF"/>
        </a:solidFill>
      </xdr:grpSpPr>
      <xdr:sp>
        <xdr:nvSpPr>
          <xdr:cNvPr id="6" name="Rectangle 7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7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13</xdr:col>
      <xdr:colOff>0</xdr:colOff>
      <xdr:row>69</xdr:row>
      <xdr:rowOff>0</xdr:rowOff>
    </xdr:from>
    <xdr:to>
      <xdr:col>13</xdr:col>
      <xdr:colOff>0</xdr:colOff>
      <xdr:row>69</xdr:row>
      <xdr:rowOff>0</xdr:rowOff>
    </xdr:to>
    <xdr:grpSp>
      <xdr:nvGrpSpPr>
        <xdr:cNvPr id="9" name="Group 132"/>
        <xdr:cNvGrpSpPr>
          <a:grpSpLocks/>
        </xdr:cNvGrpSpPr>
      </xdr:nvGrpSpPr>
      <xdr:grpSpPr>
        <a:xfrm>
          <a:off x="9410700" y="11163300"/>
          <a:ext cx="0" cy="0"/>
          <a:chOff x="790" y="4"/>
          <a:chExt cx="90" cy="54"/>
        </a:xfrm>
        <a:solidFill>
          <a:srgbClr val="FFFFFF"/>
        </a:solidFill>
      </xdr:grpSpPr>
      <xdr:sp>
        <xdr:nvSpPr>
          <xdr:cNvPr id="10" name="Rectangle 133"/>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1" name="Picture 134"/>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2" name="TextBox 135"/>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13</xdr:col>
      <xdr:colOff>0</xdr:colOff>
      <xdr:row>69</xdr:row>
      <xdr:rowOff>0</xdr:rowOff>
    </xdr:from>
    <xdr:to>
      <xdr:col>13</xdr:col>
      <xdr:colOff>0</xdr:colOff>
      <xdr:row>69</xdr:row>
      <xdr:rowOff>0</xdr:rowOff>
    </xdr:to>
    <xdr:grpSp>
      <xdr:nvGrpSpPr>
        <xdr:cNvPr id="13" name="Group 136"/>
        <xdr:cNvGrpSpPr>
          <a:grpSpLocks/>
        </xdr:cNvGrpSpPr>
      </xdr:nvGrpSpPr>
      <xdr:grpSpPr>
        <a:xfrm>
          <a:off x="9410700" y="11163300"/>
          <a:ext cx="0" cy="0"/>
          <a:chOff x="790" y="4"/>
          <a:chExt cx="90" cy="54"/>
        </a:xfrm>
        <a:solidFill>
          <a:srgbClr val="FFFFFF"/>
        </a:solidFill>
      </xdr:grpSpPr>
      <xdr:sp>
        <xdr:nvSpPr>
          <xdr:cNvPr id="14" name="Rectangle 1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5" name="Picture 1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6" name="TextBox 1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editAs="absolute">
    <xdr:from>
      <xdr:col>11</xdr:col>
      <xdr:colOff>561975</xdr:colOff>
      <xdr:row>1</xdr:row>
      <xdr:rowOff>19050</xdr:rowOff>
    </xdr:from>
    <xdr:to>
      <xdr:col>12</xdr:col>
      <xdr:colOff>428625</xdr:colOff>
      <xdr:row>1</xdr:row>
      <xdr:rowOff>190500</xdr:rowOff>
    </xdr:to>
    <xdr:pic>
      <xdr:nvPicPr>
        <xdr:cNvPr id="17" name="LogoKop1"/>
        <xdr:cNvPicPr preferRelativeResize="1">
          <a:picLocks noChangeAspect="1"/>
        </xdr:cNvPicPr>
      </xdr:nvPicPr>
      <xdr:blipFill>
        <a:blip r:embed="rId2"/>
        <a:stretch>
          <a:fillRect/>
        </a:stretch>
      </xdr:blipFill>
      <xdr:spPr>
        <a:xfrm>
          <a:off x="8543925" y="219075"/>
          <a:ext cx="447675" cy="171450"/>
        </a:xfrm>
        <a:prstGeom prst="rect">
          <a:avLst/>
        </a:prstGeom>
        <a:noFill/>
        <a:ln w="9525" cmpd="sng">
          <a:noFill/>
        </a:ln>
      </xdr:spPr>
    </xdr:pic>
    <xdr:clientData/>
  </xdr:twoCellAnchor>
  <xdr:twoCellAnchor editAs="absolute">
    <xdr:from>
      <xdr:col>11</xdr:col>
      <xdr:colOff>561975</xdr:colOff>
      <xdr:row>45</xdr:row>
      <xdr:rowOff>19050</xdr:rowOff>
    </xdr:from>
    <xdr:to>
      <xdr:col>12</xdr:col>
      <xdr:colOff>428625</xdr:colOff>
      <xdr:row>45</xdr:row>
      <xdr:rowOff>190500</xdr:rowOff>
    </xdr:to>
    <xdr:pic>
      <xdr:nvPicPr>
        <xdr:cNvPr id="18" name="Picture 151"/>
        <xdr:cNvPicPr preferRelativeResize="1">
          <a:picLocks noChangeAspect="1"/>
        </xdr:cNvPicPr>
      </xdr:nvPicPr>
      <xdr:blipFill>
        <a:blip r:embed="rId2"/>
        <a:stretch>
          <a:fillRect/>
        </a:stretch>
      </xdr:blipFill>
      <xdr:spPr>
        <a:xfrm>
          <a:off x="8543925" y="7258050"/>
          <a:ext cx="447675" cy="171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10</xdr:col>
      <xdr:colOff>0</xdr:colOff>
      <xdr:row>0</xdr:row>
      <xdr:rowOff>0</xdr:rowOff>
    </xdr:to>
    <xdr:grpSp>
      <xdr:nvGrpSpPr>
        <xdr:cNvPr id="1" name="Group 79"/>
        <xdr:cNvGrpSpPr>
          <a:grpSpLocks/>
        </xdr:cNvGrpSpPr>
      </xdr:nvGrpSpPr>
      <xdr:grpSpPr>
        <a:xfrm>
          <a:off x="7667625" y="0"/>
          <a:ext cx="847725" cy="0"/>
          <a:chOff x="790" y="4"/>
          <a:chExt cx="90" cy="54"/>
        </a:xfrm>
        <a:solidFill>
          <a:srgbClr val="FFFFFF"/>
        </a:solidFill>
      </xdr:grpSpPr>
      <xdr:sp>
        <xdr:nvSpPr>
          <xdr:cNvPr id="2" name="Rectangle 80"/>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81"/>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82"/>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9</xdr:col>
      <xdr:colOff>0</xdr:colOff>
      <xdr:row>0</xdr:row>
      <xdr:rowOff>0</xdr:rowOff>
    </xdr:from>
    <xdr:to>
      <xdr:col>10</xdr:col>
      <xdr:colOff>0</xdr:colOff>
      <xdr:row>0</xdr:row>
      <xdr:rowOff>0</xdr:rowOff>
    </xdr:to>
    <xdr:grpSp>
      <xdr:nvGrpSpPr>
        <xdr:cNvPr id="5" name="Group 83"/>
        <xdr:cNvGrpSpPr>
          <a:grpSpLocks/>
        </xdr:cNvGrpSpPr>
      </xdr:nvGrpSpPr>
      <xdr:grpSpPr>
        <a:xfrm>
          <a:off x="7667625" y="0"/>
          <a:ext cx="847725" cy="0"/>
          <a:chOff x="790" y="4"/>
          <a:chExt cx="90" cy="54"/>
        </a:xfrm>
        <a:solidFill>
          <a:srgbClr val="FFFFFF"/>
        </a:solidFill>
      </xdr:grpSpPr>
      <xdr:sp>
        <xdr:nvSpPr>
          <xdr:cNvPr id="6" name="Rectangle 84"/>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85"/>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6"/>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editAs="absolute">
    <xdr:from>
      <xdr:col>10</xdr:col>
      <xdr:colOff>0</xdr:colOff>
      <xdr:row>1</xdr:row>
      <xdr:rowOff>19050</xdr:rowOff>
    </xdr:from>
    <xdr:to>
      <xdr:col>10</xdr:col>
      <xdr:colOff>447675</xdr:colOff>
      <xdr:row>1</xdr:row>
      <xdr:rowOff>190500</xdr:rowOff>
    </xdr:to>
    <xdr:pic>
      <xdr:nvPicPr>
        <xdr:cNvPr id="9" name="LogoKop1"/>
        <xdr:cNvPicPr preferRelativeResize="1">
          <a:picLocks noChangeAspect="1"/>
        </xdr:cNvPicPr>
      </xdr:nvPicPr>
      <xdr:blipFill>
        <a:blip r:embed="rId2"/>
        <a:stretch>
          <a:fillRect/>
        </a:stretch>
      </xdr:blipFill>
      <xdr:spPr>
        <a:xfrm>
          <a:off x="8515350" y="219075"/>
          <a:ext cx="447675" cy="171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32</xdr:row>
      <xdr:rowOff>0</xdr:rowOff>
    </xdr:from>
    <xdr:to>
      <xdr:col>6</xdr:col>
      <xdr:colOff>0</xdr:colOff>
      <xdr:row>32</xdr:row>
      <xdr:rowOff>0</xdr:rowOff>
    </xdr:to>
    <xdr:grpSp>
      <xdr:nvGrpSpPr>
        <xdr:cNvPr id="1" name="Group 25"/>
        <xdr:cNvGrpSpPr>
          <a:grpSpLocks/>
        </xdr:cNvGrpSpPr>
      </xdr:nvGrpSpPr>
      <xdr:grpSpPr>
        <a:xfrm>
          <a:off x="4638675" y="5238750"/>
          <a:ext cx="0" cy="0"/>
          <a:chOff x="769" y="35"/>
          <a:chExt cx="110" cy="41"/>
        </a:xfrm>
        <a:solidFill>
          <a:srgbClr val="FFFFFF"/>
        </a:solidFill>
      </xdr:grpSpPr>
      <xdr:sp>
        <xdr:nvSpPr>
          <xdr:cNvPr id="2" name="Rectangle 2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2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2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2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40</xdr:row>
      <xdr:rowOff>0</xdr:rowOff>
    </xdr:from>
    <xdr:to>
      <xdr:col>6</xdr:col>
      <xdr:colOff>0</xdr:colOff>
      <xdr:row>40</xdr:row>
      <xdr:rowOff>0</xdr:rowOff>
    </xdr:to>
    <xdr:grpSp>
      <xdr:nvGrpSpPr>
        <xdr:cNvPr id="6" name="Group 35"/>
        <xdr:cNvGrpSpPr>
          <a:grpSpLocks/>
        </xdr:cNvGrpSpPr>
      </xdr:nvGrpSpPr>
      <xdr:grpSpPr>
        <a:xfrm>
          <a:off x="4638675" y="6457950"/>
          <a:ext cx="0" cy="0"/>
          <a:chOff x="769" y="35"/>
          <a:chExt cx="110" cy="41"/>
        </a:xfrm>
        <a:solidFill>
          <a:srgbClr val="FFFFFF"/>
        </a:solidFill>
      </xdr:grpSpPr>
      <xdr:sp>
        <xdr:nvSpPr>
          <xdr:cNvPr id="7" name="Rectangle 3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3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3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3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96</xdr:row>
      <xdr:rowOff>0</xdr:rowOff>
    </xdr:from>
    <xdr:to>
      <xdr:col>6</xdr:col>
      <xdr:colOff>0</xdr:colOff>
      <xdr:row>96</xdr:row>
      <xdr:rowOff>0</xdr:rowOff>
    </xdr:to>
    <xdr:grpSp>
      <xdr:nvGrpSpPr>
        <xdr:cNvPr id="11" name="Group 65"/>
        <xdr:cNvGrpSpPr>
          <a:grpSpLocks/>
        </xdr:cNvGrpSpPr>
      </xdr:nvGrpSpPr>
      <xdr:grpSpPr>
        <a:xfrm>
          <a:off x="4638675" y="15154275"/>
          <a:ext cx="0" cy="0"/>
          <a:chOff x="769" y="35"/>
          <a:chExt cx="110" cy="41"/>
        </a:xfrm>
        <a:solidFill>
          <a:srgbClr val="FFFFFF"/>
        </a:solidFill>
      </xdr:grpSpPr>
      <xdr:sp>
        <xdr:nvSpPr>
          <xdr:cNvPr id="12" name="Rectangle 6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6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6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6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12</xdr:col>
      <xdr:colOff>0</xdr:colOff>
      <xdr:row>1</xdr:row>
      <xdr:rowOff>19050</xdr:rowOff>
    </xdr:from>
    <xdr:to>
      <xdr:col>12</xdr:col>
      <xdr:colOff>447675</xdr:colOff>
      <xdr:row>1</xdr:row>
      <xdr:rowOff>190500</xdr:rowOff>
    </xdr:to>
    <xdr:pic>
      <xdr:nvPicPr>
        <xdr:cNvPr id="16" name="LogoKop1"/>
        <xdr:cNvPicPr preferRelativeResize="1">
          <a:picLocks noChangeAspect="1"/>
        </xdr:cNvPicPr>
      </xdr:nvPicPr>
      <xdr:blipFill>
        <a:blip r:embed="rId2"/>
        <a:stretch>
          <a:fillRect/>
        </a:stretch>
      </xdr:blipFill>
      <xdr:spPr>
        <a:xfrm>
          <a:off x="8505825" y="219075"/>
          <a:ext cx="447675" cy="171450"/>
        </a:xfrm>
        <a:prstGeom prst="rect">
          <a:avLst/>
        </a:prstGeom>
        <a:noFill/>
        <a:ln w="9525" cmpd="sng">
          <a:noFill/>
        </a:ln>
      </xdr:spPr>
    </xdr:pic>
    <xdr:clientData/>
  </xdr:twoCellAnchor>
  <xdr:twoCellAnchor editAs="absolute">
    <xdr:from>
      <xdr:col>12</xdr:col>
      <xdr:colOff>0</xdr:colOff>
      <xdr:row>43</xdr:row>
      <xdr:rowOff>19050</xdr:rowOff>
    </xdr:from>
    <xdr:to>
      <xdr:col>12</xdr:col>
      <xdr:colOff>447675</xdr:colOff>
      <xdr:row>43</xdr:row>
      <xdr:rowOff>190500</xdr:rowOff>
    </xdr:to>
    <xdr:pic>
      <xdr:nvPicPr>
        <xdr:cNvPr id="17" name="Picture 83"/>
        <xdr:cNvPicPr preferRelativeResize="1">
          <a:picLocks noChangeAspect="1"/>
        </xdr:cNvPicPr>
      </xdr:nvPicPr>
      <xdr:blipFill>
        <a:blip r:embed="rId2"/>
        <a:stretch>
          <a:fillRect/>
        </a:stretch>
      </xdr:blipFill>
      <xdr:spPr>
        <a:xfrm>
          <a:off x="8505825" y="6943725"/>
          <a:ext cx="447675" cy="171450"/>
        </a:xfrm>
        <a:prstGeom prst="rect">
          <a:avLst/>
        </a:prstGeom>
        <a:noFill/>
        <a:ln w="9525" cmpd="sng">
          <a:noFill/>
        </a:ln>
      </xdr:spPr>
    </xdr:pic>
    <xdr:clientData/>
  </xdr:twoCellAnchor>
  <xdr:twoCellAnchor editAs="absolute">
    <xdr:from>
      <xdr:col>12</xdr:col>
      <xdr:colOff>95250</xdr:colOff>
      <xdr:row>89</xdr:row>
      <xdr:rowOff>9525</xdr:rowOff>
    </xdr:from>
    <xdr:to>
      <xdr:col>12</xdr:col>
      <xdr:colOff>542925</xdr:colOff>
      <xdr:row>89</xdr:row>
      <xdr:rowOff>142875</xdr:rowOff>
    </xdr:to>
    <xdr:pic>
      <xdr:nvPicPr>
        <xdr:cNvPr id="18" name="Picture 84"/>
        <xdr:cNvPicPr preferRelativeResize="1">
          <a:picLocks noChangeAspect="1"/>
        </xdr:cNvPicPr>
      </xdr:nvPicPr>
      <xdr:blipFill>
        <a:blip r:embed="rId2"/>
        <a:stretch>
          <a:fillRect/>
        </a:stretch>
      </xdr:blipFill>
      <xdr:spPr>
        <a:xfrm>
          <a:off x="8601075" y="14039850"/>
          <a:ext cx="447675" cy="133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104775</xdr:colOff>
      <xdr:row>1</xdr:row>
      <xdr:rowOff>19050</xdr:rowOff>
    </xdr:from>
    <xdr:to>
      <xdr:col>12</xdr:col>
      <xdr:colOff>57150</xdr:colOff>
      <xdr:row>1</xdr:row>
      <xdr:rowOff>190500</xdr:rowOff>
    </xdr:to>
    <xdr:pic>
      <xdr:nvPicPr>
        <xdr:cNvPr id="1" name="LogoKop1"/>
        <xdr:cNvPicPr preferRelativeResize="1">
          <a:picLocks noChangeAspect="1"/>
        </xdr:cNvPicPr>
      </xdr:nvPicPr>
      <xdr:blipFill>
        <a:blip r:embed="rId1"/>
        <a:stretch>
          <a:fillRect/>
        </a:stretch>
      </xdr:blipFill>
      <xdr:spPr>
        <a:xfrm>
          <a:off x="8505825" y="219075"/>
          <a:ext cx="447675" cy="171450"/>
        </a:xfrm>
        <a:prstGeom prst="rect">
          <a:avLst/>
        </a:prstGeom>
        <a:noFill/>
        <a:ln w="9525" cmpd="sng">
          <a:noFill/>
        </a:ln>
      </xdr:spPr>
    </xdr:pic>
    <xdr:clientData/>
  </xdr:twoCellAnchor>
  <xdr:twoCellAnchor editAs="absolute">
    <xdr:from>
      <xdr:col>11</xdr:col>
      <xdr:colOff>104775</xdr:colOff>
      <xdr:row>43</xdr:row>
      <xdr:rowOff>19050</xdr:rowOff>
    </xdr:from>
    <xdr:to>
      <xdr:col>12</xdr:col>
      <xdr:colOff>57150</xdr:colOff>
      <xdr:row>43</xdr:row>
      <xdr:rowOff>190500</xdr:rowOff>
    </xdr:to>
    <xdr:pic>
      <xdr:nvPicPr>
        <xdr:cNvPr id="2" name="Picture 35"/>
        <xdr:cNvPicPr preferRelativeResize="1">
          <a:picLocks noChangeAspect="1"/>
        </xdr:cNvPicPr>
      </xdr:nvPicPr>
      <xdr:blipFill>
        <a:blip r:embed="rId1"/>
        <a:stretch>
          <a:fillRect/>
        </a:stretch>
      </xdr:blipFill>
      <xdr:spPr>
        <a:xfrm>
          <a:off x="8505825" y="6886575"/>
          <a:ext cx="447675"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6.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mer3@ctgzorg.nl"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1"/>
  <dimension ref="A2:U410"/>
  <sheetViews>
    <sheetView zoomScale="95" zoomScaleNormal="95" workbookViewId="0" topLeftCell="A1">
      <selection activeCell="F19" sqref="F19"/>
    </sheetView>
  </sheetViews>
  <sheetFormatPr defaultColWidth="9.140625" defaultRowHeight="12.75"/>
  <cols>
    <col min="1" max="1" width="5.7109375" style="1" customWidth="1"/>
    <col min="2" max="2" width="9.7109375" style="2" customWidth="1"/>
    <col min="3" max="3" width="20.57421875" style="2" customWidth="1"/>
    <col min="4" max="4" width="10.7109375" style="3" customWidth="1"/>
    <col min="5" max="5" width="10.421875" style="2" customWidth="1"/>
    <col min="6" max="6" width="16.421875" style="2" customWidth="1"/>
    <col min="7" max="7" width="18.140625" style="4" customWidth="1"/>
    <col min="8" max="8" width="10.7109375" style="1" customWidth="1"/>
    <col min="9" max="9" width="10.7109375" style="2" customWidth="1"/>
    <col min="10" max="10" width="2.7109375" style="5" customWidth="1"/>
    <col min="11" max="13" width="2.7109375" style="2" customWidth="1"/>
    <col min="14" max="14" width="9.8515625" style="2" customWidth="1"/>
    <col min="15" max="15" width="10.28125" style="93" bestFit="1" customWidth="1"/>
    <col min="16" max="16" width="10.7109375" style="96" bestFit="1" customWidth="1"/>
    <col min="17" max="17" width="9.8515625" style="93" bestFit="1" customWidth="1"/>
    <col min="18" max="21" width="8.7109375" style="93" customWidth="1"/>
    <col min="22" max="16384" width="8.7109375" style="2" customWidth="1"/>
  </cols>
  <sheetData>
    <row r="1" ht="15.75" customHeight="1"/>
    <row r="2" spans="1:21" s="11" customFormat="1" ht="15.75" customHeight="1">
      <c r="A2" s="6" t="e">
        <f>CONCATENATE("Nacalculatie ",#REF!," Psychiatrische Ziekenhuizen en Ribw´s")</f>
        <v>#REF!</v>
      </c>
      <c r="B2" s="7"/>
      <c r="C2" s="8" t="e">
        <f>#REF!</f>
        <v>#REF!</v>
      </c>
      <c r="D2" s="8" t="e">
        <f>#REF!</f>
        <v>#REF!</v>
      </c>
      <c r="E2" s="8" t="e">
        <f>#REF!</f>
        <v>#REF!</v>
      </c>
      <c r="F2" s="8" t="e">
        <f>#REF!</f>
        <v>#REF!</v>
      </c>
      <c r="G2" s="8" t="e">
        <f>#REF!</f>
        <v>#REF!</v>
      </c>
      <c r="H2" s="8" t="e">
        <f>#REF!</f>
        <v>#REF!</v>
      </c>
      <c r="I2" s="8" t="e">
        <f>#REF!</f>
        <v>#REF!</v>
      </c>
      <c r="J2" s="8" t="e">
        <f>#REF!</f>
        <v>#REF!</v>
      </c>
      <c r="K2" s="7"/>
      <c r="L2" s="9"/>
      <c r="M2" s="10">
        <f>instructie!E31+1</f>
        <v>5</v>
      </c>
      <c r="O2" s="12"/>
      <c r="P2" s="13"/>
      <c r="Q2" s="12"/>
      <c r="R2" s="12"/>
      <c r="S2" s="12"/>
      <c r="T2" s="12"/>
      <c r="U2" s="12"/>
    </row>
    <row r="3" ht="12.75">
      <c r="M3" s="5"/>
    </row>
    <row r="4" spans="1:21" ht="12.75" customHeight="1">
      <c r="A4" s="14" t="str">
        <f>CONCATENATE("RUBRIEK 1: WERKELIJKE OPBRENGSTEN")</f>
        <v>RUBRIEK 1: WERKELIJKE OPBRENGSTEN</v>
      </c>
      <c r="B4" s="15"/>
      <c r="C4" s="15"/>
      <c r="D4" s="16"/>
      <c r="E4" s="230" t="str">
        <f>CONCATENATE("(Ribw´s alleen ",A8,", ",A34,", ",E37," en ",A42,")")</f>
        <v>(Ribw´s alleen 1.1 , 1.4, 1.6  en 1.7)</v>
      </c>
      <c r="F4" s="17"/>
      <c r="G4" s="18"/>
      <c r="H4" s="2"/>
      <c r="I4" s="17"/>
      <c r="J4" s="19"/>
      <c r="K4" s="17"/>
      <c r="L4" s="15"/>
      <c r="M4" s="96"/>
      <c r="N4" s="93"/>
      <c r="P4" s="93"/>
      <c r="S4" s="2"/>
      <c r="T4" s="2"/>
      <c r="U4" s="2"/>
    </row>
    <row r="5" spans="2:21" ht="12.75" customHeight="1">
      <c r="B5" s="20"/>
      <c r="C5" s="20"/>
      <c r="D5" s="20"/>
      <c r="E5" s="20"/>
      <c r="F5" s="20"/>
      <c r="G5" s="20"/>
      <c r="H5" s="20"/>
      <c r="I5" s="20"/>
      <c r="J5" s="20"/>
      <c r="K5" s="20"/>
      <c r="L5" s="20"/>
      <c r="M5" s="93"/>
      <c r="N5" s="93"/>
      <c r="P5" s="93"/>
      <c r="S5" s="2"/>
      <c r="T5" s="2"/>
      <c r="U5" s="2"/>
    </row>
    <row r="6" spans="1:6" s="11" customFormat="1" ht="12.75" customHeight="1">
      <c r="A6" s="21"/>
      <c r="B6" s="22" t="s">
        <v>975</v>
      </c>
      <c r="C6" s="23" t="s">
        <v>969</v>
      </c>
      <c r="D6" s="24"/>
      <c r="E6" s="197"/>
      <c r="F6" s="22" t="s">
        <v>975</v>
      </c>
    </row>
    <row r="7" spans="1:21" ht="12.75" customHeight="1">
      <c r="A7" s="20"/>
      <c r="B7" s="3"/>
      <c r="C7" s="20"/>
      <c r="D7" s="20"/>
      <c r="E7" s="20"/>
      <c r="F7" s="20"/>
      <c r="G7" s="93"/>
      <c r="H7" s="93"/>
      <c r="I7" s="93"/>
      <c r="J7" s="93"/>
      <c r="K7" s="93"/>
      <c r="O7" s="2"/>
      <c r="P7" s="2"/>
      <c r="Q7" s="2"/>
      <c r="R7" s="2"/>
      <c r="S7" s="2"/>
      <c r="T7" s="2"/>
      <c r="U7" s="2"/>
    </row>
    <row r="8" spans="1:6" s="90" customFormat="1" ht="12.75" customHeight="1">
      <c r="A8" s="26" t="s">
        <v>959</v>
      </c>
      <c r="B8" s="28"/>
      <c r="C8" s="29"/>
      <c r="D8" s="27"/>
      <c r="E8" s="26" t="s">
        <v>958</v>
      </c>
      <c r="F8" s="29"/>
    </row>
    <row r="9" spans="1:6" s="90" customFormat="1" ht="12.75" customHeight="1">
      <c r="A9" s="31">
        <f>Opbrengsten!A8</f>
        <v>1101</v>
      </c>
      <c r="B9" s="267">
        <f>Opbrengsten!D8</f>
        <v>0</v>
      </c>
      <c r="C9" s="268">
        <f>Opbrengsten!E8</f>
        <v>0</v>
      </c>
      <c r="D9" s="27"/>
      <c r="E9" s="31">
        <f>A38+1</f>
        <v>1125</v>
      </c>
      <c r="F9" s="267">
        <f>Opbrengsten!K8</f>
        <v>0</v>
      </c>
    </row>
    <row r="10" spans="1:6" s="42" customFormat="1" ht="12.75" customHeight="1">
      <c r="A10" s="32">
        <f aca="true" t="shared" si="0" ref="A10:A17">A9+1</f>
        <v>1102</v>
      </c>
      <c r="B10" s="267">
        <f>Opbrengsten!D9</f>
        <v>0</v>
      </c>
      <c r="C10" s="268">
        <f>Opbrengsten!E9</f>
        <v>0</v>
      </c>
      <c r="D10" s="33"/>
      <c r="E10" s="34">
        <f aca="true" t="shared" si="1" ref="E10:E28">E9+1</f>
        <v>1126</v>
      </c>
      <c r="F10" s="267">
        <f>Opbrengsten!K9</f>
        <v>0</v>
      </c>
    </row>
    <row r="11" spans="1:6" s="42" customFormat="1" ht="12.75" customHeight="1">
      <c r="A11" s="34">
        <f t="shared" si="0"/>
        <v>1103</v>
      </c>
      <c r="B11" s="267">
        <f>Opbrengsten!D10</f>
        <v>0</v>
      </c>
      <c r="C11" s="268">
        <f>Opbrengsten!E10</f>
        <v>0</v>
      </c>
      <c r="D11" s="33"/>
      <c r="E11" s="34">
        <f t="shared" si="1"/>
        <v>1127</v>
      </c>
      <c r="F11" s="267">
        <f>Opbrengsten!K10</f>
        <v>0</v>
      </c>
    </row>
    <row r="12" spans="1:6" s="42" customFormat="1" ht="12.75" customHeight="1">
      <c r="A12" s="34">
        <f t="shared" si="0"/>
        <v>1104</v>
      </c>
      <c r="B12" s="267">
        <f>Opbrengsten!D11</f>
        <v>0</v>
      </c>
      <c r="C12" s="268">
        <f>Opbrengsten!E11</f>
        <v>0</v>
      </c>
      <c r="D12" s="33"/>
      <c r="E12" s="34">
        <f t="shared" si="1"/>
        <v>1128</v>
      </c>
      <c r="F12" s="267">
        <f>Opbrengsten!K11</f>
        <v>0</v>
      </c>
    </row>
    <row r="13" spans="1:6" s="42" customFormat="1" ht="12.75" customHeight="1">
      <c r="A13" s="34">
        <f t="shared" si="0"/>
        <v>1105</v>
      </c>
      <c r="B13" s="267">
        <f>Opbrengsten!D12</f>
        <v>0</v>
      </c>
      <c r="C13" s="268">
        <f>Opbrengsten!E12</f>
        <v>0</v>
      </c>
      <c r="D13" s="33"/>
      <c r="E13" s="34">
        <f t="shared" si="1"/>
        <v>1129</v>
      </c>
      <c r="F13" s="267">
        <f>Opbrengsten!K12</f>
        <v>0</v>
      </c>
    </row>
    <row r="14" spans="1:8" s="42" customFormat="1" ht="12.75" customHeight="1">
      <c r="A14" s="34">
        <f t="shared" si="0"/>
        <v>1106</v>
      </c>
      <c r="B14" s="267">
        <f>Opbrengsten!D13</f>
        <v>0</v>
      </c>
      <c r="C14" s="268">
        <f>Opbrengsten!E13</f>
        <v>0</v>
      </c>
      <c r="D14" s="33"/>
      <c r="E14" s="34">
        <f t="shared" si="1"/>
        <v>1130</v>
      </c>
      <c r="F14" s="267">
        <f>Opbrengsten!K13</f>
        <v>0</v>
      </c>
      <c r="H14" s="90"/>
    </row>
    <row r="15" spans="1:8" s="42" customFormat="1" ht="12.75" customHeight="1">
      <c r="A15" s="35">
        <f t="shared" si="0"/>
        <v>1107</v>
      </c>
      <c r="B15" s="267">
        <f>Opbrengsten!D14</f>
        <v>0</v>
      </c>
      <c r="C15" s="269"/>
      <c r="D15" s="33"/>
      <c r="E15" s="34">
        <f t="shared" si="1"/>
        <v>1131</v>
      </c>
      <c r="F15" s="267">
        <f>Opbrengsten!K15</f>
        <v>0</v>
      </c>
      <c r="H15" s="90"/>
    </row>
    <row r="16" spans="1:8" s="42" customFormat="1" ht="12.75" customHeight="1">
      <c r="A16" s="54">
        <f t="shared" si="0"/>
        <v>1108</v>
      </c>
      <c r="B16" s="270">
        <f>Opbrengsten!D15</f>
        <v>0</v>
      </c>
      <c r="C16" s="268">
        <f>Opbrengsten!E15</f>
        <v>0</v>
      </c>
      <c r="D16" s="33"/>
      <c r="E16" s="34">
        <f t="shared" si="1"/>
        <v>1132</v>
      </c>
      <c r="F16" s="267">
        <f>Opbrengsten!K16</f>
        <v>0</v>
      </c>
      <c r="H16" s="90"/>
    </row>
    <row r="17" spans="1:8" s="42" customFormat="1" ht="12.75" customHeight="1">
      <c r="A17" s="37">
        <f t="shared" si="0"/>
        <v>1109</v>
      </c>
      <c r="B17" s="39"/>
      <c r="C17" s="40"/>
      <c r="D17" s="33"/>
      <c r="E17" s="34">
        <f t="shared" si="1"/>
        <v>1133</v>
      </c>
      <c r="F17" s="267">
        <f>Opbrengsten!K17</f>
        <v>0</v>
      </c>
      <c r="H17" s="90"/>
    </row>
    <row r="18" spans="1:8" s="42" customFormat="1" ht="12.75" customHeight="1">
      <c r="A18" s="41"/>
      <c r="B18" s="238"/>
      <c r="D18" s="33"/>
      <c r="E18" s="34">
        <f t="shared" si="1"/>
        <v>1134</v>
      </c>
      <c r="F18" s="267">
        <f>Opbrengsten!K18</f>
        <v>0</v>
      </c>
      <c r="H18" s="90"/>
    </row>
    <row r="19" spans="1:8" s="42" customFormat="1" ht="12.75" customHeight="1">
      <c r="A19" s="26" t="s">
        <v>960</v>
      </c>
      <c r="B19" s="28"/>
      <c r="C19" s="29"/>
      <c r="D19" s="33"/>
      <c r="E19" s="34">
        <f t="shared" si="1"/>
        <v>1135</v>
      </c>
      <c r="F19" s="267">
        <f>Opbrengsten!K19</f>
        <v>0</v>
      </c>
      <c r="H19" s="90"/>
    </row>
    <row r="20" spans="1:8" s="42" customFormat="1" ht="12.75" customHeight="1">
      <c r="A20" s="31">
        <f>A17+1</f>
        <v>1110</v>
      </c>
      <c r="B20" s="267">
        <f>Opbrengsten!D50</f>
        <v>0</v>
      </c>
      <c r="C20" s="269"/>
      <c r="D20" s="44"/>
      <c r="E20" s="34">
        <f t="shared" si="1"/>
        <v>1136</v>
      </c>
      <c r="F20" s="267">
        <f>Opbrengsten!K20</f>
        <v>0</v>
      </c>
      <c r="H20" s="90"/>
    </row>
    <row r="21" spans="1:8" s="42" customFormat="1" ht="12.75" customHeight="1">
      <c r="A21" s="32">
        <f>A20+1</f>
        <v>1111</v>
      </c>
      <c r="B21" s="267">
        <f>Opbrengsten!D51</f>
        <v>0</v>
      </c>
      <c r="C21" s="269"/>
      <c r="D21" s="45"/>
      <c r="E21" s="34">
        <f t="shared" si="1"/>
        <v>1137</v>
      </c>
      <c r="F21" s="267">
        <f>Opbrengsten!K21</f>
        <v>0</v>
      </c>
      <c r="H21" s="90"/>
    </row>
    <row r="22" spans="1:6" s="90" customFormat="1" ht="12.75" customHeight="1">
      <c r="A22" s="32">
        <f>A21+1</f>
        <v>1112</v>
      </c>
      <c r="B22" s="267">
        <f>Opbrengsten!D52</f>
        <v>0</v>
      </c>
      <c r="C22" s="269"/>
      <c r="D22" s="27"/>
      <c r="E22" s="34">
        <f t="shared" si="1"/>
        <v>1138</v>
      </c>
      <c r="F22" s="267">
        <f>Opbrengsten!K22</f>
        <v>0</v>
      </c>
    </row>
    <row r="23" spans="1:6" s="90" customFormat="1" ht="12.75" customHeight="1">
      <c r="A23" s="32">
        <f>A22+1</f>
        <v>1113</v>
      </c>
      <c r="B23" s="267">
        <f>Opbrengsten!D53</f>
        <v>0</v>
      </c>
      <c r="C23" s="269"/>
      <c r="D23" s="27"/>
      <c r="E23" s="34">
        <f t="shared" si="1"/>
        <v>1139</v>
      </c>
      <c r="F23" s="267">
        <f>Opbrengsten!K23</f>
        <v>0</v>
      </c>
    </row>
    <row r="24" spans="1:6" s="42" customFormat="1" ht="12.75" customHeight="1">
      <c r="A24" s="35">
        <f>A23+1</f>
        <v>1114</v>
      </c>
      <c r="B24" s="267">
        <f>Opbrengsten!D54</f>
        <v>0</v>
      </c>
      <c r="C24" s="269"/>
      <c r="D24" s="33"/>
      <c r="E24" s="34">
        <f t="shared" si="1"/>
        <v>1140</v>
      </c>
      <c r="F24" s="267">
        <f>Opbrengsten!K24</f>
        <v>0</v>
      </c>
    </row>
    <row r="25" spans="1:6" s="42" customFormat="1" ht="12.75" customHeight="1">
      <c r="A25" s="37">
        <f>A24+1</f>
        <v>1115</v>
      </c>
      <c r="B25" s="39"/>
      <c r="C25" s="40"/>
      <c r="D25" s="33"/>
      <c r="E25" s="34">
        <f t="shared" si="1"/>
        <v>1141</v>
      </c>
      <c r="F25" s="267">
        <f>Opbrengsten!K26</f>
        <v>0</v>
      </c>
    </row>
    <row r="26" spans="1:6" s="42" customFormat="1" ht="12.75" customHeight="1">
      <c r="A26" s="261"/>
      <c r="B26" s="43"/>
      <c r="D26" s="33"/>
      <c r="E26" s="34">
        <f t="shared" si="1"/>
        <v>1142</v>
      </c>
      <c r="F26" s="267">
        <f>Opbrengsten!K27</f>
        <v>0</v>
      </c>
    </row>
    <row r="27" spans="1:8" s="42" customFormat="1" ht="12.75" customHeight="1">
      <c r="A27" s="26" t="s">
        <v>962</v>
      </c>
      <c r="B27" s="28"/>
      <c r="C27" s="29"/>
      <c r="D27" s="44"/>
      <c r="E27" s="34">
        <f t="shared" si="1"/>
        <v>1143</v>
      </c>
      <c r="F27" s="267">
        <f>Opbrengsten!K28</f>
        <v>0</v>
      </c>
      <c r="H27" s="90"/>
    </row>
    <row r="28" spans="1:8" s="42" customFormat="1" ht="12.75" customHeight="1">
      <c r="A28" s="31">
        <f>A25+1</f>
        <v>1116</v>
      </c>
      <c r="B28" s="267">
        <f>Opbrengsten!D31</f>
        <v>0</v>
      </c>
      <c r="C28" s="268">
        <f>Opbrengsten!E31</f>
        <v>121</v>
      </c>
      <c r="D28" s="45"/>
      <c r="E28" s="34">
        <f t="shared" si="1"/>
        <v>1144</v>
      </c>
      <c r="F28" s="267">
        <f>Opbrengsten!K29</f>
        <v>0</v>
      </c>
      <c r="H28" s="90"/>
    </row>
    <row r="29" spans="1:6" s="90" customFormat="1" ht="12.75" customHeight="1">
      <c r="A29" s="32">
        <f>A28+1</f>
        <v>1117</v>
      </c>
      <c r="B29" s="267">
        <f>Opbrengsten!D33</f>
        <v>0</v>
      </c>
      <c r="C29" s="268">
        <f>Opbrengsten!E33</f>
        <v>246</v>
      </c>
      <c r="D29" s="27"/>
      <c r="E29" s="34">
        <f>E25+1</f>
        <v>1142</v>
      </c>
      <c r="F29" s="267">
        <f>Opbrengsten!K35</f>
        <v>0</v>
      </c>
    </row>
    <row r="30" spans="1:6" s="90" customFormat="1" ht="12.75" customHeight="1">
      <c r="A30" s="34">
        <f>A29+1</f>
        <v>1118</v>
      </c>
      <c r="B30" s="267">
        <f>Opbrengsten!D34</f>
        <v>0</v>
      </c>
      <c r="C30" s="268">
        <f>Opbrengsten!E34</f>
        <v>176</v>
      </c>
      <c r="D30" s="27"/>
      <c r="E30" s="34">
        <f>E29+1</f>
        <v>1143</v>
      </c>
      <c r="F30" s="267">
        <f>Opbrengsten!K36</f>
        <v>0</v>
      </c>
    </row>
    <row r="31" spans="1:6" s="42" customFormat="1" ht="12.75" customHeight="1">
      <c r="A31" s="35">
        <f>A30+1</f>
        <v>1119</v>
      </c>
      <c r="B31" s="267">
        <f>Opbrengsten!D37</f>
        <v>0</v>
      </c>
      <c r="C31" s="268">
        <f>Opbrengsten!E37</f>
        <v>154</v>
      </c>
      <c r="D31" s="33"/>
      <c r="E31" s="34">
        <f>E30+1</f>
        <v>1144</v>
      </c>
      <c r="F31" s="267">
        <f>Opbrengsten!K37</f>
        <v>0</v>
      </c>
    </row>
    <row r="32" spans="1:6" s="42" customFormat="1" ht="12.75" customHeight="1">
      <c r="A32" s="37">
        <f>A31+1</f>
        <v>1120</v>
      </c>
      <c r="B32" s="39"/>
      <c r="C32" s="46"/>
      <c r="D32" s="33"/>
      <c r="E32" s="34">
        <f>E30+1</f>
        <v>1144</v>
      </c>
      <c r="F32" s="267">
        <f>Opbrengsten!K38</f>
        <v>0</v>
      </c>
    </row>
    <row r="33" spans="1:6" s="42" customFormat="1" ht="12.75" customHeight="1">
      <c r="A33" s="41"/>
      <c r="B33" s="43"/>
      <c r="D33" s="33"/>
      <c r="E33" s="34">
        <f>E31+1</f>
        <v>1145</v>
      </c>
      <c r="F33" s="267">
        <f>Opbrengsten!K39</f>
        <v>0</v>
      </c>
    </row>
    <row r="34" spans="1:6" s="42" customFormat="1" ht="12.75" customHeight="1">
      <c r="A34" s="26" t="s">
        <v>1041</v>
      </c>
      <c r="B34" s="45"/>
      <c r="D34" s="48"/>
      <c r="E34" s="34">
        <f>E33+1</f>
        <v>1146</v>
      </c>
      <c r="F34" s="267">
        <f>Opbrengsten!K41</f>
        <v>0</v>
      </c>
    </row>
    <row r="35" spans="1:8" s="42" customFormat="1" ht="12.75" customHeight="1">
      <c r="A35" s="31">
        <f>A32+1</f>
        <v>1121</v>
      </c>
      <c r="B35" s="49"/>
      <c r="C35" s="50"/>
      <c r="E35" s="51">
        <f>E34+1</f>
        <v>1147</v>
      </c>
      <c r="F35" s="52"/>
      <c r="H35" s="90"/>
    </row>
    <row r="36" spans="1:21" ht="12.75">
      <c r="A36" s="35">
        <f>A35+1</f>
        <v>1122</v>
      </c>
      <c r="B36" s="49"/>
      <c r="C36" s="50"/>
      <c r="D36" s="4"/>
      <c r="E36" s="53"/>
      <c r="F36" s="5"/>
      <c r="G36" s="93"/>
      <c r="H36" s="96"/>
      <c r="I36" s="93"/>
      <c r="J36" s="93"/>
      <c r="K36" s="93"/>
      <c r="L36" s="93"/>
      <c r="M36" s="93"/>
      <c r="O36" s="2"/>
      <c r="P36" s="2"/>
      <c r="Q36" s="2"/>
      <c r="R36" s="2"/>
      <c r="S36" s="2"/>
      <c r="T36" s="2"/>
      <c r="U36" s="2"/>
    </row>
    <row r="37" spans="1:21" ht="12.75">
      <c r="A37" s="54">
        <f>A36+1</f>
        <v>1123</v>
      </c>
      <c r="B37" s="55"/>
      <c r="C37" s="56"/>
      <c r="D37" s="4"/>
      <c r="E37" s="26" t="s">
        <v>964</v>
      </c>
      <c r="F37" s="57"/>
      <c r="G37" s="93"/>
      <c r="H37" s="96"/>
      <c r="I37" s="93"/>
      <c r="J37" s="93"/>
      <c r="K37" s="93"/>
      <c r="L37" s="93"/>
      <c r="M37" s="93"/>
      <c r="O37" s="2"/>
      <c r="P37" s="2"/>
      <c r="Q37" s="2"/>
      <c r="R37" s="2"/>
      <c r="S37" s="2"/>
      <c r="T37" s="2"/>
      <c r="U37" s="2"/>
    </row>
    <row r="38" spans="1:21" ht="12.75" customHeight="1">
      <c r="A38" s="51">
        <f>A37+1</f>
        <v>1124</v>
      </c>
      <c r="B38" s="38"/>
      <c r="C38" s="52"/>
      <c r="D38" s="4"/>
      <c r="E38" s="37">
        <f>A38+1</f>
        <v>1125</v>
      </c>
      <c r="F38" s="60"/>
      <c r="G38" s="93"/>
      <c r="H38" s="96"/>
      <c r="I38" s="93"/>
      <c r="J38" s="93"/>
      <c r="K38" s="93"/>
      <c r="L38" s="93"/>
      <c r="M38" s="93"/>
      <c r="O38" s="2"/>
      <c r="P38" s="2"/>
      <c r="Q38" s="2"/>
      <c r="R38" s="2"/>
      <c r="S38" s="2"/>
      <c r="T38" s="2"/>
      <c r="U38" s="2"/>
    </row>
    <row r="39" spans="1:6" s="11" customFormat="1" ht="12.75" customHeight="1">
      <c r="A39" s="1"/>
      <c r="B39" s="3"/>
      <c r="C39" s="2"/>
      <c r="D39" s="2"/>
      <c r="E39" s="4"/>
      <c r="F39" s="1"/>
    </row>
    <row r="40" spans="1:21" ht="12.75">
      <c r="A40" s="21"/>
      <c r="B40" s="184"/>
      <c r="C40" s="184"/>
      <c r="D40" s="25" t="s">
        <v>974</v>
      </c>
      <c r="E40" s="24"/>
      <c r="F40" s="21"/>
      <c r="G40" s="62"/>
      <c r="H40" s="62"/>
      <c r="I40" s="63"/>
      <c r="J40" s="2"/>
      <c r="K40" s="93"/>
      <c r="L40" s="96"/>
      <c r="M40" s="93"/>
      <c r="N40" s="93"/>
      <c r="P40" s="93"/>
      <c r="R40" s="2"/>
      <c r="S40" s="2"/>
      <c r="T40" s="2"/>
      <c r="U40" s="2"/>
    </row>
    <row r="41" spans="1:21" ht="12.75">
      <c r="A41" s="64"/>
      <c r="B41" s="66"/>
      <c r="C41" s="66"/>
      <c r="D41" s="67"/>
      <c r="E41" s="65"/>
      <c r="F41" s="64"/>
      <c r="G41" s="68"/>
      <c r="H41" s="68"/>
      <c r="I41" s="69"/>
      <c r="J41" s="69"/>
      <c r="K41" s="70"/>
      <c r="M41" s="93"/>
      <c r="N41" s="96"/>
      <c r="P41" s="93"/>
      <c r="T41" s="2"/>
      <c r="U41" s="2"/>
    </row>
    <row r="42" spans="1:21" ht="12.75">
      <c r="A42" s="26" t="s">
        <v>1024</v>
      </c>
      <c r="B42" s="48"/>
      <c r="C42" s="48"/>
      <c r="D42" s="236" t="s">
        <v>1098</v>
      </c>
      <c r="E42" s="4"/>
      <c r="F42" s="71"/>
      <c r="G42" s="72"/>
      <c r="H42" s="72"/>
      <c r="I42" s="72"/>
      <c r="J42" s="72"/>
      <c r="K42" s="73"/>
      <c r="M42" s="93"/>
      <c r="N42" s="96"/>
      <c r="P42" s="93"/>
      <c r="T42" s="2"/>
      <c r="U42" s="2"/>
    </row>
    <row r="43" spans="1:21" ht="12.75">
      <c r="A43" s="31">
        <f>Opbrengsten!H58</f>
        <v>1227</v>
      </c>
      <c r="B43" s="134"/>
      <c r="C43" s="74"/>
      <c r="D43" s="267">
        <f>Opbrengsten!M58</f>
        <v>0</v>
      </c>
      <c r="E43" s="4"/>
      <c r="F43" s="75"/>
      <c r="G43" s="76"/>
      <c r="H43" s="76"/>
      <c r="I43" s="76"/>
      <c r="J43" s="76"/>
      <c r="K43" s="76"/>
      <c r="M43" s="93"/>
      <c r="N43" s="96"/>
      <c r="P43" s="93"/>
      <c r="T43" s="2"/>
      <c r="U43" s="2"/>
    </row>
    <row r="44" spans="1:21" ht="12.75">
      <c r="A44" s="32">
        <f>A43+1</f>
        <v>1228</v>
      </c>
      <c r="B44" s="134"/>
      <c r="C44" s="77"/>
      <c r="D44" s="291"/>
      <c r="E44" s="4"/>
      <c r="F44" s="1"/>
      <c r="G44" s="2"/>
      <c r="H44" s="5"/>
      <c r="J44" s="2"/>
      <c r="M44" s="93"/>
      <c r="N44" s="96"/>
      <c r="P44" s="93"/>
      <c r="T44" s="2"/>
      <c r="U44" s="2"/>
    </row>
    <row r="45" spans="1:21" ht="12.75">
      <c r="A45" s="35">
        <f>A44+1</f>
        <v>1229</v>
      </c>
      <c r="B45" s="78"/>
      <c r="C45" s="79"/>
      <c r="D45" s="267">
        <f>Opbrengsten!M60</f>
        <v>0</v>
      </c>
      <c r="E45" s="4"/>
      <c r="F45" s="1"/>
      <c r="G45" s="2"/>
      <c r="H45" s="5"/>
      <c r="J45" s="2"/>
      <c r="M45" s="93"/>
      <c r="N45" s="96"/>
      <c r="P45" s="93"/>
      <c r="T45" s="2"/>
      <c r="U45" s="2"/>
    </row>
    <row r="46" spans="1:19" s="87" customFormat="1" ht="12.75">
      <c r="A46" s="37">
        <f>A45+1</f>
        <v>1230</v>
      </c>
      <c r="B46" s="52"/>
      <c r="C46" s="80"/>
      <c r="D46" s="292"/>
      <c r="E46" s="4"/>
      <c r="F46" s="1"/>
      <c r="G46" s="2"/>
      <c r="H46" s="5"/>
      <c r="I46" s="2"/>
      <c r="J46" s="2"/>
      <c r="K46" s="2"/>
      <c r="M46" s="293"/>
      <c r="N46" s="294"/>
      <c r="O46" s="293"/>
      <c r="P46" s="293"/>
      <c r="Q46" s="293"/>
      <c r="R46" s="293"/>
      <c r="S46" s="293"/>
    </row>
    <row r="47" spans="1:21" ht="12.75">
      <c r="A47" s="81">
        <f>A46+1</f>
        <v>1231</v>
      </c>
      <c r="B47" s="271"/>
      <c r="C47" s="82"/>
      <c r="D47" s="267" t="e">
        <f>Opbrengsten!#REF!</f>
        <v>#REF!</v>
      </c>
      <c r="E47" s="4"/>
      <c r="F47" s="1"/>
      <c r="G47" s="2"/>
      <c r="H47" s="5"/>
      <c r="J47" s="2"/>
      <c r="M47" s="93"/>
      <c r="N47" s="96"/>
      <c r="P47" s="93"/>
      <c r="T47" s="2"/>
      <c r="U47" s="2"/>
    </row>
    <row r="48" spans="1:21" ht="12.75">
      <c r="A48" s="37">
        <f>A47+1</f>
        <v>1232</v>
      </c>
      <c r="B48" s="52"/>
      <c r="C48" s="80"/>
      <c r="D48" s="292"/>
      <c r="E48" s="4"/>
      <c r="F48" s="1"/>
      <c r="G48" s="2"/>
      <c r="H48" s="5"/>
      <c r="J48" s="2"/>
      <c r="M48" s="93"/>
      <c r="N48" s="96"/>
      <c r="P48" s="93"/>
      <c r="T48" s="2"/>
      <c r="U48" s="2"/>
    </row>
    <row r="49" spans="1:21" ht="12.75">
      <c r="A49" s="83"/>
      <c r="B49" s="84"/>
      <c r="C49" s="84"/>
      <c r="D49" s="84"/>
      <c r="E49" s="85"/>
      <c r="F49" s="86"/>
      <c r="G49" s="87"/>
      <c r="H49" s="76"/>
      <c r="I49" s="87"/>
      <c r="J49" s="87"/>
      <c r="K49" s="87"/>
      <c r="M49" s="93"/>
      <c r="N49" s="96"/>
      <c r="P49" s="93"/>
      <c r="T49" s="2"/>
      <c r="U49" s="2"/>
    </row>
    <row r="50" spans="1:21" ht="12.75">
      <c r="A50" s="83" t="s">
        <v>1095</v>
      </c>
      <c r="B50" s="84"/>
      <c r="C50" s="84"/>
      <c r="D50" s="236" t="s">
        <v>1098</v>
      </c>
      <c r="E50" s="85"/>
      <c r="F50" s="86"/>
      <c r="G50" s="87"/>
      <c r="H50" s="76"/>
      <c r="I50" s="87"/>
      <c r="J50" s="87"/>
      <c r="K50" s="87"/>
      <c r="M50" s="93"/>
      <c r="N50" s="96"/>
      <c r="P50" s="93"/>
      <c r="T50" s="2"/>
      <c r="U50" s="2"/>
    </row>
    <row r="51" spans="1:21" ht="12.75">
      <c r="A51" s="31">
        <f>A48+1</f>
        <v>1233</v>
      </c>
      <c r="B51" s="134"/>
      <c r="C51" s="88"/>
      <c r="D51" s="291"/>
      <c r="E51" s="4"/>
      <c r="F51" s="1"/>
      <c r="G51" s="2"/>
      <c r="H51" s="5"/>
      <c r="J51" s="2"/>
      <c r="M51" s="93"/>
      <c r="N51" s="96"/>
      <c r="P51" s="93"/>
      <c r="T51" s="2"/>
      <c r="U51" s="2"/>
    </row>
    <row r="52" spans="1:21" ht="12.75" customHeight="1">
      <c r="A52" s="35">
        <f>A51+1</f>
        <v>1234</v>
      </c>
      <c r="B52" s="237"/>
      <c r="C52" s="36"/>
      <c r="D52" s="295">
        <f>Opbrengsten!M62</f>
        <v>0</v>
      </c>
      <c r="E52" s="4"/>
      <c r="F52" s="1"/>
      <c r="G52" s="2"/>
      <c r="H52" s="5"/>
      <c r="J52" s="2"/>
      <c r="M52" s="93"/>
      <c r="N52" s="96"/>
      <c r="P52" s="93"/>
      <c r="T52" s="2"/>
      <c r="U52" s="2"/>
    </row>
    <row r="53" spans="1:21" ht="12.75">
      <c r="A53" s="81"/>
      <c r="B53" s="296"/>
      <c r="C53" s="297"/>
      <c r="D53" s="298">
        <f>Opbrengsten!M63</f>
        <v>0</v>
      </c>
      <c r="E53" s="4"/>
      <c r="F53" s="1"/>
      <c r="G53" s="2"/>
      <c r="H53" s="5"/>
      <c r="J53" s="2"/>
      <c r="M53" s="93"/>
      <c r="N53" s="96"/>
      <c r="P53" s="93"/>
      <c r="T53" s="2"/>
      <c r="U53" s="2"/>
    </row>
    <row r="54" spans="1:21" ht="12.75">
      <c r="A54" s="37">
        <f>A52+1</f>
        <v>1235</v>
      </c>
      <c r="B54" s="52"/>
      <c r="C54" s="89"/>
      <c r="D54" s="292"/>
      <c r="E54" s="4"/>
      <c r="F54" s="1"/>
      <c r="G54" s="2"/>
      <c r="H54" s="5"/>
      <c r="J54" s="2"/>
      <c r="M54" s="93"/>
      <c r="N54" s="96"/>
      <c r="P54" s="93"/>
      <c r="T54" s="2"/>
      <c r="U54" s="2"/>
    </row>
    <row r="55" spans="1:21" ht="12.75">
      <c r="A55" s="81">
        <f>A54+1</f>
        <v>1236</v>
      </c>
      <c r="B55" s="271"/>
      <c r="C55" s="82"/>
      <c r="D55" s="267">
        <f>Opbrengsten!F110</f>
        <v>0</v>
      </c>
      <c r="E55" s="4"/>
      <c r="F55" s="1"/>
      <c r="G55" s="2"/>
      <c r="H55" s="5"/>
      <c r="J55" s="2"/>
      <c r="M55" s="93"/>
      <c r="N55" s="96"/>
      <c r="P55" s="93"/>
      <c r="T55" s="2"/>
      <c r="U55" s="2"/>
    </row>
    <row r="56" spans="1:21" ht="12.75">
      <c r="A56" s="37">
        <f>A55+1</f>
        <v>1237</v>
      </c>
      <c r="B56" s="52"/>
      <c r="C56" s="80"/>
      <c r="D56" s="292"/>
      <c r="E56" s="4"/>
      <c r="F56" s="1"/>
      <c r="G56" s="2"/>
      <c r="H56" s="5"/>
      <c r="J56" s="2"/>
      <c r="M56" s="93"/>
      <c r="N56" s="96"/>
      <c r="P56" s="93"/>
      <c r="T56" s="2"/>
      <c r="U56" s="2"/>
    </row>
    <row r="58" spans="1:11" ht="12.75">
      <c r="A58" s="14" t="s">
        <v>951</v>
      </c>
      <c r="B58" s="17"/>
      <c r="C58" s="97"/>
      <c r="D58" s="17"/>
      <c r="E58" s="17"/>
      <c r="F58" s="18"/>
      <c r="G58" s="98"/>
      <c r="H58" s="17"/>
      <c r="I58" s="19"/>
      <c r="J58" s="17"/>
      <c r="K58" s="93"/>
    </row>
    <row r="59" spans="1:11" ht="12.75">
      <c r="A59" s="174"/>
      <c r="B59" s="99"/>
      <c r="C59" s="100"/>
      <c r="D59" s="101"/>
      <c r="E59" s="102"/>
      <c r="F59" s="103"/>
      <c r="G59" s="102"/>
      <c r="H59" s="103"/>
      <c r="I59" s="103"/>
      <c r="J59" s="103"/>
      <c r="K59" s="104"/>
    </row>
    <row r="60" spans="1:21" ht="12.75">
      <c r="A60" s="211"/>
      <c r="B60" s="105" t="s">
        <v>864</v>
      </c>
      <c r="C60" s="209" t="s">
        <v>1021</v>
      </c>
      <c r="D60" s="299"/>
      <c r="E60" s="300" t="s">
        <v>1022</v>
      </c>
      <c r="F60" s="301"/>
      <c r="G60" s="209" t="e">
        <f>CONCATENATE("Jaarrekening ",#REF!)</f>
        <v>#REF!</v>
      </c>
      <c r="H60" s="302"/>
      <c r="I60" s="303"/>
      <c r="J60" s="2"/>
      <c r="M60" s="93"/>
      <c r="N60" s="96"/>
      <c r="P60" s="93"/>
      <c r="T60" s="2"/>
      <c r="U60" s="2"/>
    </row>
    <row r="61" spans="1:21" ht="12.75">
      <c r="A61" s="211"/>
      <c r="B61" s="106" t="e">
        <f>#REF!-1</f>
        <v>#REF!</v>
      </c>
      <c r="C61" s="106" t="e">
        <f>CONCATENATE("Doorw. ",#REF!-1," ")</f>
        <v>#REF!</v>
      </c>
      <c r="D61" s="106" t="e">
        <f>#REF!</f>
        <v>#REF!</v>
      </c>
      <c r="E61" s="106" t="e">
        <f>CONCATENATE("Doorw. ",#REF!-1," ")</f>
        <v>#REF!</v>
      </c>
      <c r="F61" s="107" t="e">
        <f>CONCATENATE(#REF!,"* ")</f>
        <v>#REF!</v>
      </c>
      <c r="G61" s="108" t="s">
        <v>864</v>
      </c>
      <c r="H61" s="109" t="s">
        <v>1023</v>
      </c>
      <c r="I61" s="107" t="s">
        <v>863</v>
      </c>
      <c r="J61" s="2"/>
      <c r="M61" s="93"/>
      <c r="N61" s="96"/>
      <c r="P61" s="93"/>
      <c r="T61" s="2"/>
      <c r="U61" s="2"/>
    </row>
    <row r="62" spans="1:11" ht="12.75">
      <c r="A62" s="20"/>
      <c r="B62" s="20"/>
      <c r="C62" s="20"/>
      <c r="D62" s="20"/>
      <c r="E62" s="20"/>
      <c r="F62" s="20"/>
      <c r="G62" s="20"/>
      <c r="H62" s="20"/>
      <c r="I62" s="20"/>
      <c r="J62" s="20"/>
      <c r="K62" s="42"/>
    </row>
    <row r="63" spans="1:11" ht="12.75">
      <c r="A63" s="41" t="s">
        <v>970</v>
      </c>
      <c r="B63" s="44" t="s">
        <v>971</v>
      </c>
      <c r="C63" s="110"/>
      <c r="D63" s="111"/>
      <c r="E63" s="112"/>
      <c r="F63" s="113"/>
      <c r="G63" s="112"/>
      <c r="H63" s="113"/>
      <c r="I63" s="113"/>
      <c r="J63" s="113"/>
      <c r="K63" s="47"/>
    </row>
    <row r="64" spans="1:21" ht="12.75">
      <c r="A64" s="31">
        <f>Afschrijvingen!A10</f>
        <v>1301</v>
      </c>
      <c r="B64" s="267">
        <f>Afschrijvingen!D10</f>
        <v>0</v>
      </c>
      <c r="C64" s="304">
        <f>Afschrijvingen!E10</f>
        <v>0</v>
      </c>
      <c r="D64" s="304">
        <f>Afschrijvingen!F10</f>
        <v>0</v>
      </c>
      <c r="E64" s="267">
        <f>Afschrijvingen!G10</f>
        <v>0</v>
      </c>
      <c r="F64" s="267">
        <f>Afschrijvingen!H10</f>
        <v>0</v>
      </c>
      <c r="G64" s="305"/>
      <c r="H64" s="267">
        <f>Afschrijvingen!J10</f>
        <v>0</v>
      </c>
      <c r="I64" s="267">
        <f>Afschrijvingen!K10</f>
        <v>0</v>
      </c>
      <c r="J64" s="2"/>
      <c r="M64" s="93"/>
      <c r="N64" s="96"/>
      <c r="P64" s="93"/>
      <c r="T64" s="2"/>
      <c r="U64" s="2"/>
    </row>
    <row r="65" spans="1:21" ht="12.75">
      <c r="A65" s="34">
        <f aca="true" t="shared" si="2" ref="A65:A76">A64+1</f>
        <v>1302</v>
      </c>
      <c r="B65" s="267">
        <f>Afschrijvingen!D11</f>
        <v>0</v>
      </c>
      <c r="C65" s="304">
        <f>Afschrijvingen!E11</f>
        <v>0</v>
      </c>
      <c r="D65" s="304">
        <f>Afschrijvingen!F11</f>
        <v>0</v>
      </c>
      <c r="E65" s="267">
        <f>Afschrijvingen!G11</f>
        <v>0</v>
      </c>
      <c r="F65" s="267">
        <f>Afschrijvingen!H11</f>
        <v>0</v>
      </c>
      <c r="G65" s="305"/>
      <c r="H65" s="267">
        <f>Afschrijvingen!J11</f>
        <v>0</v>
      </c>
      <c r="I65" s="267">
        <f>Afschrijvingen!K11</f>
        <v>0</v>
      </c>
      <c r="J65" s="2"/>
      <c r="M65" s="93"/>
      <c r="N65" s="96"/>
      <c r="P65" s="93"/>
      <c r="T65" s="2"/>
      <c r="U65" s="2"/>
    </row>
    <row r="66" spans="1:21" ht="12.75">
      <c r="A66" s="34">
        <f t="shared" si="2"/>
        <v>1303</v>
      </c>
      <c r="B66" s="267">
        <f>Afschrijvingen!D12</f>
        <v>0</v>
      </c>
      <c r="C66" s="304">
        <f>Afschrijvingen!E12</f>
        <v>0</v>
      </c>
      <c r="D66" s="304">
        <f>Afschrijvingen!F12</f>
        <v>0</v>
      </c>
      <c r="E66" s="267">
        <f>Afschrijvingen!G12</f>
        <v>0</v>
      </c>
      <c r="F66" s="267">
        <f>Afschrijvingen!H12</f>
        <v>0</v>
      </c>
      <c r="G66" s="305"/>
      <c r="H66" s="267">
        <f>Afschrijvingen!J12</f>
        <v>0</v>
      </c>
      <c r="I66" s="267">
        <f>Afschrijvingen!K12</f>
        <v>0</v>
      </c>
      <c r="J66" s="2"/>
      <c r="M66" s="93"/>
      <c r="N66" s="96"/>
      <c r="P66" s="93"/>
      <c r="T66" s="2"/>
      <c r="U66" s="2"/>
    </row>
    <row r="67" spans="1:21" ht="12.75">
      <c r="A67" s="34">
        <f t="shared" si="2"/>
        <v>1304</v>
      </c>
      <c r="B67" s="267">
        <f>Afschrijvingen!D13</f>
        <v>0</v>
      </c>
      <c r="C67" s="304">
        <f>Afschrijvingen!E13</f>
        <v>0</v>
      </c>
      <c r="D67" s="304">
        <f>Afschrijvingen!F13</f>
        <v>0</v>
      </c>
      <c r="E67" s="267">
        <f>Afschrijvingen!G13</f>
        <v>0</v>
      </c>
      <c r="F67" s="267">
        <f>Afschrijvingen!H13</f>
        <v>0</v>
      </c>
      <c r="G67" s="305"/>
      <c r="H67" s="267">
        <f>Afschrijvingen!J13</f>
        <v>0</v>
      </c>
      <c r="I67" s="267">
        <f>Afschrijvingen!K13</f>
        <v>0</v>
      </c>
      <c r="J67" s="2"/>
      <c r="M67" s="93"/>
      <c r="N67" s="96"/>
      <c r="P67" s="93"/>
      <c r="T67" s="2"/>
      <c r="U67" s="2"/>
    </row>
    <row r="68" spans="1:21" ht="12.75">
      <c r="A68" s="34">
        <f t="shared" si="2"/>
        <v>1305</v>
      </c>
      <c r="B68" s="267">
        <f>Afschrijvingen!D14</f>
        <v>0</v>
      </c>
      <c r="C68" s="304">
        <f>Afschrijvingen!E14</f>
        <v>0</v>
      </c>
      <c r="D68" s="304">
        <f>Afschrijvingen!F14</f>
        <v>0</v>
      </c>
      <c r="E68" s="267">
        <f>Afschrijvingen!G14</f>
        <v>0</v>
      </c>
      <c r="F68" s="267">
        <f>Afschrijvingen!H14</f>
        <v>0</v>
      </c>
      <c r="G68" s="305"/>
      <c r="H68" s="267">
        <f>Afschrijvingen!J14</f>
        <v>0</v>
      </c>
      <c r="I68" s="267">
        <f>Afschrijvingen!K14</f>
        <v>0</v>
      </c>
      <c r="J68" s="2"/>
      <c r="M68" s="93"/>
      <c r="N68" s="96"/>
      <c r="P68" s="93"/>
      <c r="T68" s="2"/>
      <c r="U68" s="2"/>
    </row>
    <row r="69" spans="1:21" ht="12.75">
      <c r="A69" s="34">
        <f t="shared" si="2"/>
        <v>1306</v>
      </c>
      <c r="B69" s="267">
        <f>Afschrijvingen!D15</f>
        <v>0</v>
      </c>
      <c r="C69" s="304">
        <f>Afschrijvingen!E15</f>
        <v>0</v>
      </c>
      <c r="D69" s="304">
        <f>Afschrijvingen!F15</f>
        <v>0</v>
      </c>
      <c r="E69" s="267">
        <f>Afschrijvingen!G15</f>
        <v>0</v>
      </c>
      <c r="F69" s="267">
        <f>Afschrijvingen!H15</f>
        <v>0</v>
      </c>
      <c r="G69" s="305"/>
      <c r="H69" s="267">
        <f>Afschrijvingen!J15</f>
        <v>0</v>
      </c>
      <c r="I69" s="267">
        <f>Afschrijvingen!K15</f>
        <v>0</v>
      </c>
      <c r="J69" s="2"/>
      <c r="M69" s="93"/>
      <c r="N69" s="96"/>
      <c r="P69" s="93"/>
      <c r="T69" s="2"/>
      <c r="U69" s="2"/>
    </row>
    <row r="70" spans="1:21" ht="12.75">
      <c r="A70" s="34">
        <f t="shared" si="2"/>
        <v>1307</v>
      </c>
      <c r="B70" s="267">
        <f>Afschrijvingen!D16</f>
        <v>0</v>
      </c>
      <c r="C70" s="304">
        <f>Afschrijvingen!E16</f>
        <v>0</v>
      </c>
      <c r="D70" s="304">
        <f>Afschrijvingen!F16</f>
        <v>0</v>
      </c>
      <c r="E70" s="267">
        <f>Afschrijvingen!G16</f>
        <v>0</v>
      </c>
      <c r="F70" s="267">
        <f>Afschrijvingen!H16</f>
        <v>0</v>
      </c>
      <c r="G70" s="305"/>
      <c r="H70" s="267">
        <f>Afschrijvingen!J16</f>
        <v>0</v>
      </c>
      <c r="I70" s="267">
        <f>Afschrijvingen!K16</f>
        <v>0</v>
      </c>
      <c r="J70" s="2"/>
      <c r="M70" s="93"/>
      <c r="N70" s="96"/>
      <c r="P70" s="93"/>
      <c r="T70" s="2"/>
      <c r="U70" s="2"/>
    </row>
    <row r="71" spans="1:21" ht="12.75">
      <c r="A71" s="34">
        <f t="shared" si="2"/>
        <v>1308</v>
      </c>
      <c r="B71" s="267">
        <f>Afschrijvingen!D17</f>
        <v>0</v>
      </c>
      <c r="C71" s="304">
        <f>Afschrijvingen!E17</f>
        <v>0</v>
      </c>
      <c r="D71" s="304">
        <f>Afschrijvingen!F17</f>
        <v>0</v>
      </c>
      <c r="E71" s="267">
        <f>Afschrijvingen!G17</f>
        <v>0</v>
      </c>
      <c r="F71" s="267">
        <f>Afschrijvingen!H17</f>
        <v>0</v>
      </c>
      <c r="G71" s="305"/>
      <c r="H71" s="267">
        <f>Afschrijvingen!J17</f>
        <v>0</v>
      </c>
      <c r="I71" s="267">
        <f>Afschrijvingen!K17</f>
        <v>0</v>
      </c>
      <c r="J71" s="2"/>
      <c r="M71" s="93"/>
      <c r="N71" s="96"/>
      <c r="P71" s="93"/>
      <c r="T71" s="2"/>
      <c r="U71" s="2"/>
    </row>
    <row r="72" spans="1:21" ht="12.75">
      <c r="A72" s="34">
        <f t="shared" si="2"/>
        <v>1309</v>
      </c>
      <c r="B72" s="267">
        <f>Afschrijvingen!D18</f>
        <v>0</v>
      </c>
      <c r="C72" s="304">
        <f>Afschrijvingen!E18</f>
        <v>0</v>
      </c>
      <c r="D72" s="304">
        <f>Afschrijvingen!F18</f>
        <v>0</v>
      </c>
      <c r="E72" s="267">
        <f>Afschrijvingen!G18</f>
        <v>0</v>
      </c>
      <c r="F72" s="267">
        <f>Afschrijvingen!H18</f>
        <v>0</v>
      </c>
      <c r="G72" s="305"/>
      <c r="H72" s="267">
        <f>Afschrijvingen!J18</f>
        <v>0</v>
      </c>
      <c r="I72" s="267">
        <f>Afschrijvingen!K18</f>
        <v>0</v>
      </c>
      <c r="J72" s="2"/>
      <c r="M72" s="93"/>
      <c r="N72" s="96"/>
      <c r="P72" s="93"/>
      <c r="T72" s="2"/>
      <c r="U72" s="2"/>
    </row>
    <row r="73" spans="1:21" ht="12.75">
      <c r="A73" s="54">
        <f t="shared" si="2"/>
        <v>1310</v>
      </c>
      <c r="B73" s="267">
        <f>Afschrijvingen!D19</f>
        <v>0</v>
      </c>
      <c r="C73" s="306">
        <f>Afschrijvingen!E19</f>
        <v>0</v>
      </c>
      <c r="D73" s="306">
        <f>Afschrijvingen!F19</f>
        <v>0</v>
      </c>
      <c r="E73" s="267">
        <f>Afschrijvingen!G19</f>
        <v>0</v>
      </c>
      <c r="F73" s="267">
        <f>Afschrijvingen!H19</f>
        <v>0</v>
      </c>
      <c r="G73" s="305"/>
      <c r="H73" s="267">
        <f>Afschrijvingen!J19</f>
        <v>0</v>
      </c>
      <c r="I73" s="267">
        <f>Afschrijvingen!K19</f>
        <v>0</v>
      </c>
      <c r="J73" s="2"/>
      <c r="M73" s="93"/>
      <c r="N73" s="96"/>
      <c r="P73" s="93"/>
      <c r="T73" s="2"/>
      <c r="U73" s="2"/>
    </row>
    <row r="74" spans="1:21" ht="12.75">
      <c r="A74" s="37">
        <f t="shared" si="2"/>
        <v>1311</v>
      </c>
      <c r="B74" s="307"/>
      <c r="C74" s="308"/>
      <c r="D74" s="308"/>
      <c r="E74" s="307"/>
      <c r="F74" s="307"/>
      <c r="G74" s="292"/>
      <c r="H74" s="292"/>
      <c r="I74" s="292"/>
      <c r="J74" s="2"/>
      <c r="M74" s="93"/>
      <c r="N74" s="96"/>
      <c r="P74" s="93"/>
      <c r="T74" s="2"/>
      <c r="U74" s="2"/>
    </row>
    <row r="75" spans="1:21" ht="12.75">
      <c r="A75" s="81">
        <f t="shared" si="2"/>
        <v>1312</v>
      </c>
      <c r="B75" s="309"/>
      <c r="C75" s="309"/>
      <c r="D75" s="310"/>
      <c r="E75" s="309"/>
      <c r="F75" s="309"/>
      <c r="G75" s="267">
        <f>Afschrijvingen!I21</f>
        <v>0</v>
      </c>
      <c r="H75" s="267">
        <f>Afschrijvingen!J21</f>
        <v>0</v>
      </c>
      <c r="I75" s="267">
        <f>Afschrijvingen!K21</f>
        <v>0</v>
      </c>
      <c r="J75" s="2"/>
      <c r="M75" s="93"/>
      <c r="N75" s="96"/>
      <c r="P75" s="93"/>
      <c r="T75" s="2"/>
      <c r="U75" s="2"/>
    </row>
    <row r="76" spans="1:21" ht="12.75">
      <c r="A76" s="37">
        <f t="shared" si="2"/>
        <v>1313</v>
      </c>
      <c r="B76" s="311"/>
      <c r="C76" s="311"/>
      <c r="D76" s="311"/>
      <c r="E76" s="311"/>
      <c r="F76" s="311"/>
      <c r="G76" s="292">
        <f>G74-G75</f>
        <v>0</v>
      </c>
      <c r="H76" s="292">
        <f>H74-H75</f>
        <v>0</v>
      </c>
      <c r="I76" s="292">
        <f>I74-I75</f>
        <v>0</v>
      </c>
      <c r="J76" s="2"/>
      <c r="M76" s="93"/>
      <c r="N76" s="96"/>
      <c r="P76" s="93"/>
      <c r="T76" s="2"/>
      <c r="U76" s="2"/>
    </row>
    <row r="77" spans="1:11" ht="12.75">
      <c r="A77" s="114" t="e">
        <f>CONCATENATE("* zie ",Uitvoer!#REF!," ",Uitvoer!#REF!," op volgende pagina.")</f>
        <v>#REF!</v>
      </c>
      <c r="B77" s="115"/>
      <c r="C77" s="100"/>
      <c r="D77" s="101"/>
      <c r="E77" s="101"/>
      <c r="F77" s="103"/>
      <c r="G77" s="103"/>
      <c r="H77" s="103"/>
      <c r="I77" s="116"/>
      <c r="J77" s="117"/>
      <c r="K77" s="118"/>
    </row>
    <row r="78" spans="1:11" ht="12.75">
      <c r="A78" s="312"/>
      <c r="B78" s="115"/>
      <c r="C78" s="100"/>
      <c r="D78" s="101"/>
      <c r="E78" s="101"/>
      <c r="F78" s="103"/>
      <c r="G78" s="103"/>
      <c r="H78" s="103"/>
      <c r="I78" s="116"/>
      <c r="J78" s="117"/>
      <c r="K78" s="118"/>
    </row>
    <row r="79" spans="1:11" ht="12.75">
      <c r="A79" s="41" t="s">
        <v>976</v>
      </c>
      <c r="B79" s="45" t="s">
        <v>977</v>
      </c>
      <c r="C79" s="110"/>
      <c r="D79" s="119"/>
      <c r="E79" s="112"/>
      <c r="F79" s="90"/>
      <c r="G79" s="113"/>
      <c r="H79" s="120"/>
      <c r="I79" s="90"/>
      <c r="J79" s="84"/>
      <c r="K79" s="90"/>
    </row>
    <row r="80" spans="1:21" ht="12.75">
      <c r="A80" s="262">
        <f>A76+1</f>
        <v>1314</v>
      </c>
      <c r="B80" s="267">
        <f>Afschrijvingen!D31</f>
        <v>0</v>
      </c>
      <c r="C80" s="304">
        <f>Afschrijvingen!E31</f>
        <v>0</v>
      </c>
      <c r="D80" s="304">
        <f>Afschrijvingen!F31</f>
        <v>0</v>
      </c>
      <c r="E80" s="267">
        <f>Afschrijvingen!G31</f>
        <v>0</v>
      </c>
      <c r="F80" s="267">
        <f>Afschrijvingen!H31</f>
        <v>0</v>
      </c>
      <c r="G80" s="305">
        <f aca="true" t="shared" si="3" ref="G80:G85">B80+F80</f>
        <v>0</v>
      </c>
      <c r="H80" s="267">
        <f>Afschrijvingen!J31</f>
        <v>0</v>
      </c>
      <c r="I80" s="267">
        <f>Afschrijvingen!K31</f>
        <v>0</v>
      </c>
      <c r="J80" s="2"/>
      <c r="M80" s="93"/>
      <c r="N80" s="96"/>
      <c r="P80" s="93"/>
      <c r="T80" s="2"/>
      <c r="U80" s="2"/>
    </row>
    <row r="81" spans="1:21" ht="12.75">
      <c r="A81" s="34">
        <f aca="true" t="shared" si="4" ref="A81:A86">A80+1</f>
        <v>1315</v>
      </c>
      <c r="B81" s="267">
        <f>Afschrijvingen!D32</f>
        <v>0</v>
      </c>
      <c r="C81" s="304">
        <f>Afschrijvingen!E32</f>
        <v>0</v>
      </c>
      <c r="D81" s="304">
        <f>Afschrijvingen!F32</f>
        <v>0</v>
      </c>
      <c r="E81" s="267">
        <f>Afschrijvingen!G32</f>
        <v>0</v>
      </c>
      <c r="F81" s="267">
        <f>Afschrijvingen!H32</f>
        <v>0</v>
      </c>
      <c r="G81" s="305">
        <f t="shared" si="3"/>
        <v>0</v>
      </c>
      <c r="H81" s="267">
        <f>Afschrijvingen!J32</f>
        <v>0</v>
      </c>
      <c r="I81" s="267">
        <f>Afschrijvingen!K32</f>
        <v>0</v>
      </c>
      <c r="J81" s="2"/>
      <c r="M81" s="93"/>
      <c r="N81" s="96"/>
      <c r="P81" s="93"/>
      <c r="T81" s="2"/>
      <c r="U81" s="2"/>
    </row>
    <row r="82" spans="1:21" ht="12.75">
      <c r="A82" s="34">
        <f t="shared" si="4"/>
        <v>1316</v>
      </c>
      <c r="B82" s="267">
        <f>Afschrijvingen!D33</f>
        <v>0</v>
      </c>
      <c r="C82" s="304">
        <f>Afschrijvingen!E33</f>
        <v>0</v>
      </c>
      <c r="D82" s="304">
        <f>Afschrijvingen!F33</f>
        <v>0</v>
      </c>
      <c r="E82" s="267">
        <f>Afschrijvingen!G33</f>
        <v>0</v>
      </c>
      <c r="F82" s="267">
        <f>Afschrijvingen!H33</f>
        <v>0</v>
      </c>
      <c r="G82" s="305">
        <f t="shared" si="3"/>
        <v>0</v>
      </c>
      <c r="H82" s="267">
        <f>Afschrijvingen!J33</f>
        <v>0</v>
      </c>
      <c r="I82" s="267">
        <f>Afschrijvingen!K33</f>
        <v>0</v>
      </c>
      <c r="J82" s="2"/>
      <c r="M82" s="93"/>
      <c r="N82" s="96"/>
      <c r="P82" s="93"/>
      <c r="T82" s="2"/>
      <c r="U82" s="2"/>
    </row>
    <row r="83" spans="1:21" ht="12.75">
      <c r="A83" s="34">
        <f t="shared" si="4"/>
        <v>1317</v>
      </c>
      <c r="B83" s="267">
        <f>Afschrijvingen!D34</f>
        <v>0</v>
      </c>
      <c r="C83" s="304">
        <f>Afschrijvingen!E34</f>
        <v>0</v>
      </c>
      <c r="D83" s="304">
        <f>Afschrijvingen!F34</f>
        <v>0</v>
      </c>
      <c r="E83" s="267">
        <f>Afschrijvingen!G34</f>
        <v>0</v>
      </c>
      <c r="F83" s="267">
        <f>Afschrijvingen!H34</f>
        <v>0</v>
      </c>
      <c r="G83" s="305">
        <f t="shared" si="3"/>
        <v>0</v>
      </c>
      <c r="H83" s="267">
        <f>Afschrijvingen!J34</f>
        <v>0</v>
      </c>
      <c r="I83" s="267">
        <f>Afschrijvingen!K34</f>
        <v>0</v>
      </c>
      <c r="J83" s="2"/>
      <c r="M83" s="93"/>
      <c r="N83" s="96"/>
      <c r="P83" s="93"/>
      <c r="T83" s="2"/>
      <c r="U83" s="2"/>
    </row>
    <row r="84" spans="1:21" ht="12.75">
      <c r="A84" s="34">
        <f t="shared" si="4"/>
        <v>1318</v>
      </c>
      <c r="B84" s="267">
        <f>Afschrijvingen!D35</f>
        <v>0</v>
      </c>
      <c r="C84" s="304">
        <f>Afschrijvingen!E35</f>
        <v>0</v>
      </c>
      <c r="D84" s="304">
        <f>Afschrijvingen!F35</f>
        <v>0</v>
      </c>
      <c r="E84" s="267">
        <f>Afschrijvingen!G35</f>
        <v>0</v>
      </c>
      <c r="F84" s="267">
        <f>Afschrijvingen!H35</f>
        <v>0</v>
      </c>
      <c r="G84" s="305">
        <f t="shared" si="3"/>
        <v>0</v>
      </c>
      <c r="H84" s="267">
        <f>Afschrijvingen!J35</f>
        <v>0</v>
      </c>
      <c r="I84" s="267">
        <f>Afschrijvingen!K35</f>
        <v>0</v>
      </c>
      <c r="J84" s="2"/>
      <c r="M84" s="93"/>
      <c r="N84" s="96"/>
      <c r="P84" s="93"/>
      <c r="T84" s="2"/>
      <c r="U84" s="2"/>
    </row>
    <row r="85" spans="1:21" ht="12.75">
      <c r="A85" s="54">
        <f t="shared" si="4"/>
        <v>1319</v>
      </c>
      <c r="B85" s="267">
        <f>Afschrijvingen!D36</f>
        <v>0</v>
      </c>
      <c r="C85" s="306">
        <f>Afschrijvingen!E36</f>
        <v>0</v>
      </c>
      <c r="D85" s="306">
        <f>Afschrijvingen!F36</f>
        <v>0</v>
      </c>
      <c r="E85" s="267">
        <f>Afschrijvingen!G36</f>
        <v>0</v>
      </c>
      <c r="F85" s="267">
        <f>Afschrijvingen!H36</f>
        <v>0</v>
      </c>
      <c r="G85" s="305">
        <f t="shared" si="3"/>
        <v>0</v>
      </c>
      <c r="H85" s="267">
        <f>Afschrijvingen!J36</f>
        <v>0</v>
      </c>
      <c r="I85" s="267">
        <f>Afschrijvingen!K36</f>
        <v>0</v>
      </c>
      <c r="J85" s="2"/>
      <c r="M85" s="93"/>
      <c r="N85" s="96"/>
      <c r="P85" s="93"/>
      <c r="T85" s="2"/>
      <c r="U85" s="2"/>
    </row>
    <row r="86" spans="1:21" ht="12.75">
      <c r="A86" s="37">
        <f t="shared" si="4"/>
        <v>1320</v>
      </c>
      <c r="B86" s="307"/>
      <c r="C86" s="308"/>
      <c r="D86" s="308"/>
      <c r="E86" s="307"/>
      <c r="F86" s="307"/>
      <c r="G86" s="307"/>
      <c r="H86" s="307"/>
      <c r="I86" s="307"/>
      <c r="J86" s="2"/>
      <c r="M86" s="93"/>
      <c r="N86" s="96"/>
      <c r="P86" s="93"/>
      <c r="T86" s="2"/>
      <c r="U86" s="2"/>
    </row>
    <row r="87" spans="3:10" ht="12.75">
      <c r="C87" s="122"/>
      <c r="D87" s="2"/>
      <c r="G87" s="2"/>
      <c r="H87" s="2"/>
      <c r="J87" s="2"/>
    </row>
    <row r="89" spans="1:21" ht="12.75">
      <c r="A89" s="21"/>
      <c r="B89" s="199"/>
      <c r="C89" s="25" t="s">
        <v>980</v>
      </c>
      <c r="D89" s="25" t="s">
        <v>981</v>
      </c>
      <c r="E89" s="62"/>
      <c r="F89" s="24"/>
      <c r="G89" s="21"/>
      <c r="H89" s="25" t="s">
        <v>974</v>
      </c>
      <c r="J89" s="2"/>
      <c r="M89" s="93"/>
      <c r="N89" s="96"/>
      <c r="P89" s="93"/>
      <c r="T89" s="2"/>
      <c r="U89" s="2"/>
    </row>
    <row r="90" spans="1:21" ht="12.75">
      <c r="A90" s="26"/>
      <c r="B90" s="27"/>
      <c r="C90" s="28"/>
      <c r="D90" s="29"/>
      <c r="E90" s="30"/>
      <c r="F90" s="27"/>
      <c r="G90" s="90"/>
      <c r="H90" s="29"/>
      <c r="J90" s="2"/>
      <c r="M90" s="93"/>
      <c r="N90" s="96"/>
      <c r="P90" s="93"/>
      <c r="T90" s="2"/>
      <c r="U90" s="2"/>
    </row>
    <row r="91" spans="1:21" ht="12.75">
      <c r="A91" s="124" t="s">
        <v>983</v>
      </c>
      <c r="B91" s="45" t="s">
        <v>978</v>
      </c>
      <c r="C91" s="313"/>
      <c r="D91" s="314"/>
      <c r="E91" s="314"/>
      <c r="F91" s="41" t="s">
        <v>1085</v>
      </c>
      <c r="G91" s="315" t="s">
        <v>982</v>
      </c>
      <c r="H91" s="314"/>
      <c r="J91" s="2"/>
      <c r="M91" s="93"/>
      <c r="N91" s="96"/>
      <c r="P91" s="93"/>
      <c r="T91" s="2"/>
      <c r="U91" s="2"/>
    </row>
    <row r="92" spans="1:21" ht="12.75">
      <c r="A92" s="125" t="e">
        <f>#REF!</f>
        <v>#REF!</v>
      </c>
      <c r="B92" s="316"/>
      <c r="C92" s="317" t="e">
        <f>#REF!</f>
        <v>#REF!</v>
      </c>
      <c r="D92" s="267" t="e">
        <f>#REF!</f>
        <v>#REF!</v>
      </c>
      <c r="E92" s="318"/>
      <c r="F92" s="133" t="e">
        <f>#REF!</f>
        <v>#REF!</v>
      </c>
      <c r="G92" s="264" t="e">
        <f>#REF!</f>
        <v>#REF!</v>
      </c>
      <c r="H92" s="267" t="e">
        <f>#REF!</f>
        <v>#REF!</v>
      </c>
      <c r="J92" s="2"/>
      <c r="M92" s="93"/>
      <c r="N92" s="96"/>
      <c r="P92" s="93"/>
      <c r="T92" s="2"/>
      <c r="U92" s="2"/>
    </row>
    <row r="93" spans="1:21" ht="12.75">
      <c r="A93" s="126" t="e">
        <f aca="true" t="shared" si="5" ref="A93:A98">A92+1</f>
        <v>#REF!</v>
      </c>
      <c r="B93" s="316"/>
      <c r="C93" s="304" t="e">
        <f>#REF!</f>
        <v>#REF!</v>
      </c>
      <c r="D93" s="319" t="e">
        <f>#REF!</f>
        <v>#REF!</v>
      </c>
      <c r="E93" s="318"/>
      <c r="F93" s="135" t="e">
        <f aca="true" t="shared" si="6" ref="F93:F115">F92+1</f>
        <v>#REF!</v>
      </c>
      <c r="G93" s="264" t="e">
        <f>#REF!</f>
        <v>#REF!</v>
      </c>
      <c r="H93" s="267" t="e">
        <f>#REF!</f>
        <v>#REF!</v>
      </c>
      <c r="J93" s="2"/>
      <c r="M93" s="93"/>
      <c r="N93" s="96"/>
      <c r="P93" s="93"/>
      <c r="T93" s="2"/>
      <c r="U93" s="2"/>
    </row>
    <row r="94" spans="1:21" ht="12.75">
      <c r="A94" s="126" t="e">
        <f t="shared" si="5"/>
        <v>#REF!</v>
      </c>
      <c r="B94" s="316"/>
      <c r="C94" s="267" t="e">
        <f>#REF!</f>
        <v>#REF!</v>
      </c>
      <c r="D94" s="267" t="e">
        <f>#REF!</f>
        <v>#REF!</v>
      </c>
      <c r="E94" s="127"/>
      <c r="F94" s="135" t="e">
        <f t="shared" si="6"/>
        <v>#REF!</v>
      </c>
      <c r="G94" s="264" t="e">
        <f>#REF!</f>
        <v>#REF!</v>
      </c>
      <c r="H94" s="267" t="e">
        <f>#REF!</f>
        <v>#REF!</v>
      </c>
      <c r="J94" s="2"/>
      <c r="M94" s="93"/>
      <c r="N94" s="96"/>
      <c r="P94" s="93"/>
      <c r="T94" s="2"/>
      <c r="U94" s="2"/>
    </row>
    <row r="95" spans="1:21" ht="12.75">
      <c r="A95" s="128" t="e">
        <f t="shared" si="5"/>
        <v>#REF!</v>
      </c>
      <c r="B95" s="320"/>
      <c r="C95" s="321"/>
      <c r="D95" s="319" t="e">
        <f>#REF!</f>
        <v>#REF!</v>
      </c>
      <c r="E95" s="318"/>
      <c r="F95" s="135" t="e">
        <f t="shared" si="6"/>
        <v>#REF!</v>
      </c>
      <c r="G95" s="264" t="e">
        <f>#REF!</f>
        <v>#REF!</v>
      </c>
      <c r="H95" s="267" t="e">
        <f>#REF!</f>
        <v>#REF!</v>
      </c>
      <c r="J95" s="2"/>
      <c r="M95" s="93"/>
      <c r="N95" s="96"/>
      <c r="P95" s="93"/>
      <c r="T95" s="2"/>
      <c r="U95" s="2"/>
    </row>
    <row r="96" spans="1:21" ht="12.75">
      <c r="A96" s="129" t="e">
        <f t="shared" si="5"/>
        <v>#REF!</v>
      </c>
      <c r="B96" s="292"/>
      <c r="C96" s="292"/>
      <c r="D96" s="292"/>
      <c r="E96" s="318"/>
      <c r="F96" s="135" t="e">
        <f t="shared" si="6"/>
        <v>#REF!</v>
      </c>
      <c r="G96" s="264" t="e">
        <f>#REF!</f>
        <v>#REF!</v>
      </c>
      <c r="H96" s="267" t="e">
        <f>#REF!</f>
        <v>#REF!</v>
      </c>
      <c r="J96" s="2"/>
      <c r="M96" s="93"/>
      <c r="N96" s="96"/>
      <c r="P96" s="93"/>
      <c r="T96" s="2"/>
      <c r="U96" s="2"/>
    </row>
    <row r="97" spans="1:21" ht="12.75">
      <c r="A97" s="129" t="e">
        <f t="shared" si="5"/>
        <v>#REF!</v>
      </c>
      <c r="B97" s="320"/>
      <c r="C97" s="305"/>
      <c r="D97" s="322"/>
      <c r="E97" s="318"/>
      <c r="F97" s="135" t="e">
        <f t="shared" si="6"/>
        <v>#REF!</v>
      </c>
      <c r="G97" s="264" t="e">
        <f>#REF!</f>
        <v>#REF!</v>
      </c>
      <c r="H97" s="267" t="e">
        <f>#REF!</f>
        <v>#REF!</v>
      </c>
      <c r="J97" s="2"/>
      <c r="M97" s="93"/>
      <c r="N97" s="96"/>
      <c r="P97" s="93"/>
      <c r="T97" s="2"/>
      <c r="U97" s="2"/>
    </row>
    <row r="98" spans="1:21" ht="12.75">
      <c r="A98" s="129" t="e">
        <f t="shared" si="5"/>
        <v>#REF!</v>
      </c>
      <c r="B98" s="323"/>
      <c r="C98" s="307"/>
      <c r="D98" s="292"/>
      <c r="E98" s="318"/>
      <c r="F98" s="135" t="e">
        <f t="shared" si="6"/>
        <v>#REF!</v>
      </c>
      <c r="G98" s="264" t="e">
        <f>#REF!</f>
        <v>#REF!</v>
      </c>
      <c r="H98" s="267" t="e">
        <f>#REF!</f>
        <v>#REF!</v>
      </c>
      <c r="J98" s="2"/>
      <c r="M98" s="93"/>
      <c r="N98" s="96"/>
      <c r="P98" s="93"/>
      <c r="T98" s="2"/>
      <c r="U98" s="2"/>
    </row>
    <row r="99" spans="1:21" ht="12.75">
      <c r="A99" s="131"/>
      <c r="B99" s="314"/>
      <c r="C99" s="314"/>
      <c r="D99" s="314"/>
      <c r="E99" s="318"/>
      <c r="F99" s="135" t="e">
        <f t="shared" si="6"/>
        <v>#REF!</v>
      </c>
      <c r="G99" s="264" t="e">
        <f>#REF!</f>
        <v>#REF!</v>
      </c>
      <c r="H99" s="267" t="e">
        <f>#REF!</f>
        <v>#REF!</v>
      </c>
      <c r="J99" s="2"/>
      <c r="M99" s="93"/>
      <c r="N99" s="96"/>
      <c r="P99" s="93"/>
      <c r="T99" s="2"/>
      <c r="U99" s="2"/>
    </row>
    <row r="100" spans="1:21" ht="12.75">
      <c r="A100" s="83"/>
      <c r="B100" s="132"/>
      <c r="C100" s="132"/>
      <c r="D100" s="119"/>
      <c r="E100" s="314"/>
      <c r="F100" s="135" t="e">
        <f t="shared" si="6"/>
        <v>#REF!</v>
      </c>
      <c r="G100" s="264" t="e">
        <f>#REF!</f>
        <v>#REF!</v>
      </c>
      <c r="H100" s="267" t="e">
        <f>#REF!</f>
        <v>#REF!</v>
      </c>
      <c r="J100" s="2"/>
      <c r="M100" s="93"/>
      <c r="N100" s="96"/>
      <c r="P100" s="93"/>
      <c r="T100" s="2"/>
      <c r="U100" s="2"/>
    </row>
    <row r="101" spans="1:21" ht="12.75">
      <c r="A101" s="284"/>
      <c r="B101" s="324"/>
      <c r="C101" s="324"/>
      <c r="D101" s="324"/>
      <c r="E101" s="314"/>
      <c r="F101" s="135" t="e">
        <f t="shared" si="6"/>
        <v>#REF!</v>
      </c>
      <c r="G101" s="264" t="e">
        <f>#REF!</f>
        <v>#REF!</v>
      </c>
      <c r="H101" s="267" t="e">
        <f>#REF!</f>
        <v>#REF!</v>
      </c>
      <c r="J101" s="2"/>
      <c r="M101" s="93"/>
      <c r="N101" s="96"/>
      <c r="P101" s="93"/>
      <c r="T101" s="2"/>
      <c r="U101" s="2"/>
    </row>
    <row r="102" spans="1:21" ht="12.75">
      <c r="A102" s="83"/>
      <c r="B102" s="132"/>
      <c r="C102" s="325"/>
      <c r="D102" s="285"/>
      <c r="E102" s="119"/>
      <c r="F102" s="135" t="e">
        <f t="shared" si="6"/>
        <v>#REF!</v>
      </c>
      <c r="G102" s="264" t="e">
        <f>#REF!</f>
        <v>#REF!</v>
      </c>
      <c r="H102" s="267" t="e">
        <f>#REF!</f>
        <v>#REF!</v>
      </c>
      <c r="J102" s="2"/>
      <c r="M102" s="93"/>
      <c r="N102" s="96"/>
      <c r="P102" s="93"/>
      <c r="T102" s="2"/>
      <c r="U102" s="2"/>
    </row>
    <row r="103" spans="1:21" ht="12.75">
      <c r="A103" s="286"/>
      <c r="B103" s="84"/>
      <c r="C103" s="282"/>
      <c r="D103" s="326"/>
      <c r="E103" s="314"/>
      <c r="F103" s="135" t="e">
        <f t="shared" si="6"/>
        <v>#REF!</v>
      </c>
      <c r="G103" s="264" t="e">
        <f>#REF!</f>
        <v>#REF!</v>
      </c>
      <c r="H103" s="267" t="e">
        <f>#REF!</f>
        <v>#REF!</v>
      </c>
      <c r="J103" s="2"/>
      <c r="M103" s="93"/>
      <c r="N103" s="96"/>
      <c r="P103" s="93"/>
      <c r="T103" s="2"/>
      <c r="U103" s="2"/>
    </row>
    <row r="104" spans="1:21" ht="12.75">
      <c r="A104" s="286"/>
      <c r="B104" s="84"/>
      <c r="C104" s="84"/>
      <c r="D104" s="326"/>
      <c r="E104" s="314"/>
      <c r="F104" s="135" t="e">
        <f t="shared" si="6"/>
        <v>#REF!</v>
      </c>
      <c r="G104" s="264" t="e">
        <f>#REF!</f>
        <v>#REF!</v>
      </c>
      <c r="H104" s="267" t="e">
        <f>#REF!</f>
        <v>#REF!</v>
      </c>
      <c r="J104" s="2"/>
      <c r="M104" s="93"/>
      <c r="N104" s="96"/>
      <c r="P104" s="93"/>
      <c r="T104" s="2"/>
      <c r="U104" s="2"/>
    </row>
    <row r="105" spans="1:21" ht="12.75">
      <c r="A105" s="286"/>
      <c r="B105" s="84"/>
      <c r="C105" s="84"/>
      <c r="D105" s="326"/>
      <c r="E105" s="314"/>
      <c r="F105" s="135" t="e">
        <f t="shared" si="6"/>
        <v>#REF!</v>
      </c>
      <c r="G105" s="264" t="e">
        <f>#REF!</f>
        <v>#REF!</v>
      </c>
      <c r="H105" s="267" t="e">
        <f>#REF!</f>
        <v>#REF!</v>
      </c>
      <c r="J105" s="2"/>
      <c r="M105" s="93"/>
      <c r="N105" s="96"/>
      <c r="P105" s="93"/>
      <c r="T105" s="2"/>
      <c r="U105" s="2"/>
    </row>
    <row r="106" spans="1:21" ht="12.75">
      <c r="A106" s="286"/>
      <c r="B106" s="84"/>
      <c r="C106" s="84"/>
      <c r="D106" s="326"/>
      <c r="E106" s="314"/>
      <c r="F106" s="135" t="e">
        <f t="shared" si="6"/>
        <v>#REF!</v>
      </c>
      <c r="G106" s="264" t="e">
        <f>#REF!</f>
        <v>#REF!</v>
      </c>
      <c r="H106" s="267" t="e">
        <f>#REF!</f>
        <v>#REF!</v>
      </c>
      <c r="J106" s="2"/>
      <c r="M106" s="93"/>
      <c r="N106" s="96"/>
      <c r="P106" s="93"/>
      <c r="T106" s="2"/>
      <c r="U106" s="2"/>
    </row>
    <row r="107" spans="1:21" ht="12.75">
      <c r="A107" s="286"/>
      <c r="B107" s="84"/>
      <c r="C107" s="84"/>
      <c r="D107" s="326"/>
      <c r="E107" s="314"/>
      <c r="F107" s="135" t="e">
        <f t="shared" si="6"/>
        <v>#REF!</v>
      </c>
      <c r="G107" s="264" t="e">
        <f>#REF!</f>
        <v>#REF!</v>
      </c>
      <c r="H107" s="267" t="e">
        <f>#REF!</f>
        <v>#REF!</v>
      </c>
      <c r="J107" s="2"/>
      <c r="M107" s="93"/>
      <c r="N107" s="96"/>
      <c r="P107" s="93"/>
      <c r="T107" s="2"/>
      <c r="U107" s="2"/>
    </row>
    <row r="108" spans="1:21" ht="12.75">
      <c r="A108" s="286"/>
      <c r="B108" s="84"/>
      <c r="C108" s="309"/>
      <c r="D108" s="326"/>
      <c r="E108" s="314"/>
      <c r="F108" s="135" t="e">
        <f t="shared" si="6"/>
        <v>#REF!</v>
      </c>
      <c r="G108" s="264" t="e">
        <f>#REF!</f>
        <v>#REF!</v>
      </c>
      <c r="H108" s="267" t="e">
        <f>#REF!</f>
        <v>#REF!</v>
      </c>
      <c r="J108" s="2"/>
      <c r="M108" s="93"/>
      <c r="N108" s="96"/>
      <c r="P108" s="93"/>
      <c r="T108" s="2"/>
      <c r="U108" s="2"/>
    </row>
    <row r="109" spans="1:21" ht="12.75">
      <c r="A109" s="286"/>
      <c r="B109" s="327"/>
      <c r="C109" s="132"/>
      <c r="D109" s="328"/>
      <c r="E109" s="314"/>
      <c r="F109" s="135" t="e">
        <f t="shared" si="6"/>
        <v>#REF!</v>
      </c>
      <c r="G109" s="264" t="e">
        <f>#REF!</f>
        <v>#REF!</v>
      </c>
      <c r="H109" s="267" t="e">
        <f>#REF!</f>
        <v>#REF!</v>
      </c>
      <c r="J109" s="2"/>
      <c r="M109" s="93"/>
      <c r="N109" s="96"/>
      <c r="P109" s="93"/>
      <c r="T109" s="2"/>
      <c r="U109" s="2"/>
    </row>
    <row r="110" spans="1:21" ht="12.75">
      <c r="A110" s="287"/>
      <c r="B110" s="84"/>
      <c r="C110" s="325"/>
      <c r="D110" s="325"/>
      <c r="E110" s="314"/>
      <c r="F110" s="135" t="e">
        <f t="shared" si="6"/>
        <v>#REF!</v>
      </c>
      <c r="G110" s="264" t="e">
        <f>#REF!</f>
        <v>#REF!</v>
      </c>
      <c r="H110" s="267" t="e">
        <f>#REF!</f>
        <v>#REF!</v>
      </c>
      <c r="J110" s="2"/>
      <c r="M110" s="93"/>
      <c r="N110" s="96"/>
      <c r="P110" s="93"/>
      <c r="T110" s="2"/>
      <c r="U110" s="2"/>
    </row>
    <row r="111" spans="1:21" ht="12.75">
      <c r="A111" s="99"/>
      <c r="B111" s="84"/>
      <c r="C111" s="282"/>
      <c r="D111" s="326"/>
      <c r="E111" s="314"/>
      <c r="F111" s="135" t="e">
        <f t="shared" si="6"/>
        <v>#REF!</v>
      </c>
      <c r="G111" s="264" t="e">
        <f>#REF!</f>
        <v>#REF!</v>
      </c>
      <c r="H111" s="267" t="e">
        <f>#REF!</f>
        <v>#REF!</v>
      </c>
      <c r="J111" s="2"/>
      <c r="M111" s="93"/>
      <c r="N111" s="96"/>
      <c r="P111" s="93"/>
      <c r="T111" s="2"/>
      <c r="U111" s="2"/>
    </row>
    <row r="112" spans="1:21" ht="12.75">
      <c r="A112" s="286"/>
      <c r="B112" s="84"/>
      <c r="C112" s="84"/>
      <c r="D112" s="326"/>
      <c r="E112" s="314"/>
      <c r="F112" s="135" t="e">
        <f t="shared" si="6"/>
        <v>#REF!</v>
      </c>
      <c r="G112" s="264" t="e">
        <f>#REF!</f>
        <v>#REF!</v>
      </c>
      <c r="H112" s="267" t="e">
        <f>#REF!</f>
        <v>#REF!</v>
      </c>
      <c r="J112" s="2"/>
      <c r="M112" s="93"/>
      <c r="N112" s="96"/>
      <c r="P112" s="93"/>
      <c r="T112" s="2"/>
      <c r="U112" s="2"/>
    </row>
    <row r="113" spans="1:21" ht="12.75">
      <c r="A113" s="286"/>
      <c r="B113" s="327"/>
      <c r="C113" s="132"/>
      <c r="D113" s="328"/>
      <c r="E113" s="314"/>
      <c r="F113" s="130" t="e">
        <f t="shared" si="6"/>
        <v>#REF!</v>
      </c>
      <c r="G113" s="323"/>
      <c r="H113" s="292"/>
      <c r="J113" s="2"/>
      <c r="M113" s="93"/>
      <c r="N113" s="96"/>
      <c r="P113" s="93"/>
      <c r="T113" s="2"/>
      <c r="U113" s="2"/>
    </row>
    <row r="114" spans="1:21" ht="12.75">
      <c r="A114" s="84"/>
      <c r="B114" s="84"/>
      <c r="C114" s="325"/>
      <c r="D114" s="325"/>
      <c r="E114" s="42"/>
      <c r="F114" s="135" t="e">
        <f t="shared" si="6"/>
        <v>#REF!</v>
      </c>
      <c r="G114" s="226"/>
      <c r="H114" s="270" t="e">
        <f>#REF!</f>
        <v>#REF!</v>
      </c>
      <c r="J114" s="2"/>
      <c r="M114" s="93"/>
      <c r="N114" s="96"/>
      <c r="P114" s="93"/>
      <c r="T114" s="2"/>
      <c r="U114" s="2"/>
    </row>
    <row r="115" spans="1:21" ht="12.75">
      <c r="A115" s="286"/>
      <c r="B115" s="225"/>
      <c r="C115" s="132"/>
      <c r="D115" s="328"/>
      <c r="E115" s="42"/>
      <c r="F115" s="130" t="e">
        <f t="shared" si="6"/>
        <v>#REF!</v>
      </c>
      <c r="G115" s="323"/>
      <c r="H115" s="329"/>
      <c r="J115" s="2"/>
      <c r="M115" s="93"/>
      <c r="N115" s="96"/>
      <c r="P115" s="93"/>
      <c r="T115" s="2"/>
      <c r="U115" s="2"/>
    </row>
    <row r="116" spans="1:21" ht="12.75">
      <c r="A116" s="286"/>
      <c r="B116" s="330"/>
      <c r="C116" s="84"/>
      <c r="D116" s="326"/>
      <c r="E116" s="42"/>
      <c r="F116" s="318"/>
      <c r="G116" s="318"/>
      <c r="H116" s="318"/>
      <c r="J116" s="2"/>
      <c r="M116" s="93"/>
      <c r="N116" s="96"/>
      <c r="P116" s="93"/>
      <c r="T116" s="2"/>
      <c r="U116" s="2"/>
    </row>
    <row r="117" spans="1:21" ht="12.75">
      <c r="A117" s="287"/>
      <c r="B117" s="84"/>
      <c r="C117" s="325"/>
      <c r="D117" s="325"/>
      <c r="E117" s="42"/>
      <c r="F117" s="41" t="s">
        <v>988</v>
      </c>
      <c r="G117" s="315" t="s">
        <v>989</v>
      </c>
      <c r="H117" s="314"/>
      <c r="J117" s="2"/>
      <c r="M117" s="93"/>
      <c r="N117" s="96"/>
      <c r="P117" s="93"/>
      <c r="T117" s="2"/>
      <c r="U117" s="2"/>
    </row>
    <row r="118" spans="1:21" ht="12.75">
      <c r="A118" s="286"/>
      <c r="B118" s="84"/>
      <c r="C118" s="282"/>
      <c r="D118" s="326"/>
      <c r="E118" s="42"/>
      <c r="F118" s="133" t="e">
        <f>F115+1</f>
        <v>#REF!</v>
      </c>
      <c r="G118" s="264" t="e">
        <f>#REF!</f>
        <v>#REF!</v>
      </c>
      <c r="H118" s="267" t="e">
        <f>#REF!</f>
        <v>#REF!</v>
      </c>
      <c r="J118" s="2"/>
      <c r="M118" s="93"/>
      <c r="N118" s="96"/>
      <c r="P118" s="93"/>
      <c r="T118" s="2"/>
      <c r="U118" s="2"/>
    </row>
    <row r="119" spans="1:21" ht="12.75">
      <c r="A119" s="286"/>
      <c r="B119" s="84"/>
      <c r="C119" s="84"/>
      <c r="D119" s="326"/>
      <c r="E119" s="42"/>
      <c r="F119" s="133" t="e">
        <f>F118+1</f>
        <v>#REF!</v>
      </c>
      <c r="G119" s="264" t="e">
        <f>#REF!</f>
        <v>#REF!</v>
      </c>
      <c r="H119" s="267" t="e">
        <f>#REF!</f>
        <v>#REF!</v>
      </c>
      <c r="J119" s="2"/>
      <c r="M119" s="93"/>
      <c r="N119" s="96"/>
      <c r="P119" s="93"/>
      <c r="T119" s="2"/>
      <c r="U119" s="2"/>
    </row>
    <row r="120" spans="1:21" ht="12.75">
      <c r="A120" s="286"/>
      <c r="B120" s="327"/>
      <c r="C120" s="132"/>
      <c r="D120" s="328"/>
      <c r="E120" s="42"/>
      <c r="F120" s="133" t="e">
        <f>F119+1</f>
        <v>#REF!</v>
      </c>
      <c r="G120" s="264" t="e">
        <f>#REF!</f>
        <v>#REF!</v>
      </c>
      <c r="H120" s="267" t="e">
        <f>#REF!</f>
        <v>#REF!</v>
      </c>
      <c r="J120" s="2"/>
      <c r="M120" s="93"/>
      <c r="N120" s="96"/>
      <c r="P120" s="93"/>
      <c r="T120" s="2"/>
      <c r="U120" s="2"/>
    </row>
    <row r="121" spans="1:21" ht="12.75">
      <c r="A121" s="286"/>
      <c r="B121" s="330"/>
      <c r="C121" s="84"/>
      <c r="D121" s="331"/>
      <c r="E121" s="42"/>
      <c r="F121" s="133" t="e">
        <f>F120+1</f>
        <v>#REF!</v>
      </c>
      <c r="G121" s="264" t="e">
        <f>#REF!</f>
        <v>#REF!</v>
      </c>
      <c r="H121" s="267" t="e">
        <f>#REF!</f>
        <v>#REF!</v>
      </c>
      <c r="J121" s="2"/>
      <c r="M121" s="93"/>
      <c r="N121" s="96"/>
      <c r="P121" s="93"/>
      <c r="T121" s="2"/>
      <c r="U121" s="2"/>
    </row>
    <row r="122" spans="1:21" ht="12.75">
      <c r="A122" s="286"/>
      <c r="B122" s="84"/>
      <c r="C122" s="283"/>
      <c r="D122" s="331"/>
      <c r="E122" s="42"/>
      <c r="F122" s="135" t="e">
        <f>F121+1</f>
        <v>#REF!</v>
      </c>
      <c r="G122" s="264" t="e">
        <f>#REF!</f>
        <v>#REF!</v>
      </c>
      <c r="H122" s="267" t="e">
        <f>#REF!</f>
        <v>#REF!</v>
      </c>
      <c r="J122" s="2"/>
      <c r="M122" s="93"/>
      <c r="N122" s="96"/>
      <c r="P122" s="93"/>
      <c r="T122" s="2"/>
      <c r="U122" s="2"/>
    </row>
    <row r="123" spans="1:21" ht="12.75">
      <c r="A123" s="286"/>
      <c r="B123" s="327"/>
      <c r="C123" s="132"/>
      <c r="D123" s="328"/>
      <c r="E123" s="42"/>
      <c r="F123" s="130" t="e">
        <f>F122+1</f>
        <v>#REF!</v>
      </c>
      <c r="G123" s="323"/>
      <c r="H123" s="292"/>
      <c r="J123" s="2"/>
      <c r="M123" s="93"/>
      <c r="N123" s="96"/>
      <c r="P123" s="93"/>
      <c r="T123" s="2"/>
      <c r="U123" s="2"/>
    </row>
    <row r="124" spans="1:10" ht="12.75">
      <c r="A124" s="41"/>
      <c r="B124" s="42"/>
      <c r="C124" s="43"/>
      <c r="D124" s="42"/>
      <c r="E124" s="42"/>
      <c r="F124" s="45"/>
      <c r="G124" s="41"/>
      <c r="H124" s="42"/>
      <c r="I124" s="42"/>
      <c r="J124" s="42"/>
    </row>
    <row r="125" spans="1:21" ht="12.75">
      <c r="A125" s="21"/>
      <c r="B125" s="105" t="s">
        <v>999</v>
      </c>
      <c r="D125" s="2"/>
      <c r="G125" s="93"/>
      <c r="H125" s="96"/>
      <c r="I125" s="93"/>
      <c r="J125" s="93"/>
      <c r="K125" s="93"/>
      <c r="L125" s="93"/>
      <c r="M125" s="93"/>
      <c r="O125" s="2"/>
      <c r="P125" s="2"/>
      <c r="Q125" s="2"/>
      <c r="R125" s="2"/>
      <c r="S125" s="2"/>
      <c r="T125" s="2"/>
      <c r="U125" s="2"/>
    </row>
    <row r="126" spans="1:21" ht="12.75">
      <c r="A126" s="21"/>
      <c r="B126" s="106" t="e">
        <f>#REF!</f>
        <v>#REF!</v>
      </c>
      <c r="D126" s="2"/>
      <c r="G126" s="93"/>
      <c r="H126" s="96"/>
      <c r="I126" s="93"/>
      <c r="J126" s="93"/>
      <c r="K126" s="93"/>
      <c r="L126" s="93"/>
      <c r="M126" s="93"/>
      <c r="O126" s="2"/>
      <c r="P126" s="2"/>
      <c r="Q126" s="2"/>
      <c r="R126" s="2"/>
      <c r="S126" s="2"/>
      <c r="T126" s="2"/>
      <c r="U126" s="2"/>
    </row>
    <row r="127" spans="1:21" ht="12.75">
      <c r="A127" s="26"/>
      <c r="B127" s="29"/>
      <c r="D127" s="2"/>
      <c r="G127" s="93"/>
      <c r="H127" s="96"/>
      <c r="I127" s="93"/>
      <c r="J127" s="93"/>
      <c r="K127" s="93"/>
      <c r="L127" s="93"/>
      <c r="M127" s="93"/>
      <c r="O127" s="2"/>
      <c r="P127" s="2"/>
      <c r="Q127" s="2"/>
      <c r="R127" s="2"/>
      <c r="S127" s="2"/>
      <c r="T127" s="2"/>
      <c r="U127" s="2"/>
    </row>
    <row r="128" spans="1:21" ht="12.75">
      <c r="A128" s="159" t="s">
        <v>1086</v>
      </c>
      <c r="B128" s="95"/>
      <c r="D128" s="2"/>
      <c r="G128" s="93"/>
      <c r="H128" s="96"/>
      <c r="I128" s="93"/>
      <c r="J128" s="93"/>
      <c r="K128" s="93"/>
      <c r="L128" s="93"/>
      <c r="M128" s="93"/>
      <c r="O128" s="2"/>
      <c r="P128" s="2"/>
      <c r="Q128" s="2"/>
      <c r="R128" s="2"/>
      <c r="S128" s="2"/>
      <c r="T128" s="2"/>
      <c r="U128" s="2"/>
    </row>
    <row r="129" spans="1:21" ht="12.75">
      <c r="A129" s="31">
        <f>Instandhouding!A7</f>
        <v>1701</v>
      </c>
      <c r="B129" s="332">
        <f>Instandhouding!F7</f>
        <v>0</v>
      </c>
      <c r="D129" s="2"/>
      <c r="G129" s="93"/>
      <c r="H129" s="96"/>
      <c r="I129" s="93"/>
      <c r="J129" s="93"/>
      <c r="K129" s="93"/>
      <c r="L129" s="93"/>
      <c r="M129" s="93"/>
      <c r="O129" s="2"/>
      <c r="P129" s="2"/>
      <c r="Q129" s="2"/>
      <c r="R129" s="2"/>
      <c r="S129" s="2"/>
      <c r="T129" s="2"/>
      <c r="U129" s="2"/>
    </row>
    <row r="130" spans="1:21" ht="12.75">
      <c r="A130" s="34">
        <f aca="true" t="shared" si="7" ref="A130:A149">A129+1</f>
        <v>1702</v>
      </c>
      <c r="B130" s="332">
        <f>Instandhouding!F8</f>
        <v>0</v>
      </c>
      <c r="D130" s="2"/>
      <c r="G130" s="93"/>
      <c r="H130" s="96"/>
      <c r="I130" s="93"/>
      <c r="J130" s="93"/>
      <c r="K130" s="93"/>
      <c r="L130" s="93"/>
      <c r="M130" s="93"/>
      <c r="O130" s="2"/>
      <c r="P130" s="2"/>
      <c r="Q130" s="2"/>
      <c r="R130" s="2"/>
      <c r="S130" s="2"/>
      <c r="T130" s="2"/>
      <c r="U130" s="2"/>
    </row>
    <row r="131" spans="1:21" ht="12.75">
      <c r="A131" s="34">
        <f t="shared" si="7"/>
        <v>1703</v>
      </c>
      <c r="B131" s="332">
        <f>Instandhouding!F9</f>
        <v>0</v>
      </c>
      <c r="D131" s="2"/>
      <c r="G131" s="93"/>
      <c r="H131" s="96"/>
      <c r="I131" s="93"/>
      <c r="J131" s="93"/>
      <c r="K131" s="93"/>
      <c r="L131" s="93"/>
      <c r="M131" s="93"/>
      <c r="O131" s="2"/>
      <c r="P131" s="2"/>
      <c r="Q131" s="2"/>
      <c r="R131" s="2"/>
      <c r="S131" s="2"/>
      <c r="T131" s="2"/>
      <c r="U131" s="2"/>
    </row>
    <row r="132" spans="1:21" ht="12.75">
      <c r="A132" s="34">
        <f t="shared" si="7"/>
        <v>1704</v>
      </c>
      <c r="B132" s="332">
        <f>Instandhouding!F10</f>
        <v>0</v>
      </c>
      <c r="D132" s="2"/>
      <c r="G132" s="93"/>
      <c r="H132" s="96"/>
      <c r="I132" s="93"/>
      <c r="J132" s="93"/>
      <c r="K132" s="93"/>
      <c r="L132" s="93"/>
      <c r="M132" s="93"/>
      <c r="O132" s="2"/>
      <c r="P132" s="2"/>
      <c r="Q132" s="2"/>
      <c r="R132" s="2"/>
      <c r="S132" s="2"/>
      <c r="T132" s="2"/>
      <c r="U132" s="2"/>
    </row>
    <row r="133" spans="1:21" ht="12.75">
      <c r="A133" s="34">
        <f t="shared" si="7"/>
        <v>1705</v>
      </c>
      <c r="B133" s="332">
        <f>Instandhouding!F11</f>
        <v>0</v>
      </c>
      <c r="D133" s="2"/>
      <c r="G133" s="93"/>
      <c r="H133" s="96"/>
      <c r="I133" s="93"/>
      <c r="J133" s="93"/>
      <c r="K133" s="93"/>
      <c r="L133" s="93"/>
      <c r="M133" s="93"/>
      <c r="O133" s="2"/>
      <c r="P133" s="2"/>
      <c r="Q133" s="2"/>
      <c r="R133" s="2"/>
      <c r="S133" s="2"/>
      <c r="T133" s="2"/>
      <c r="U133" s="2"/>
    </row>
    <row r="134" spans="1:21" ht="12.75">
      <c r="A134" s="34">
        <f t="shared" si="7"/>
        <v>1706</v>
      </c>
      <c r="B134" s="332">
        <f>Instandhouding!F12</f>
        <v>0</v>
      </c>
      <c r="D134" s="2"/>
      <c r="G134" s="93"/>
      <c r="H134" s="96"/>
      <c r="I134" s="93"/>
      <c r="J134" s="93"/>
      <c r="K134" s="93"/>
      <c r="L134" s="93"/>
      <c r="M134" s="93"/>
      <c r="O134" s="2"/>
      <c r="P134" s="2"/>
      <c r="Q134" s="2"/>
      <c r="R134" s="2"/>
      <c r="S134" s="2"/>
      <c r="T134" s="2"/>
      <c r="U134" s="2"/>
    </row>
    <row r="135" spans="1:21" ht="12.75">
      <c r="A135" s="34">
        <f t="shared" si="7"/>
        <v>1707</v>
      </c>
      <c r="B135" s="332">
        <f>Instandhouding!F13</f>
        <v>0</v>
      </c>
      <c r="D135" s="2"/>
      <c r="G135" s="93"/>
      <c r="H135" s="96"/>
      <c r="I135" s="93"/>
      <c r="J135" s="93"/>
      <c r="K135" s="93"/>
      <c r="L135" s="93"/>
      <c r="M135" s="93"/>
      <c r="O135" s="2"/>
      <c r="P135" s="2"/>
      <c r="Q135" s="2"/>
      <c r="R135" s="2"/>
      <c r="S135" s="2"/>
      <c r="T135" s="2"/>
      <c r="U135" s="2"/>
    </row>
    <row r="136" spans="1:21" ht="12.75">
      <c r="A136" s="34">
        <f t="shared" si="7"/>
        <v>1708</v>
      </c>
      <c r="B136" s="332">
        <f>Instandhouding!F14</f>
        <v>0</v>
      </c>
      <c r="D136" s="2"/>
      <c r="G136" s="93"/>
      <c r="H136" s="96"/>
      <c r="I136" s="93"/>
      <c r="J136" s="93"/>
      <c r="K136" s="93"/>
      <c r="L136" s="93"/>
      <c r="M136" s="93"/>
      <c r="O136" s="2"/>
      <c r="P136" s="2"/>
      <c r="Q136" s="2"/>
      <c r="R136" s="2"/>
      <c r="S136" s="2"/>
      <c r="T136" s="2"/>
      <c r="U136" s="2"/>
    </row>
    <row r="137" spans="1:21" ht="12.75">
      <c r="A137" s="34">
        <f t="shared" si="7"/>
        <v>1709</v>
      </c>
      <c r="B137" s="332">
        <f>Instandhouding!F15</f>
        <v>0</v>
      </c>
      <c r="D137" s="2"/>
      <c r="G137" s="93"/>
      <c r="H137" s="96"/>
      <c r="I137" s="93"/>
      <c r="J137" s="93"/>
      <c r="K137" s="93"/>
      <c r="L137" s="93"/>
      <c r="M137" s="93"/>
      <c r="O137" s="2"/>
      <c r="P137" s="2"/>
      <c r="Q137" s="2"/>
      <c r="R137" s="2"/>
      <c r="S137" s="2"/>
      <c r="T137" s="2"/>
      <c r="U137" s="2"/>
    </row>
    <row r="138" spans="1:21" ht="12.75">
      <c r="A138" s="34">
        <f t="shared" si="7"/>
        <v>1710</v>
      </c>
      <c r="B138" s="332">
        <f>Instandhouding!F16</f>
        <v>0</v>
      </c>
      <c r="D138" s="2"/>
      <c r="G138" s="93"/>
      <c r="H138" s="96"/>
      <c r="I138" s="93"/>
      <c r="J138" s="93"/>
      <c r="K138" s="93"/>
      <c r="L138" s="93"/>
      <c r="M138" s="93"/>
      <c r="O138" s="2"/>
      <c r="P138" s="2"/>
      <c r="Q138" s="2"/>
      <c r="R138" s="2"/>
      <c r="S138" s="2"/>
      <c r="T138" s="2"/>
      <c r="U138" s="2"/>
    </row>
    <row r="139" spans="1:21" ht="12.75">
      <c r="A139" s="34">
        <f t="shared" si="7"/>
        <v>1711</v>
      </c>
      <c r="B139" s="332">
        <f>Instandhouding!F17</f>
        <v>0</v>
      </c>
      <c r="D139" s="2"/>
      <c r="G139" s="93"/>
      <c r="H139" s="96"/>
      <c r="I139" s="93"/>
      <c r="J139" s="93"/>
      <c r="K139" s="93"/>
      <c r="L139" s="93"/>
      <c r="M139" s="93"/>
      <c r="O139" s="2"/>
      <c r="P139" s="2"/>
      <c r="Q139" s="2"/>
      <c r="R139" s="2"/>
      <c r="S139" s="2"/>
      <c r="T139" s="2"/>
      <c r="U139" s="2"/>
    </row>
    <row r="140" spans="1:21" ht="12.75">
      <c r="A140" s="34">
        <f t="shared" si="7"/>
        <v>1712</v>
      </c>
      <c r="B140" s="332">
        <f>Instandhouding!F18</f>
        <v>0</v>
      </c>
      <c r="D140" s="2"/>
      <c r="G140" s="93"/>
      <c r="H140" s="96"/>
      <c r="I140" s="93"/>
      <c r="J140" s="93"/>
      <c r="K140" s="93"/>
      <c r="L140" s="93"/>
      <c r="M140" s="93"/>
      <c r="O140" s="2"/>
      <c r="P140" s="2"/>
      <c r="Q140" s="2"/>
      <c r="R140" s="2"/>
      <c r="S140" s="2"/>
      <c r="T140" s="2"/>
      <c r="U140" s="2"/>
    </row>
    <row r="141" spans="1:21" ht="12.75">
      <c r="A141" s="34">
        <f t="shared" si="7"/>
        <v>1713</v>
      </c>
      <c r="B141" s="332">
        <f>Instandhouding!F19</f>
        <v>0</v>
      </c>
      <c r="D141" s="2"/>
      <c r="G141" s="93"/>
      <c r="H141" s="96"/>
      <c r="I141" s="93"/>
      <c r="J141" s="93"/>
      <c r="K141" s="93"/>
      <c r="L141" s="93"/>
      <c r="M141" s="93"/>
      <c r="O141" s="2"/>
      <c r="P141" s="2"/>
      <c r="Q141" s="2"/>
      <c r="R141" s="2"/>
      <c r="S141" s="2"/>
      <c r="T141" s="2"/>
      <c r="U141" s="2"/>
    </row>
    <row r="142" spans="1:21" ht="12.75">
      <c r="A142" s="34">
        <f t="shared" si="7"/>
        <v>1714</v>
      </c>
      <c r="B142" s="332">
        <f>Instandhouding!F20</f>
        <v>0</v>
      </c>
      <c r="D142" s="2"/>
      <c r="G142" s="93"/>
      <c r="H142" s="96"/>
      <c r="I142" s="93"/>
      <c r="J142" s="93"/>
      <c r="K142" s="93"/>
      <c r="L142" s="93"/>
      <c r="M142" s="93"/>
      <c r="O142" s="2"/>
      <c r="P142" s="2"/>
      <c r="Q142" s="2"/>
      <c r="R142" s="2"/>
      <c r="S142" s="2"/>
      <c r="T142" s="2"/>
      <c r="U142" s="2"/>
    </row>
    <row r="143" spans="1:21" ht="12.75">
      <c r="A143" s="34">
        <f t="shared" si="7"/>
        <v>1715</v>
      </c>
      <c r="B143" s="332">
        <f>Instandhouding!F21</f>
        <v>0</v>
      </c>
      <c r="D143" s="2"/>
      <c r="G143" s="93"/>
      <c r="H143" s="96"/>
      <c r="I143" s="93"/>
      <c r="J143" s="93"/>
      <c r="K143" s="93"/>
      <c r="L143" s="93"/>
      <c r="M143" s="93"/>
      <c r="O143" s="2"/>
      <c r="P143" s="2"/>
      <c r="Q143" s="2"/>
      <c r="R143" s="2"/>
      <c r="S143" s="2"/>
      <c r="T143" s="2"/>
      <c r="U143" s="2"/>
    </row>
    <row r="144" spans="1:21" ht="12.75">
      <c r="A144" s="34">
        <f t="shared" si="7"/>
        <v>1716</v>
      </c>
      <c r="B144" s="332">
        <f>Instandhouding!F22</f>
        <v>0</v>
      </c>
      <c r="D144" s="2"/>
      <c r="G144" s="93"/>
      <c r="H144" s="96"/>
      <c r="I144" s="93"/>
      <c r="J144" s="93"/>
      <c r="K144" s="93"/>
      <c r="L144" s="93"/>
      <c r="M144" s="93"/>
      <c r="O144" s="2"/>
      <c r="P144" s="2"/>
      <c r="Q144" s="2"/>
      <c r="R144" s="2"/>
      <c r="S144" s="2"/>
      <c r="T144" s="2"/>
      <c r="U144" s="2"/>
    </row>
    <row r="145" spans="1:21" ht="12.75">
      <c r="A145" s="34">
        <f t="shared" si="7"/>
        <v>1717</v>
      </c>
      <c r="B145" s="332">
        <f>Instandhouding!F23</f>
        <v>0</v>
      </c>
      <c r="D145" s="2"/>
      <c r="G145" s="93"/>
      <c r="H145" s="96"/>
      <c r="I145" s="93"/>
      <c r="J145" s="93"/>
      <c r="K145" s="93"/>
      <c r="L145" s="93"/>
      <c r="M145" s="93"/>
      <c r="O145" s="2"/>
      <c r="P145" s="2"/>
      <c r="Q145" s="2"/>
      <c r="R145" s="2"/>
      <c r="S145" s="2"/>
      <c r="T145" s="2"/>
      <c r="U145" s="2"/>
    </row>
    <row r="146" spans="1:21" ht="12.75">
      <c r="A146" s="34">
        <f t="shared" si="7"/>
        <v>1718</v>
      </c>
      <c r="B146" s="332">
        <f>Instandhouding!F24</f>
        <v>0</v>
      </c>
      <c r="D146" s="2"/>
      <c r="G146" s="93"/>
      <c r="H146" s="96"/>
      <c r="I146" s="93"/>
      <c r="J146" s="93"/>
      <c r="K146" s="93"/>
      <c r="L146" s="93"/>
      <c r="M146" s="93"/>
      <c r="O146" s="2"/>
      <c r="P146" s="2"/>
      <c r="Q146" s="2"/>
      <c r="R146" s="2"/>
      <c r="S146" s="2"/>
      <c r="T146" s="2"/>
      <c r="U146" s="2"/>
    </row>
    <row r="147" spans="1:21" ht="12.75">
      <c r="A147" s="34">
        <f t="shared" si="7"/>
        <v>1719</v>
      </c>
      <c r="B147" s="332">
        <f>Instandhouding!F25</f>
        <v>0</v>
      </c>
      <c r="D147" s="2"/>
      <c r="G147" s="93"/>
      <c r="H147" s="96"/>
      <c r="I147" s="93"/>
      <c r="J147" s="93"/>
      <c r="K147" s="93"/>
      <c r="L147" s="93"/>
      <c r="M147" s="93"/>
      <c r="O147" s="2"/>
      <c r="P147" s="2"/>
      <c r="Q147" s="2"/>
      <c r="R147" s="2"/>
      <c r="S147" s="2"/>
      <c r="T147" s="2"/>
      <c r="U147" s="2"/>
    </row>
    <row r="148" spans="1:21" ht="12.75">
      <c r="A148" s="54">
        <f t="shared" si="7"/>
        <v>1720</v>
      </c>
      <c r="B148" s="332">
        <f>Instandhouding!F26</f>
        <v>0</v>
      </c>
      <c r="D148" s="2"/>
      <c r="G148" s="93"/>
      <c r="H148" s="96"/>
      <c r="I148" s="93"/>
      <c r="J148" s="93"/>
      <c r="K148" s="93"/>
      <c r="L148" s="93"/>
      <c r="M148" s="93"/>
      <c r="O148" s="2"/>
      <c r="P148" s="2"/>
      <c r="Q148" s="2"/>
      <c r="R148" s="2"/>
      <c r="S148" s="2"/>
      <c r="T148" s="2"/>
      <c r="U148" s="2"/>
    </row>
    <row r="149" spans="1:21" ht="12.75">
      <c r="A149" s="37">
        <f t="shared" si="7"/>
        <v>1721</v>
      </c>
      <c r="B149" s="292"/>
      <c r="D149" s="2"/>
      <c r="G149" s="93"/>
      <c r="H149" s="96"/>
      <c r="I149" s="93"/>
      <c r="J149" s="93"/>
      <c r="K149" s="93"/>
      <c r="L149" s="93"/>
      <c r="M149" s="93"/>
      <c r="O149" s="2"/>
      <c r="P149" s="2"/>
      <c r="Q149" s="2"/>
      <c r="R149" s="2"/>
      <c r="S149" s="2"/>
      <c r="T149" s="2"/>
      <c r="U149" s="2"/>
    </row>
    <row r="150" spans="1:10" ht="12.75">
      <c r="A150" s="41"/>
      <c r="B150" s="42"/>
      <c r="C150" s="42"/>
      <c r="D150" s="42"/>
      <c r="E150" s="42"/>
      <c r="F150" s="42"/>
      <c r="G150" s="42"/>
      <c r="H150" s="42"/>
      <c r="I150" s="42"/>
      <c r="J150" s="42"/>
    </row>
    <row r="151" spans="1:10" ht="12.75">
      <c r="A151" s="14" t="s">
        <v>1042</v>
      </c>
      <c r="B151" s="15"/>
      <c r="C151" s="137"/>
      <c r="D151" s="15"/>
      <c r="E151" s="5"/>
      <c r="F151" s="138"/>
      <c r="G151" s="15"/>
      <c r="H151" s="15"/>
      <c r="J151" s="2"/>
    </row>
    <row r="152" spans="2:8" ht="12.75">
      <c r="B152" s="15"/>
      <c r="C152" s="15"/>
      <c r="D152" s="15"/>
      <c r="E152" s="139"/>
      <c r="F152" s="140"/>
      <c r="G152" s="139"/>
      <c r="H152" s="139"/>
    </row>
    <row r="153" spans="1:8" ht="12.75">
      <c r="A153" s="200"/>
      <c r="B153" s="201"/>
      <c r="C153" s="202" t="s">
        <v>986</v>
      </c>
      <c r="D153" s="276" t="s">
        <v>820</v>
      </c>
      <c r="E153" s="277"/>
      <c r="F153" s="198" t="s">
        <v>990</v>
      </c>
      <c r="G153" s="203"/>
      <c r="H153" s="200"/>
    </row>
    <row r="154" spans="1:8" ht="12.75">
      <c r="A154" s="201"/>
      <c r="B154" s="204"/>
      <c r="C154" s="205" t="s">
        <v>987</v>
      </c>
      <c r="D154" s="206" t="s">
        <v>808</v>
      </c>
      <c r="E154" s="108" t="s">
        <v>850</v>
      </c>
      <c r="F154" s="109"/>
      <c r="G154" s="203"/>
      <c r="H154" s="203"/>
    </row>
    <row r="155" spans="1:8" ht="12.75">
      <c r="A155" s="64"/>
      <c r="B155" s="65"/>
      <c r="C155" s="66"/>
      <c r="D155" s="162" t="s">
        <v>839</v>
      </c>
      <c r="E155" s="67"/>
      <c r="F155" s="65"/>
      <c r="G155" s="64"/>
      <c r="H155" s="68"/>
    </row>
    <row r="156" spans="1:8" ht="12.75">
      <c r="A156" s="47" t="s">
        <v>1101</v>
      </c>
      <c r="B156" s="14" t="s">
        <v>838</v>
      </c>
      <c r="C156" s="90"/>
      <c r="D156" s="333"/>
      <c r="E156" s="146"/>
      <c r="F156" s="84"/>
      <c r="G156" s="84"/>
      <c r="H156" s="45"/>
    </row>
    <row r="157" spans="1:8" ht="12.75">
      <c r="A157" s="31">
        <f>Mutaties!A9</f>
        <v>2201</v>
      </c>
      <c r="B157" s="334"/>
      <c r="C157" s="335"/>
      <c r="D157" s="141"/>
      <c r="E157" s="332">
        <f>Mutaties!E12</f>
        <v>0</v>
      </c>
      <c r="F157" s="336"/>
      <c r="G157" s="58"/>
      <c r="H157" s="337" t="s">
        <v>802</v>
      </c>
    </row>
    <row r="158" spans="1:8" ht="12.75">
      <c r="A158" s="34">
        <f aca="true" t="shared" si="8" ref="A158:A171">A157+1</f>
        <v>2202</v>
      </c>
      <c r="B158" s="334"/>
      <c r="C158" s="335"/>
      <c r="D158" s="143"/>
      <c r="E158" s="338"/>
      <c r="F158" s="336"/>
      <c r="G158" s="58"/>
      <c r="H158" s="225"/>
    </row>
    <row r="159" spans="1:8" ht="12.75">
      <c r="A159" s="81">
        <f t="shared" si="8"/>
        <v>2203</v>
      </c>
      <c r="B159" s="334"/>
      <c r="C159" s="336"/>
      <c r="D159" s="141"/>
      <c r="E159" s="267">
        <f>Mutaties!E15</f>
        <v>0</v>
      </c>
      <c r="F159" s="336"/>
      <c r="G159" s="309"/>
      <c r="H159" s="337" t="s">
        <v>803</v>
      </c>
    </row>
    <row r="160" spans="1:8" ht="12.75">
      <c r="A160" s="34">
        <f t="shared" si="8"/>
        <v>2204</v>
      </c>
      <c r="B160" s="339"/>
      <c r="C160" s="239"/>
      <c r="D160" s="141"/>
      <c r="E160" s="340">
        <f>Mutaties!E17</f>
        <v>0</v>
      </c>
      <c r="F160" s="341"/>
      <c r="G160" s="58"/>
      <c r="H160" s="337" t="s">
        <v>804</v>
      </c>
    </row>
    <row r="161" spans="1:8" ht="12.75">
      <c r="A161" s="34">
        <f t="shared" si="8"/>
        <v>2205</v>
      </c>
      <c r="B161" s="334"/>
      <c r="C161" s="335"/>
      <c r="D161" s="142"/>
      <c r="E161" s="332">
        <f>Mutaties!E18</f>
        <v>0</v>
      </c>
      <c r="F161" s="336"/>
      <c r="G161" s="58"/>
      <c r="H161" s="337" t="s">
        <v>805</v>
      </c>
    </row>
    <row r="162" spans="1:8" ht="12.75">
      <c r="A162" s="35">
        <f t="shared" si="8"/>
        <v>2206</v>
      </c>
      <c r="B162" s="342"/>
      <c r="C162" s="239"/>
      <c r="D162" s="142"/>
      <c r="E162" s="340" t="e">
        <f>Mutaties!#REF!</f>
        <v>#REF!</v>
      </c>
      <c r="F162" s="341"/>
      <c r="G162" s="58"/>
      <c r="H162" s="337" t="s">
        <v>1089</v>
      </c>
    </row>
    <row r="163" spans="1:8" ht="12.75">
      <c r="A163" s="34">
        <f t="shared" si="8"/>
        <v>2207</v>
      </c>
      <c r="B163" s="334"/>
      <c r="C163" s="343" t="e">
        <f>Mutaties!#REF!</f>
        <v>#REF!</v>
      </c>
      <c r="D163" s="143"/>
      <c r="E163" s="338"/>
      <c r="F163" s="336"/>
      <c r="G163" s="58"/>
      <c r="H163" s="337" t="s">
        <v>806</v>
      </c>
    </row>
    <row r="164" spans="1:8" ht="12.75">
      <c r="A164" s="34">
        <f t="shared" si="8"/>
        <v>2208</v>
      </c>
      <c r="B164" s="334"/>
      <c r="C164" s="343" t="e">
        <f>Mutaties!#REF!</f>
        <v>#REF!</v>
      </c>
      <c r="D164" s="142"/>
      <c r="E164" s="332" t="e">
        <f>Mutaties!#REF!</f>
        <v>#REF!</v>
      </c>
      <c r="F164" s="336"/>
      <c r="G164" s="58"/>
      <c r="H164" s="337" t="s">
        <v>811</v>
      </c>
    </row>
    <row r="165" spans="1:8" ht="12.75">
      <c r="A165" s="34">
        <f t="shared" si="8"/>
        <v>2209</v>
      </c>
      <c r="B165" s="334"/>
      <c r="C165" s="343">
        <f>Mutaties!C20</f>
        <v>0</v>
      </c>
      <c r="D165" s="141"/>
      <c r="E165" s="332">
        <f>Mutaties!E20</f>
        <v>0</v>
      </c>
      <c r="F165" s="336"/>
      <c r="G165" s="58"/>
      <c r="H165" s="337" t="s">
        <v>807</v>
      </c>
    </row>
    <row r="166" spans="1:8" ht="12.75">
      <c r="A166" s="35">
        <f t="shared" si="8"/>
        <v>2210</v>
      </c>
      <c r="B166" s="177"/>
      <c r="C166" s="343">
        <f>Mutaties!F21</f>
        <v>0</v>
      </c>
      <c r="D166" s="144"/>
      <c r="E166" s="338"/>
      <c r="F166" s="336"/>
      <c r="G166" s="58"/>
      <c r="H166" s="45"/>
    </row>
    <row r="167" spans="1:8" ht="12.75">
      <c r="A167" s="37">
        <f t="shared" si="8"/>
        <v>2211</v>
      </c>
      <c r="B167" s="61"/>
      <c r="C167" s="344"/>
      <c r="D167" s="186"/>
      <c r="E167" s="344"/>
      <c r="F167" s="344"/>
      <c r="G167" s="345"/>
      <c r="H167" s="45"/>
    </row>
    <row r="168" spans="1:8" ht="12.75">
      <c r="A168" s="188">
        <f t="shared" si="8"/>
        <v>2212</v>
      </c>
      <c r="B168" s="84"/>
      <c r="C168" s="346"/>
      <c r="D168" s="187"/>
      <c r="E168" s="280">
        <f>Mutaties!E23</f>
        <v>0</v>
      </c>
      <c r="F168" s="281">
        <f>Mutaties!F23</f>
        <v>0</v>
      </c>
      <c r="G168" s="345"/>
      <c r="H168" s="45"/>
    </row>
    <row r="169" spans="1:8" ht="12.75">
      <c r="A169" s="37">
        <f t="shared" si="8"/>
        <v>2213</v>
      </c>
      <c r="B169" s="60"/>
      <c r="C169" s="347"/>
      <c r="D169" s="145"/>
      <c r="E169" s="347"/>
      <c r="F169" s="348"/>
      <c r="G169" s="345"/>
      <c r="H169" s="45"/>
    </row>
    <row r="170" spans="1:8" ht="12.75">
      <c r="A170" s="188">
        <f t="shared" si="8"/>
        <v>2214</v>
      </c>
      <c r="B170" s="134"/>
      <c r="C170" s="349"/>
      <c r="D170" s="189"/>
      <c r="E170" s="350"/>
      <c r="F170" s="336"/>
      <c r="G170" s="345"/>
      <c r="H170" s="45"/>
    </row>
    <row r="171" spans="1:8" ht="12.75">
      <c r="A171" s="188">
        <f t="shared" si="8"/>
        <v>2215</v>
      </c>
      <c r="B171" s="134"/>
      <c r="C171" s="349"/>
      <c r="D171" s="189"/>
      <c r="E171" s="350"/>
      <c r="F171" s="341"/>
      <c r="G171" s="345"/>
      <c r="H171" s="337" t="s">
        <v>1097</v>
      </c>
    </row>
    <row r="172" spans="1:8" ht="12.75">
      <c r="A172" s="90"/>
      <c r="B172" s="90"/>
      <c r="C172" s="146"/>
      <c r="D172" s="147"/>
      <c r="E172" s="163"/>
      <c r="F172" s="163"/>
      <c r="G172" s="90"/>
      <c r="H172" s="45"/>
    </row>
    <row r="173" spans="1:8" s="11" customFormat="1" ht="12.75" customHeight="1">
      <c r="A173" s="260"/>
      <c r="B173" s="232"/>
      <c r="C173" s="233" t="s">
        <v>992</v>
      </c>
      <c r="D173" s="278" t="s">
        <v>993</v>
      </c>
      <c r="E173" s="279"/>
      <c r="F173" s="108" t="s">
        <v>990</v>
      </c>
      <c r="G173" s="234"/>
      <c r="H173" s="235"/>
    </row>
    <row r="174" spans="1:8" s="42" customFormat="1" ht="12.75" customHeight="1">
      <c r="A174" s="21"/>
      <c r="B174" s="232"/>
      <c r="C174" s="241"/>
      <c r="D174" s="242"/>
      <c r="E174" s="242"/>
      <c r="F174" s="243"/>
      <c r="G174" s="234"/>
      <c r="H174" s="235"/>
    </row>
    <row r="175" spans="1:8" s="42" customFormat="1" ht="12.75" customHeight="1">
      <c r="A175" s="47" t="s">
        <v>1102</v>
      </c>
      <c r="B175" s="14" t="s">
        <v>842</v>
      </c>
      <c r="C175" s="90"/>
      <c r="D175" s="147"/>
      <c r="E175" s="90"/>
      <c r="F175" s="90"/>
      <c r="G175" s="90"/>
      <c r="H175" s="45"/>
    </row>
    <row r="176" spans="1:8" s="42" customFormat="1" ht="12.75" customHeight="1">
      <c r="A176" s="31">
        <f>A171+1</f>
        <v>2216</v>
      </c>
      <c r="B176" s="121"/>
      <c r="C176" s="239"/>
      <c r="D176" s="351"/>
      <c r="E176" s="352"/>
      <c r="F176" s="341"/>
      <c r="G176" s="84"/>
      <c r="H176" s="337" t="e">
        <f>CONCATENATE("IJ",RIGHT(#REF!,2))</f>
        <v>#REF!</v>
      </c>
    </row>
    <row r="177" spans="1:8" s="42" customFormat="1" ht="12.75" customHeight="1">
      <c r="A177" s="34">
        <f>A176+1</f>
        <v>2217</v>
      </c>
      <c r="B177" s="121"/>
      <c r="C177" s="148"/>
      <c r="D177" s="149"/>
      <c r="E177" s="353"/>
      <c r="F177" s="354"/>
      <c r="G177" s="84"/>
      <c r="H177" s="337" t="e">
        <f>CONCATENATE("IV",RIGHT(#REF!,2))</f>
        <v>#REF!</v>
      </c>
    </row>
    <row r="178" spans="1:8" s="42" customFormat="1" ht="12.75" customHeight="1">
      <c r="A178" s="54">
        <f>A177+1</f>
        <v>2218</v>
      </c>
      <c r="B178" s="121"/>
      <c r="C178" s="239"/>
      <c r="D178" s="351"/>
      <c r="E178" s="239"/>
      <c r="F178" s="341"/>
      <c r="G178" s="84"/>
      <c r="H178" s="337" t="e">
        <f>CONCATENATE("IT",RIGHT(#REF!,2))</f>
        <v>#REF!</v>
      </c>
    </row>
    <row r="179" spans="1:8" s="42" customFormat="1" ht="12.75" customHeight="1">
      <c r="A179" s="14"/>
      <c r="B179" s="90"/>
      <c r="C179" s="150"/>
      <c r="D179" s="151"/>
      <c r="E179" s="355"/>
      <c r="F179" s="355"/>
      <c r="G179" s="84"/>
      <c r="H179" s="225"/>
    </row>
    <row r="180" spans="1:8" ht="12.75">
      <c r="A180" s="47" t="s">
        <v>1103</v>
      </c>
      <c r="B180" s="41" t="s">
        <v>1018</v>
      </c>
      <c r="C180" s="157"/>
      <c r="D180" s="42"/>
      <c r="E180" s="42"/>
      <c r="F180" s="356"/>
      <c r="G180" s="356"/>
      <c r="H180" s="47"/>
    </row>
    <row r="181" spans="1:8" ht="12.75">
      <c r="A181" s="31">
        <f>A178+1</f>
        <v>2219</v>
      </c>
      <c r="B181" s="357"/>
      <c r="C181" s="152"/>
      <c r="D181" s="358"/>
      <c r="E181" s="359"/>
      <c r="F181" s="332">
        <f>Mutaties!F42</f>
        <v>0</v>
      </c>
      <c r="G181" s="84"/>
      <c r="H181" s="337" t="s">
        <v>841</v>
      </c>
    </row>
    <row r="182" spans="1:8" ht="12.75">
      <c r="A182" s="35">
        <f>A181+1</f>
        <v>2220</v>
      </c>
      <c r="B182" s="357"/>
      <c r="C182" s="153"/>
      <c r="D182" s="360"/>
      <c r="E182" s="361"/>
      <c r="F182" s="336"/>
      <c r="G182" s="84"/>
      <c r="H182" s="337" t="s">
        <v>841</v>
      </c>
    </row>
    <row r="183" spans="1:8" ht="12.75">
      <c r="A183" s="37">
        <f>A182+1</f>
        <v>2221</v>
      </c>
      <c r="B183" s="362"/>
      <c r="C183" s="154"/>
      <c r="D183" s="363"/>
      <c r="E183" s="364"/>
      <c r="F183" s="365"/>
      <c r="G183" s="225"/>
      <c r="H183" s="225"/>
    </row>
    <row r="184" spans="1:8" ht="12.75">
      <c r="A184" s="41"/>
      <c r="B184" s="42"/>
      <c r="C184" s="147"/>
      <c r="D184" s="42"/>
      <c r="E184" s="42"/>
      <c r="F184" s="42"/>
      <c r="G184" s="42"/>
      <c r="H184" s="47"/>
    </row>
    <row r="185" spans="1:8" ht="12.75">
      <c r="A185" s="37">
        <f>A183+1</f>
        <v>2222</v>
      </c>
      <c r="B185" s="362"/>
      <c r="C185" s="154"/>
      <c r="D185" s="363"/>
      <c r="E185" s="364"/>
      <c r="F185" s="365">
        <f>F167-F171+F183</f>
        <v>0</v>
      </c>
      <c r="G185" s="42"/>
      <c r="H185" s="47"/>
    </row>
    <row r="186" spans="1:8" ht="12.75">
      <c r="A186" s="41"/>
      <c r="B186" s="42"/>
      <c r="C186" s="42"/>
      <c r="D186" s="147"/>
      <c r="E186" s="42"/>
      <c r="F186" s="42"/>
      <c r="G186" s="42"/>
      <c r="H186" s="47"/>
    </row>
    <row r="187" spans="1:8" ht="12.75">
      <c r="A187" s="41"/>
      <c r="B187" s="42"/>
      <c r="C187" s="42"/>
      <c r="D187" s="147"/>
      <c r="E187" s="42"/>
      <c r="F187" s="42"/>
      <c r="G187" s="42"/>
      <c r="H187" s="47"/>
    </row>
    <row r="188" spans="1:8" ht="12.75">
      <c r="A188" s="14" t="s">
        <v>1076</v>
      </c>
      <c r="B188" s="15"/>
      <c r="C188" s="15"/>
      <c r="D188" s="137"/>
      <c r="E188" s="5"/>
      <c r="F188" s="138"/>
      <c r="G188" s="42"/>
      <c r="H188" s="47"/>
    </row>
    <row r="189" spans="2:6" ht="12.75">
      <c r="B189" s="15"/>
      <c r="C189" s="15"/>
      <c r="D189" s="15"/>
      <c r="E189" s="139"/>
      <c r="F189" s="140"/>
    </row>
    <row r="190" spans="1:6" ht="12.75">
      <c r="A190" s="64"/>
      <c r="B190" s="366"/>
      <c r="C190" s="118"/>
      <c r="D190" s="207" t="e">
        <f>CONCATENATE("Jaarrekening ",#REF!-1," ")</f>
        <v>#REF!</v>
      </c>
      <c r="E190" s="207" t="e">
        <f>CONCATENATE("Jaarrekening ",#REF!," ")</f>
        <v>#REF!</v>
      </c>
      <c r="F190" s="207" t="s">
        <v>990</v>
      </c>
    </row>
    <row r="191" spans="1:6" ht="12.75">
      <c r="A191" s="83"/>
      <c r="B191" s="325"/>
      <c r="C191" s="156"/>
      <c r="D191" s="111"/>
      <c r="E191" s="156"/>
      <c r="F191" s="113"/>
    </row>
    <row r="192" spans="1:6" ht="12.75">
      <c r="A192" s="47" t="s">
        <v>991</v>
      </c>
      <c r="B192" s="14" t="s">
        <v>840</v>
      </c>
      <c r="C192" s="147"/>
      <c r="D192" s="90"/>
      <c r="E192" s="90"/>
      <c r="F192" s="90"/>
    </row>
    <row r="193" spans="1:6" ht="12.75">
      <c r="A193" s="31" t="e">
        <f>'Rentecalc.'!#REF!</f>
        <v>#REF!</v>
      </c>
      <c r="B193" s="357"/>
      <c r="C193" s="158"/>
      <c r="D193" s="358"/>
      <c r="E193" s="359"/>
      <c r="F193" s="367">
        <f>Uitvoer!F169</f>
        <v>0</v>
      </c>
    </row>
    <row r="194" spans="1:6" ht="12.75">
      <c r="A194" s="34" t="e">
        <f>A193+1</f>
        <v>#REF!</v>
      </c>
      <c r="B194" s="368"/>
      <c r="C194" s="158"/>
      <c r="D194" s="358"/>
      <c r="E194" s="267" t="e">
        <f>'Rentecalc.'!#REF!</f>
        <v>#REF!</v>
      </c>
      <c r="F194" s="369"/>
    </row>
    <row r="195" spans="1:6" ht="12.75">
      <c r="A195" s="34" t="e">
        <f>A194+1</f>
        <v>#REF!</v>
      </c>
      <c r="B195" s="368"/>
      <c r="C195" s="158"/>
      <c r="D195" s="358"/>
      <c r="E195" s="336"/>
      <c r="F195" s="369"/>
    </row>
    <row r="196" spans="1:6" ht="12.75">
      <c r="A196" s="35" t="e">
        <f>A195+1</f>
        <v>#REF!</v>
      </c>
      <c r="B196" s="370"/>
      <c r="C196" s="224"/>
      <c r="D196" s="371"/>
      <c r="E196" s="372"/>
      <c r="F196" s="244"/>
    </row>
    <row r="197" spans="1:6" ht="12.75">
      <c r="A197" s="37" t="e">
        <f>A196+1</f>
        <v>#REF!</v>
      </c>
      <c r="B197" s="362"/>
      <c r="C197" s="154"/>
      <c r="D197" s="373"/>
      <c r="E197" s="374"/>
      <c r="F197" s="292"/>
    </row>
    <row r="198" spans="1:6" ht="12.75">
      <c r="A198" s="41"/>
      <c r="B198" s="42"/>
      <c r="C198" s="147"/>
      <c r="D198" s="42"/>
      <c r="E198" s="42"/>
      <c r="F198" s="42"/>
    </row>
    <row r="199" spans="1:6" ht="12.75">
      <c r="A199" s="47" t="s">
        <v>1016</v>
      </c>
      <c r="B199" s="14"/>
      <c r="C199" s="147"/>
      <c r="D199" s="42"/>
      <c r="E199" s="42"/>
      <c r="F199" s="42"/>
    </row>
    <row r="200" spans="1:6" ht="12.75">
      <c r="A200" s="31" t="e">
        <f>A197+1</f>
        <v>#REF!</v>
      </c>
      <c r="B200" s="357"/>
      <c r="C200" s="375"/>
      <c r="D200" s="270" t="e">
        <f>'Rentecalc.'!#REF!</f>
        <v>#REF!</v>
      </c>
      <c r="E200" s="270" t="e">
        <f>'Rentecalc.'!#REF!</f>
        <v>#REF!</v>
      </c>
      <c r="F200" s="367"/>
    </row>
    <row r="201" spans="1:6" ht="12.75">
      <c r="A201" s="34" t="e">
        <f aca="true" t="shared" si="9" ref="A201:A208">A200+1</f>
        <v>#REF!</v>
      </c>
      <c r="B201" s="357"/>
      <c r="C201" s="375"/>
      <c r="D201" s="270" t="e">
        <f>'Rentecalc.'!#REF!</f>
        <v>#REF!</v>
      </c>
      <c r="E201" s="270" t="e">
        <f>'Rentecalc.'!#REF!</f>
        <v>#REF!</v>
      </c>
      <c r="F201" s="367"/>
    </row>
    <row r="202" spans="1:6" ht="12.75">
      <c r="A202" s="34" t="e">
        <f t="shared" si="9"/>
        <v>#REF!</v>
      </c>
      <c r="B202" s="357"/>
      <c r="C202" s="375"/>
      <c r="D202" s="270" t="e">
        <f>'Rentecalc.'!#REF!</f>
        <v>#REF!</v>
      </c>
      <c r="E202" s="270" t="e">
        <f>'Rentecalc.'!#REF!</f>
        <v>#REF!</v>
      </c>
      <c r="F202" s="367"/>
    </row>
    <row r="203" spans="1:6" ht="12.75">
      <c r="A203" s="34" t="e">
        <f t="shared" si="9"/>
        <v>#REF!</v>
      </c>
      <c r="B203" s="357"/>
      <c r="C203" s="375"/>
      <c r="D203" s="270" t="e">
        <f>'Rentecalc.'!#REF!</f>
        <v>#REF!</v>
      </c>
      <c r="E203" s="270" t="e">
        <f>'Rentecalc.'!#REF!</f>
        <v>#REF!</v>
      </c>
      <c r="F203" s="367"/>
    </row>
    <row r="204" spans="1:6" ht="12.75">
      <c r="A204" s="35" t="e">
        <f t="shared" si="9"/>
        <v>#REF!</v>
      </c>
      <c r="B204" s="240"/>
      <c r="C204" s="265"/>
      <c r="D204" s="270" t="e">
        <f>'Rentecalc.'!#REF!</f>
        <v>#REF!</v>
      </c>
      <c r="E204" s="270" t="e">
        <f>'Rentecalc.'!#REF!</f>
        <v>#REF!</v>
      </c>
      <c r="F204" s="367"/>
    </row>
    <row r="205" spans="1:6" ht="12.75">
      <c r="A205" s="37" t="e">
        <f t="shared" si="9"/>
        <v>#REF!</v>
      </c>
      <c r="B205" s="362"/>
      <c r="C205" s="154"/>
      <c r="D205" s="373"/>
      <c r="E205" s="374"/>
      <c r="F205" s="365"/>
    </row>
    <row r="206" spans="1:6" ht="12.75">
      <c r="A206" s="34" t="e">
        <f t="shared" si="9"/>
        <v>#REF!</v>
      </c>
      <c r="B206" s="357"/>
      <c r="C206" s="376"/>
      <c r="D206" s="377"/>
      <c r="E206" s="378"/>
      <c r="F206" s="367"/>
    </row>
    <row r="207" spans="1:6" ht="12.75">
      <c r="A207" s="35" t="e">
        <f t="shared" si="9"/>
        <v>#REF!</v>
      </c>
      <c r="B207" s="240"/>
      <c r="C207" s="265"/>
      <c r="D207" s="379"/>
      <c r="E207" s="380"/>
      <c r="F207" s="270" t="e">
        <f>'Rentecalc.'!#REF!</f>
        <v>#REF!</v>
      </c>
    </row>
    <row r="208" spans="1:6" ht="12.75">
      <c r="A208" s="37" t="e">
        <f t="shared" si="9"/>
        <v>#REF!</v>
      </c>
      <c r="B208" s="362"/>
      <c r="C208" s="154"/>
      <c r="D208" s="373"/>
      <c r="E208" s="374"/>
      <c r="F208" s="365">
        <f>F197</f>
        <v>0</v>
      </c>
    </row>
    <row r="209" spans="2:6" ht="12.75">
      <c r="B209" s="93"/>
      <c r="C209" s="155"/>
      <c r="D209" s="93"/>
      <c r="E209" s="93"/>
      <c r="F209" s="93"/>
    </row>
    <row r="210" spans="1:6" ht="12.75">
      <c r="A210" s="47" t="s">
        <v>1017</v>
      </c>
      <c r="B210" s="231" t="s">
        <v>1096</v>
      </c>
      <c r="C210" s="147"/>
      <c r="D210" s="90"/>
      <c r="E210" s="90"/>
      <c r="F210" s="90"/>
    </row>
    <row r="211" spans="1:6" ht="12.75">
      <c r="A211" s="31" t="e">
        <f>A208+1</f>
        <v>#REF!</v>
      </c>
      <c r="B211" s="381"/>
      <c r="C211" s="158"/>
      <c r="D211" s="270" t="e">
        <f>'Rentecalc.'!#REF!</f>
        <v>#REF!</v>
      </c>
      <c r="E211" s="270" t="e">
        <f>'Rentecalc.'!#REF!</f>
        <v>#REF!</v>
      </c>
      <c r="F211" s="336"/>
    </row>
    <row r="212" spans="1:6" ht="12.75">
      <c r="A212" s="34" t="e">
        <f>A211+1</f>
        <v>#REF!</v>
      </c>
      <c r="B212" s="382"/>
      <c r="C212" s="158"/>
      <c r="D212" s="267" t="e">
        <f>'Rentecalc.'!#REF!</f>
        <v>#REF!</v>
      </c>
      <c r="E212" s="383"/>
      <c r="F212" s="42"/>
    </row>
    <row r="213" spans="1:6" ht="12.75">
      <c r="A213" s="81" t="e">
        <f>A212+1</f>
        <v>#REF!</v>
      </c>
      <c r="B213" s="382"/>
      <c r="C213" s="228"/>
      <c r="D213" s="384"/>
      <c r="E213" s="90"/>
      <c r="F213" s="42"/>
    </row>
    <row r="214" spans="1:6" ht="12.75">
      <c r="A214" s="37" t="e">
        <f>A213+1</f>
        <v>#REF!</v>
      </c>
      <c r="B214" s="385"/>
      <c r="C214" s="154"/>
      <c r="D214" s="229"/>
      <c r="E214" s="386"/>
      <c r="F214" s="263"/>
    </row>
    <row r="215" spans="1:6" ht="12.75">
      <c r="A215" s="227"/>
      <c r="B215" s="93"/>
      <c r="C215" s="155"/>
      <c r="D215" s="93"/>
      <c r="E215" s="93"/>
      <c r="F215" s="93"/>
    </row>
    <row r="216" spans="2:6" ht="12.75">
      <c r="B216" s="93"/>
      <c r="C216" s="155"/>
      <c r="D216" s="93"/>
      <c r="E216" s="93"/>
      <c r="F216" s="93"/>
    </row>
    <row r="217" spans="1:8" ht="12.75">
      <c r="A217" s="14" t="s">
        <v>1104</v>
      </c>
      <c r="B217" s="42"/>
      <c r="C217" s="42"/>
      <c r="D217" s="42"/>
      <c r="E217" s="42"/>
      <c r="F217" s="42"/>
      <c r="G217" s="42"/>
      <c r="H217" s="42"/>
    </row>
    <row r="218" spans="1:8" ht="12.75">
      <c r="A218" s="41"/>
      <c r="B218" s="42"/>
      <c r="C218" s="42"/>
      <c r="D218" s="42"/>
      <c r="E218" s="42"/>
      <c r="F218" s="42"/>
      <c r="G218" s="42"/>
      <c r="H218" s="42"/>
    </row>
    <row r="219" spans="1:21" ht="12.75" customHeight="1">
      <c r="A219" s="21"/>
      <c r="B219" s="208"/>
      <c r="C219" s="105" t="s">
        <v>994</v>
      </c>
      <c r="D219" s="209" t="s">
        <v>995</v>
      </c>
      <c r="E219" s="299"/>
      <c r="G219" s="5"/>
      <c r="H219" s="2"/>
      <c r="J219" s="2"/>
      <c r="L219" s="93"/>
      <c r="M219" s="96"/>
      <c r="N219" s="93"/>
      <c r="P219" s="93"/>
      <c r="S219" s="2"/>
      <c r="T219" s="2"/>
      <c r="U219" s="2"/>
    </row>
    <row r="220" spans="1:21" ht="12.75">
      <c r="A220" s="21"/>
      <c r="B220" s="208"/>
      <c r="C220" s="109"/>
      <c r="D220" s="109" t="e">
        <f>CONCATENATE(#REF!-1,"* ")</f>
        <v>#REF!</v>
      </c>
      <c r="E220" s="109" t="e">
        <f>CONCATENATE("Mutaties ",#REF!," ")</f>
        <v>#REF!</v>
      </c>
      <c r="G220" s="5"/>
      <c r="H220" s="2"/>
      <c r="J220" s="2"/>
      <c r="L220" s="93"/>
      <c r="M220" s="96"/>
      <c r="N220" s="93"/>
      <c r="P220" s="93"/>
      <c r="S220" s="2"/>
      <c r="T220" s="2"/>
      <c r="U220" s="2"/>
    </row>
    <row r="221" spans="1:21" ht="12.75">
      <c r="A221" s="26"/>
      <c r="B221" s="27"/>
      <c r="C221" s="29"/>
      <c r="D221" s="29"/>
      <c r="E221" s="29"/>
      <c r="G221" s="5"/>
      <c r="H221" s="2"/>
      <c r="J221" s="2"/>
      <c r="L221" s="93"/>
      <c r="M221" s="96"/>
      <c r="N221" s="93"/>
      <c r="P221" s="93"/>
      <c r="S221" s="2"/>
      <c r="T221" s="2"/>
      <c r="U221" s="2"/>
    </row>
    <row r="222" spans="1:21" ht="12.75">
      <c r="A222" s="159" t="s">
        <v>1001</v>
      </c>
      <c r="B222" s="94" t="s">
        <v>1020</v>
      </c>
      <c r="C222" s="387"/>
      <c r="D222" s="95"/>
      <c r="E222" s="95"/>
      <c r="G222" s="5"/>
      <c r="H222" s="2"/>
      <c r="J222" s="2"/>
      <c r="L222" s="93"/>
      <c r="M222" s="96"/>
      <c r="N222" s="93"/>
      <c r="P222" s="93"/>
      <c r="S222" s="2"/>
      <c r="T222" s="2"/>
      <c r="U222" s="2"/>
    </row>
    <row r="223" spans="1:21" ht="12.75">
      <c r="A223" s="31">
        <f>'A-E'!A9</f>
        <v>2401</v>
      </c>
      <c r="B223" s="388"/>
      <c r="C223" s="389">
        <f>'A-E'!C9</f>
        <v>0</v>
      </c>
      <c r="D223" s="390" t="e">
        <f>'A-E'!#REF!</f>
        <v>#REF!</v>
      </c>
      <c r="E223" s="391"/>
      <c r="G223" s="5"/>
      <c r="H223" s="2"/>
      <c r="J223" s="2"/>
      <c r="L223" s="93"/>
      <c r="M223" s="96"/>
      <c r="N223" s="93"/>
      <c r="P223" s="93"/>
      <c r="S223" s="2"/>
      <c r="T223" s="2"/>
      <c r="U223" s="2"/>
    </row>
    <row r="224" spans="1:21" ht="12.75">
      <c r="A224" s="34">
        <f aca="true" t="shared" si="10" ref="A224:A236">A223+1</f>
        <v>2402</v>
      </c>
      <c r="B224" s="388"/>
      <c r="C224" s="389">
        <f>'A-E'!C10</f>
        <v>0</v>
      </c>
      <c r="D224" s="239"/>
      <c r="E224" s="392">
        <f>'A-E'!D10</f>
        <v>0</v>
      </c>
      <c r="G224" s="5"/>
      <c r="H224" s="2"/>
      <c r="J224" s="2"/>
      <c r="L224" s="93"/>
      <c r="M224" s="96"/>
      <c r="N224" s="93"/>
      <c r="P224" s="93"/>
      <c r="S224" s="2"/>
      <c r="T224" s="2"/>
      <c r="U224" s="2"/>
    </row>
    <row r="225" spans="1:21" ht="12.75">
      <c r="A225" s="34">
        <f t="shared" si="10"/>
        <v>2403</v>
      </c>
      <c r="B225" s="388"/>
      <c r="C225" s="389" t="e">
        <f>'A-E'!#REF!</f>
        <v>#REF!</v>
      </c>
      <c r="D225" s="239"/>
      <c r="E225" s="392" t="e">
        <f>'A-E'!#REF!</f>
        <v>#REF!</v>
      </c>
      <c r="G225" s="5"/>
      <c r="H225" s="2"/>
      <c r="J225" s="2"/>
      <c r="L225" s="93"/>
      <c r="M225" s="96"/>
      <c r="N225" s="93"/>
      <c r="P225" s="93"/>
      <c r="S225" s="2"/>
      <c r="T225" s="2"/>
      <c r="U225" s="2"/>
    </row>
    <row r="226" spans="1:21" ht="12.75">
      <c r="A226" s="34">
        <f t="shared" si="10"/>
        <v>2404</v>
      </c>
      <c r="B226" s="388"/>
      <c r="C226" s="389" t="e">
        <f>'A-E'!#REF!</f>
        <v>#REF!</v>
      </c>
      <c r="D226" s="239"/>
      <c r="E226" s="392" t="e">
        <f>'A-E'!#REF!</f>
        <v>#REF!</v>
      </c>
      <c r="G226" s="5"/>
      <c r="H226" s="2"/>
      <c r="J226" s="2"/>
      <c r="L226" s="93"/>
      <c r="M226" s="96"/>
      <c r="N226" s="93"/>
      <c r="P226" s="93"/>
      <c r="S226" s="2"/>
      <c r="T226" s="2"/>
      <c r="U226" s="2"/>
    </row>
    <row r="227" spans="1:21" ht="12.75">
      <c r="A227" s="34">
        <f t="shared" si="10"/>
        <v>2405</v>
      </c>
      <c r="B227" s="388"/>
      <c r="C227" s="389" t="e">
        <f>'A-E'!#REF!</f>
        <v>#REF!</v>
      </c>
      <c r="D227" s="239"/>
      <c r="E227" s="392" t="e">
        <f>'A-E'!#REF!</f>
        <v>#REF!</v>
      </c>
      <c r="G227" s="5"/>
      <c r="H227" s="2"/>
      <c r="J227" s="2"/>
      <c r="L227" s="93"/>
      <c r="M227" s="96"/>
      <c r="N227" s="93"/>
      <c r="P227" s="93"/>
      <c r="S227" s="2"/>
      <c r="T227" s="2"/>
      <c r="U227" s="2"/>
    </row>
    <row r="228" spans="1:21" ht="12.75">
      <c r="A228" s="34">
        <f t="shared" si="10"/>
        <v>2406</v>
      </c>
      <c r="B228" s="388"/>
      <c r="C228" s="389" t="e">
        <f>'A-E'!#REF!</f>
        <v>#REF!</v>
      </c>
      <c r="D228" s="239"/>
      <c r="E228" s="392" t="e">
        <f>'A-E'!#REF!</f>
        <v>#REF!</v>
      </c>
      <c r="G228" s="5"/>
      <c r="H228" s="2"/>
      <c r="J228" s="2"/>
      <c r="L228" s="93"/>
      <c r="M228" s="96"/>
      <c r="N228" s="93"/>
      <c r="P228" s="93"/>
      <c r="S228" s="2"/>
      <c r="T228" s="2"/>
      <c r="U228" s="2"/>
    </row>
    <row r="229" spans="1:21" ht="12.75">
      <c r="A229" s="34">
        <f t="shared" si="10"/>
        <v>2407</v>
      </c>
      <c r="B229" s="388"/>
      <c r="C229" s="389" t="e">
        <f>'A-E'!#REF!</f>
        <v>#REF!</v>
      </c>
      <c r="D229" s="239"/>
      <c r="E229" s="392" t="e">
        <f>'A-E'!#REF!</f>
        <v>#REF!</v>
      </c>
      <c r="G229" s="5"/>
      <c r="H229" s="2"/>
      <c r="J229" s="2"/>
      <c r="L229" s="93"/>
      <c r="M229" s="96"/>
      <c r="N229" s="93"/>
      <c r="P229" s="93"/>
      <c r="S229" s="2"/>
      <c r="T229" s="2"/>
      <c r="U229" s="2"/>
    </row>
    <row r="230" spans="1:21" ht="12.75">
      <c r="A230" s="34">
        <f t="shared" si="10"/>
        <v>2408</v>
      </c>
      <c r="B230" s="388"/>
      <c r="C230" s="389" t="e">
        <f>'A-E'!#REF!</f>
        <v>#REF!</v>
      </c>
      <c r="D230" s="239"/>
      <c r="E230" s="392" t="e">
        <f>'A-E'!#REF!</f>
        <v>#REF!</v>
      </c>
      <c r="G230" s="5"/>
      <c r="H230" s="2"/>
      <c r="J230" s="2"/>
      <c r="L230" s="93"/>
      <c r="M230" s="96"/>
      <c r="N230" s="93"/>
      <c r="P230" s="93"/>
      <c r="S230" s="2"/>
      <c r="T230" s="2"/>
      <c r="U230" s="2"/>
    </row>
    <row r="231" spans="1:21" ht="12.75">
      <c r="A231" s="34">
        <f t="shared" si="10"/>
        <v>2409</v>
      </c>
      <c r="B231" s="388"/>
      <c r="C231" s="389" t="e">
        <f>'A-E'!#REF!</f>
        <v>#REF!</v>
      </c>
      <c r="D231" s="239"/>
      <c r="E231" s="392" t="e">
        <f>'A-E'!#REF!</f>
        <v>#REF!</v>
      </c>
      <c r="G231" s="5"/>
      <c r="H231" s="2"/>
      <c r="J231" s="2"/>
      <c r="L231" s="93"/>
      <c r="M231" s="96"/>
      <c r="N231" s="93"/>
      <c r="P231" s="93"/>
      <c r="S231" s="2"/>
      <c r="T231" s="2"/>
      <c r="U231" s="2"/>
    </row>
    <row r="232" spans="1:21" ht="12.75">
      <c r="A232" s="34">
        <f t="shared" si="10"/>
        <v>2410</v>
      </c>
      <c r="B232" s="388"/>
      <c r="C232" s="389" t="e">
        <f>'A-E'!#REF!</f>
        <v>#REF!</v>
      </c>
      <c r="D232" s="239"/>
      <c r="E232" s="392" t="e">
        <f>'A-E'!#REF!</f>
        <v>#REF!</v>
      </c>
      <c r="G232" s="5"/>
      <c r="H232" s="2"/>
      <c r="J232" s="2"/>
      <c r="L232" s="93"/>
      <c r="M232" s="96"/>
      <c r="N232" s="93"/>
      <c r="P232" s="93"/>
      <c r="S232" s="2"/>
      <c r="T232" s="2"/>
      <c r="U232" s="2"/>
    </row>
    <row r="233" spans="1:21" ht="12.75">
      <c r="A233" s="34">
        <f t="shared" si="10"/>
        <v>2411</v>
      </c>
      <c r="B233" s="388"/>
      <c r="C233" s="389" t="e">
        <f>'A-E'!#REF!</f>
        <v>#REF!</v>
      </c>
      <c r="D233" s="239"/>
      <c r="E233" s="392" t="e">
        <f>'A-E'!#REF!</f>
        <v>#REF!</v>
      </c>
      <c r="G233" s="5"/>
      <c r="H233" s="2"/>
      <c r="J233" s="2"/>
      <c r="L233" s="93"/>
      <c r="M233" s="96"/>
      <c r="N233" s="93"/>
      <c r="P233" s="93"/>
      <c r="S233" s="2"/>
      <c r="T233" s="2"/>
      <c r="U233" s="2"/>
    </row>
    <row r="234" spans="1:21" ht="12.75">
      <c r="A234" s="34">
        <f t="shared" si="10"/>
        <v>2412</v>
      </c>
      <c r="B234" s="388"/>
      <c r="C234" s="389" t="e">
        <f>'A-E'!#REF!</f>
        <v>#REF!</v>
      </c>
      <c r="D234" s="239"/>
      <c r="E234" s="392" t="e">
        <f>'A-E'!#REF!</f>
        <v>#REF!</v>
      </c>
      <c r="G234" s="5"/>
      <c r="H234" s="2"/>
      <c r="J234" s="2"/>
      <c r="L234" s="93"/>
      <c r="M234" s="96"/>
      <c r="N234" s="93"/>
      <c r="P234" s="93"/>
      <c r="S234" s="2"/>
      <c r="T234" s="2"/>
      <c r="U234" s="2"/>
    </row>
    <row r="235" spans="1:21" ht="12.75">
      <c r="A235" s="54">
        <f t="shared" si="10"/>
        <v>2413</v>
      </c>
      <c r="B235" s="393"/>
      <c r="C235" s="389" t="e">
        <f>'A-E'!#REF!</f>
        <v>#REF!</v>
      </c>
      <c r="D235" s="239"/>
      <c r="E235" s="392" t="e">
        <f>'A-E'!#REF!</f>
        <v>#REF!</v>
      </c>
      <c r="G235" s="5"/>
      <c r="H235" s="2"/>
      <c r="J235" s="2"/>
      <c r="L235" s="93"/>
      <c r="M235" s="96"/>
      <c r="N235" s="93"/>
      <c r="P235" s="93"/>
      <c r="S235" s="2"/>
      <c r="T235" s="2"/>
      <c r="U235" s="2"/>
    </row>
    <row r="236" spans="1:21" ht="12.75">
      <c r="A236" s="37">
        <f t="shared" si="10"/>
        <v>2414</v>
      </c>
      <c r="B236" s="38"/>
      <c r="C236" s="394"/>
      <c r="D236" s="395"/>
      <c r="E236" s="396"/>
      <c r="F236" s="5"/>
      <c r="G236" s="5"/>
      <c r="H236" s="5"/>
      <c r="J236" s="2"/>
      <c r="L236" s="93"/>
      <c r="M236" s="96"/>
      <c r="N236" s="93"/>
      <c r="P236" s="93"/>
      <c r="S236" s="2"/>
      <c r="T236" s="2"/>
      <c r="U236" s="2"/>
    </row>
    <row r="237" spans="1:8" ht="12.75">
      <c r="A237" s="118" t="e">
        <f>CONCATENATE("* mutaties ",#REF!-1," (regel ",Uitvoer!A74,") exlusief niet-nacalculeerbare afschrijvingen (regel ",Uitvoer!A75,")")</f>
        <v>#REF!</v>
      </c>
      <c r="B237" s="42"/>
      <c r="C237" s="42"/>
      <c r="D237" s="185"/>
      <c r="E237" s="42"/>
      <c r="F237" s="160"/>
      <c r="G237" s="90"/>
      <c r="H237" s="119"/>
    </row>
    <row r="238" spans="1:8" ht="12.75">
      <c r="A238" s="118" t="str">
        <f>CONCATENATE("** regel ",A223," t/m ",A235,)</f>
        <v>** regel 2401 t/m 2413</v>
      </c>
      <c r="B238" s="42"/>
      <c r="C238" s="42"/>
      <c r="D238" s="185"/>
      <c r="E238" s="42"/>
      <c r="F238" s="160"/>
      <c r="G238" s="42"/>
      <c r="H238" s="119"/>
    </row>
    <row r="239" spans="1:8" ht="12.75">
      <c r="A239" s="118"/>
      <c r="B239" s="42"/>
      <c r="C239" s="42"/>
      <c r="D239" s="185"/>
      <c r="E239" s="42"/>
      <c r="F239" s="160"/>
      <c r="G239" s="42"/>
      <c r="H239" s="119"/>
    </row>
    <row r="240" spans="1:21" ht="12.75" customHeight="1">
      <c r="A240" s="21"/>
      <c r="B240" s="208"/>
      <c r="C240" s="105" t="s">
        <v>860</v>
      </c>
      <c r="D240" s="105" t="s">
        <v>926</v>
      </c>
      <c r="E240" s="1"/>
      <c r="G240" s="5"/>
      <c r="H240" s="2"/>
      <c r="J240" s="2"/>
      <c r="L240" s="93"/>
      <c r="M240" s="96"/>
      <c r="N240" s="93"/>
      <c r="P240" s="93"/>
      <c r="S240" s="2"/>
      <c r="T240" s="2"/>
      <c r="U240" s="2"/>
    </row>
    <row r="241" spans="1:21" ht="12.75">
      <c r="A241" s="21"/>
      <c r="B241" s="208"/>
      <c r="C241" s="210" t="s">
        <v>925</v>
      </c>
      <c r="D241" s="210" t="s">
        <v>861</v>
      </c>
      <c r="E241" s="1"/>
      <c r="G241" s="5"/>
      <c r="H241" s="2"/>
      <c r="J241" s="2"/>
      <c r="L241" s="93"/>
      <c r="M241" s="96"/>
      <c r="N241" s="93"/>
      <c r="P241" s="93"/>
      <c r="S241" s="2"/>
      <c r="T241" s="2"/>
      <c r="U241" s="2"/>
    </row>
    <row r="242" spans="1:21" ht="12.75">
      <c r="A242" s="21"/>
      <c r="B242" s="208"/>
      <c r="C242" s="109" t="s">
        <v>862</v>
      </c>
      <c r="D242" s="109" t="s">
        <v>924</v>
      </c>
      <c r="E242" s="1"/>
      <c r="G242" s="5"/>
      <c r="H242" s="2"/>
      <c r="J242" s="2"/>
      <c r="L242" s="93"/>
      <c r="M242" s="96"/>
      <c r="N242" s="93"/>
      <c r="P242" s="93"/>
      <c r="S242" s="2"/>
      <c r="T242" s="2"/>
      <c r="U242" s="2"/>
    </row>
    <row r="243" spans="1:21" ht="12.75">
      <c r="A243" s="26"/>
      <c r="B243" s="27"/>
      <c r="C243" s="29"/>
      <c r="D243" s="29"/>
      <c r="E243" s="1"/>
      <c r="G243" s="5"/>
      <c r="H243" s="2"/>
      <c r="J243" s="2"/>
      <c r="L243" s="93"/>
      <c r="M243" s="96"/>
      <c r="N243" s="93"/>
      <c r="P243" s="93"/>
      <c r="S243" s="2"/>
      <c r="T243" s="2"/>
      <c r="U243" s="2"/>
    </row>
    <row r="244" spans="1:21" ht="12.75">
      <c r="A244" s="14" t="s">
        <v>1002</v>
      </c>
      <c r="B244" s="27" t="s">
        <v>1000</v>
      </c>
      <c r="C244" s="387"/>
      <c r="D244" s="95"/>
      <c r="E244" s="1"/>
      <c r="G244" s="5"/>
      <c r="H244" s="2"/>
      <c r="J244" s="2"/>
      <c r="L244" s="93"/>
      <c r="M244" s="96"/>
      <c r="N244" s="93"/>
      <c r="P244" s="93"/>
      <c r="S244" s="2"/>
      <c r="T244" s="2"/>
      <c r="U244" s="2"/>
    </row>
    <row r="245" spans="1:21" ht="12.75">
      <c r="A245" s="31">
        <f>'A-E'!A54</f>
        <v>2501</v>
      </c>
      <c r="B245" s="388"/>
      <c r="C245" s="389">
        <f>'A-E'!C54</f>
        <v>0</v>
      </c>
      <c r="D245" s="397"/>
      <c r="E245" s="1"/>
      <c r="G245" s="5"/>
      <c r="H245" s="2"/>
      <c r="J245" s="2"/>
      <c r="L245" s="93"/>
      <c r="M245" s="96"/>
      <c r="N245" s="93"/>
      <c r="P245" s="93"/>
      <c r="S245" s="2"/>
      <c r="T245" s="2"/>
      <c r="U245" s="2"/>
    </row>
    <row r="246" spans="1:21" ht="12.75">
      <c r="A246" s="34">
        <f aca="true" t="shared" si="11" ref="A246:A260">A245+1</f>
        <v>2502</v>
      </c>
      <c r="B246" s="388"/>
      <c r="C246" s="390" t="e">
        <f>'A-E'!#REF!</f>
        <v>#REF!</v>
      </c>
      <c r="D246" s="398"/>
      <c r="E246" s="1"/>
      <c r="G246" s="5"/>
      <c r="H246" s="2"/>
      <c r="J246" s="2"/>
      <c r="L246" s="93"/>
      <c r="M246" s="96"/>
      <c r="N246" s="93"/>
      <c r="P246" s="93"/>
      <c r="S246" s="2"/>
      <c r="T246" s="2"/>
      <c r="U246" s="2"/>
    </row>
    <row r="247" spans="1:21" ht="12.75">
      <c r="A247" s="34">
        <f t="shared" si="11"/>
        <v>2503</v>
      </c>
      <c r="B247" s="388"/>
      <c r="C247" s="389" t="e">
        <f>'A-E'!#REF!</f>
        <v>#REF!</v>
      </c>
      <c r="D247" s="390" t="e">
        <f>'A-E'!#REF!</f>
        <v>#REF!</v>
      </c>
      <c r="E247" s="1"/>
      <c r="G247" s="5"/>
      <c r="H247" s="2"/>
      <c r="J247" s="2"/>
      <c r="L247" s="93"/>
      <c r="M247" s="96"/>
      <c r="N247" s="93"/>
      <c r="P247" s="93"/>
      <c r="S247" s="2"/>
      <c r="T247" s="2"/>
      <c r="U247" s="2"/>
    </row>
    <row r="248" spans="1:21" ht="12.75">
      <c r="A248" s="34">
        <f t="shared" si="11"/>
        <v>2504</v>
      </c>
      <c r="B248" s="388"/>
      <c r="C248" s="389" t="e">
        <f>'A-E'!#REF!</f>
        <v>#REF!</v>
      </c>
      <c r="D248" s="390" t="e">
        <f>'A-E'!#REF!</f>
        <v>#REF!</v>
      </c>
      <c r="E248" s="1"/>
      <c r="G248" s="5"/>
      <c r="H248" s="2"/>
      <c r="J248" s="2"/>
      <c r="L248" s="93"/>
      <c r="M248" s="96"/>
      <c r="N248" s="93"/>
      <c r="P248" s="93"/>
      <c r="S248" s="2"/>
      <c r="T248" s="2"/>
      <c r="U248" s="2"/>
    </row>
    <row r="249" spans="1:21" ht="12.75">
      <c r="A249" s="34">
        <f t="shared" si="11"/>
        <v>2505</v>
      </c>
      <c r="B249" s="388"/>
      <c r="C249" s="389" t="e">
        <f>'A-E'!#REF!</f>
        <v>#REF!</v>
      </c>
      <c r="D249" s="390" t="e">
        <f>'A-E'!#REF!</f>
        <v>#REF!</v>
      </c>
      <c r="E249" s="1"/>
      <c r="G249" s="5"/>
      <c r="H249" s="2"/>
      <c r="J249" s="2"/>
      <c r="L249" s="93"/>
      <c r="M249" s="96"/>
      <c r="N249" s="93"/>
      <c r="P249" s="93"/>
      <c r="S249" s="2"/>
      <c r="T249" s="2"/>
      <c r="U249" s="2"/>
    </row>
    <row r="250" spans="1:21" ht="12.75">
      <c r="A250" s="34">
        <f t="shared" si="11"/>
        <v>2506</v>
      </c>
      <c r="B250" s="388"/>
      <c r="C250" s="389" t="e">
        <f>'A-E'!#REF!</f>
        <v>#REF!</v>
      </c>
      <c r="D250" s="390" t="e">
        <f>'A-E'!#REF!</f>
        <v>#REF!</v>
      </c>
      <c r="E250" s="1"/>
      <c r="G250" s="5"/>
      <c r="H250" s="2"/>
      <c r="J250" s="2"/>
      <c r="L250" s="93"/>
      <c r="M250" s="96"/>
      <c r="N250" s="93"/>
      <c r="P250" s="93"/>
      <c r="S250" s="2"/>
      <c r="T250" s="2"/>
      <c r="U250" s="2"/>
    </row>
    <row r="251" spans="1:21" ht="12.75">
      <c r="A251" s="34">
        <f t="shared" si="11"/>
        <v>2507</v>
      </c>
      <c r="B251" s="388"/>
      <c r="C251" s="389" t="e">
        <f>'A-E'!#REF!</f>
        <v>#REF!</v>
      </c>
      <c r="D251" s="390" t="e">
        <f>'A-E'!#REF!</f>
        <v>#REF!</v>
      </c>
      <c r="E251" s="1"/>
      <c r="G251" s="5"/>
      <c r="H251" s="2"/>
      <c r="J251" s="2"/>
      <c r="L251" s="93"/>
      <c r="M251" s="96"/>
      <c r="N251" s="93"/>
      <c r="P251" s="93"/>
      <c r="S251" s="2"/>
      <c r="T251" s="2"/>
      <c r="U251" s="2"/>
    </row>
    <row r="252" spans="1:21" ht="12.75">
      <c r="A252" s="34">
        <f t="shared" si="11"/>
        <v>2508</v>
      </c>
      <c r="B252" s="388"/>
      <c r="C252" s="389" t="e">
        <f>'A-E'!#REF!</f>
        <v>#REF!</v>
      </c>
      <c r="D252" s="390" t="e">
        <f>'A-E'!#REF!</f>
        <v>#REF!</v>
      </c>
      <c r="E252" s="1"/>
      <c r="G252" s="5"/>
      <c r="H252" s="2"/>
      <c r="J252" s="2"/>
      <c r="L252" s="93"/>
      <c r="M252" s="96"/>
      <c r="N252" s="93"/>
      <c r="P252" s="93"/>
      <c r="S252" s="2"/>
      <c r="T252" s="2"/>
      <c r="U252" s="2"/>
    </row>
    <row r="253" spans="1:21" ht="12.75">
      <c r="A253" s="34">
        <f t="shared" si="11"/>
        <v>2509</v>
      </c>
      <c r="B253" s="388"/>
      <c r="C253" s="389" t="e">
        <f>'A-E'!#REF!</f>
        <v>#REF!</v>
      </c>
      <c r="D253" s="390" t="e">
        <f>'A-E'!#REF!</f>
        <v>#REF!</v>
      </c>
      <c r="E253" s="1"/>
      <c r="G253" s="5"/>
      <c r="H253" s="2"/>
      <c r="J253" s="2"/>
      <c r="L253" s="93"/>
      <c r="M253" s="96"/>
      <c r="N253" s="93"/>
      <c r="P253" s="93"/>
      <c r="S253" s="2"/>
      <c r="T253" s="2"/>
      <c r="U253" s="2"/>
    </row>
    <row r="254" spans="1:21" ht="12.75">
      <c r="A254" s="34">
        <f t="shared" si="11"/>
        <v>2510</v>
      </c>
      <c r="B254" s="388"/>
      <c r="C254" s="389" t="e">
        <f>'A-E'!#REF!</f>
        <v>#REF!</v>
      </c>
      <c r="D254" s="390" t="e">
        <f>'A-E'!#REF!</f>
        <v>#REF!</v>
      </c>
      <c r="E254" s="1"/>
      <c r="G254" s="5"/>
      <c r="H254" s="2"/>
      <c r="J254" s="2"/>
      <c r="L254" s="93"/>
      <c r="M254" s="96"/>
      <c r="N254" s="93"/>
      <c r="P254" s="93"/>
      <c r="S254" s="2"/>
      <c r="T254" s="2"/>
      <c r="U254" s="2"/>
    </row>
    <row r="255" spans="1:21" ht="12.75">
      <c r="A255" s="34">
        <f t="shared" si="11"/>
        <v>2511</v>
      </c>
      <c r="B255" s="388"/>
      <c r="C255" s="389" t="e">
        <f>'A-E'!#REF!</f>
        <v>#REF!</v>
      </c>
      <c r="D255" s="390" t="e">
        <f>'A-E'!#REF!</f>
        <v>#REF!</v>
      </c>
      <c r="E255" s="1"/>
      <c r="G255" s="5"/>
      <c r="H255" s="2"/>
      <c r="J255" s="2"/>
      <c r="L255" s="93"/>
      <c r="M255" s="96"/>
      <c r="N255" s="93"/>
      <c r="P255" s="93"/>
      <c r="S255" s="2"/>
      <c r="T255" s="2"/>
      <c r="U255" s="2"/>
    </row>
    <row r="256" spans="1:21" ht="12.75">
      <c r="A256" s="34">
        <f t="shared" si="11"/>
        <v>2512</v>
      </c>
      <c r="B256" s="388"/>
      <c r="C256" s="389" t="e">
        <f>'A-E'!#REF!</f>
        <v>#REF!</v>
      </c>
      <c r="D256" s="390" t="e">
        <f>'A-E'!#REF!</f>
        <v>#REF!</v>
      </c>
      <c r="E256" s="1"/>
      <c r="G256" s="5"/>
      <c r="H256" s="2"/>
      <c r="J256" s="2"/>
      <c r="L256" s="93"/>
      <c r="M256" s="96"/>
      <c r="N256" s="93"/>
      <c r="P256" s="93"/>
      <c r="S256" s="2"/>
      <c r="T256" s="2"/>
      <c r="U256" s="2"/>
    </row>
    <row r="257" spans="1:21" ht="12.75">
      <c r="A257" s="34">
        <f t="shared" si="11"/>
        <v>2513</v>
      </c>
      <c r="B257" s="388"/>
      <c r="C257" s="389" t="e">
        <f>'A-E'!#REF!</f>
        <v>#REF!</v>
      </c>
      <c r="D257" s="390" t="e">
        <f>'A-E'!#REF!</f>
        <v>#REF!</v>
      </c>
      <c r="E257" s="1"/>
      <c r="G257" s="5"/>
      <c r="H257" s="2"/>
      <c r="J257" s="2"/>
      <c r="L257" s="93"/>
      <c r="M257" s="96"/>
      <c r="N257" s="93"/>
      <c r="P257" s="93"/>
      <c r="S257" s="2"/>
      <c r="T257" s="2"/>
      <c r="U257" s="2"/>
    </row>
    <row r="258" spans="1:21" ht="12.75">
      <c r="A258" s="34">
        <f t="shared" si="11"/>
        <v>2514</v>
      </c>
      <c r="B258" s="388"/>
      <c r="C258" s="389" t="e">
        <f>'A-E'!#REF!</f>
        <v>#REF!</v>
      </c>
      <c r="D258" s="390" t="e">
        <f>'A-E'!#REF!</f>
        <v>#REF!</v>
      </c>
      <c r="E258" s="1"/>
      <c r="G258" s="5"/>
      <c r="H258" s="2"/>
      <c r="J258" s="2"/>
      <c r="L258" s="93"/>
      <c r="M258" s="96"/>
      <c r="N258" s="93"/>
      <c r="P258" s="93"/>
      <c r="S258" s="2"/>
      <c r="T258" s="2"/>
      <c r="U258" s="2"/>
    </row>
    <row r="259" spans="1:21" ht="12.75">
      <c r="A259" s="35">
        <f t="shared" si="11"/>
        <v>2515</v>
      </c>
      <c r="B259" s="388"/>
      <c r="C259" s="389" t="e">
        <f>'A-E'!#REF!</f>
        <v>#REF!</v>
      </c>
      <c r="D259" s="398"/>
      <c r="E259" s="1"/>
      <c r="G259" s="5"/>
      <c r="H259" s="2"/>
      <c r="J259" s="2"/>
      <c r="L259" s="93"/>
      <c r="M259" s="96"/>
      <c r="N259" s="93"/>
      <c r="P259" s="93"/>
      <c r="S259" s="2"/>
      <c r="T259" s="2"/>
      <c r="U259" s="2"/>
    </row>
    <row r="260" spans="1:21" ht="12.75">
      <c r="A260" s="37">
        <f t="shared" si="11"/>
        <v>2516</v>
      </c>
      <c r="B260" s="38"/>
      <c r="C260" s="292" t="e">
        <f>C245-C246+SUM(C247:C259)</f>
        <v>#REF!</v>
      </c>
      <c r="D260" s="308" t="e">
        <f>SUM(D247:D258)</f>
        <v>#REF!</v>
      </c>
      <c r="E260" s="1"/>
      <c r="G260" s="5"/>
      <c r="H260" s="2"/>
      <c r="J260" s="2"/>
      <c r="L260" s="93"/>
      <c r="M260" s="96"/>
      <c r="N260" s="93"/>
      <c r="P260" s="93"/>
      <c r="S260" s="2"/>
      <c r="T260" s="2"/>
      <c r="U260" s="2"/>
    </row>
    <row r="261" spans="1:7" ht="12.75">
      <c r="A261" s="26"/>
      <c r="B261" s="90"/>
      <c r="C261" s="90"/>
      <c r="D261" s="90"/>
      <c r="E261" s="90"/>
      <c r="F261" s="42"/>
      <c r="G261" s="42"/>
    </row>
    <row r="262" spans="1:7" ht="12.75">
      <c r="A262" s="37">
        <f>A260+1</f>
        <v>2517</v>
      </c>
      <c r="B262" s="59"/>
      <c r="C262" s="399"/>
      <c r="D262" s="400"/>
      <c r="E262" s="399"/>
      <c r="F262" s="401"/>
      <c r="G262" s="402" t="e">
        <f>'A-E'!#REF!</f>
        <v>#REF!</v>
      </c>
    </row>
    <row r="263" spans="1:7" ht="12.75">
      <c r="A263" s="41"/>
      <c r="B263" s="42"/>
      <c r="C263" s="42"/>
      <c r="D263" s="42"/>
      <c r="E263" s="42"/>
      <c r="F263" s="42"/>
      <c r="G263" s="42"/>
    </row>
    <row r="264" spans="1:21" ht="12.75" customHeight="1">
      <c r="A264" s="21"/>
      <c r="B264" s="208"/>
      <c r="C264" s="105" t="s">
        <v>994</v>
      </c>
      <c r="D264" s="105" t="s">
        <v>995</v>
      </c>
      <c r="E264" s="1"/>
      <c r="G264" s="5"/>
      <c r="H264" s="2"/>
      <c r="J264" s="2"/>
      <c r="L264" s="93"/>
      <c r="M264" s="96"/>
      <c r="N264" s="93"/>
      <c r="P264" s="93"/>
      <c r="S264" s="2"/>
      <c r="T264" s="2"/>
      <c r="U264" s="2"/>
    </row>
    <row r="265" spans="1:21" ht="12.75">
      <c r="A265" s="21"/>
      <c r="B265" s="208"/>
      <c r="C265" s="109"/>
      <c r="D265" s="109"/>
      <c r="E265" s="1"/>
      <c r="G265" s="5"/>
      <c r="H265" s="2"/>
      <c r="J265" s="2"/>
      <c r="L265" s="93"/>
      <c r="M265" s="96"/>
      <c r="N265" s="93"/>
      <c r="P265" s="93"/>
      <c r="S265" s="2"/>
      <c r="T265" s="2"/>
      <c r="U265" s="2"/>
    </row>
    <row r="266" spans="1:21" ht="12.75">
      <c r="A266" s="26"/>
      <c r="B266" s="90"/>
      <c r="C266" s="42"/>
      <c r="D266" s="42"/>
      <c r="E266" s="1"/>
      <c r="G266" s="5"/>
      <c r="H266" s="2"/>
      <c r="J266" s="2"/>
      <c r="L266" s="93"/>
      <c r="M266" s="96"/>
      <c r="N266" s="93"/>
      <c r="P266" s="93"/>
      <c r="S266" s="2"/>
      <c r="T266" s="2"/>
      <c r="U266" s="2"/>
    </row>
    <row r="267" spans="1:21" ht="12.75">
      <c r="A267" s="159" t="s">
        <v>1003</v>
      </c>
      <c r="B267" s="94" t="s">
        <v>1004</v>
      </c>
      <c r="C267" s="387"/>
      <c r="D267" s="95"/>
      <c r="E267" s="1"/>
      <c r="G267" s="5"/>
      <c r="H267" s="2"/>
      <c r="J267" s="2"/>
      <c r="L267" s="93"/>
      <c r="M267" s="96"/>
      <c r="N267" s="93"/>
      <c r="P267" s="93"/>
      <c r="S267" s="2"/>
      <c r="T267" s="2"/>
      <c r="U267" s="2"/>
    </row>
    <row r="268" spans="1:21" ht="12.75">
      <c r="A268" s="31">
        <f>'A-E'!A99</f>
        <v>2601</v>
      </c>
      <c r="B268" s="388"/>
      <c r="C268" s="389">
        <f>'A-E'!C99</f>
        <v>0</v>
      </c>
      <c r="D268" s="390">
        <f>'A-E'!D99</f>
        <v>0</v>
      </c>
      <c r="E268" s="1"/>
      <c r="G268" s="5"/>
      <c r="H268" s="2"/>
      <c r="J268" s="2"/>
      <c r="L268" s="93"/>
      <c r="M268" s="96"/>
      <c r="N268" s="93"/>
      <c r="P268" s="93"/>
      <c r="S268" s="2"/>
      <c r="T268" s="2"/>
      <c r="U268" s="2"/>
    </row>
    <row r="269" spans="1:21" ht="12.75">
      <c r="A269" s="34">
        <f aca="true" t="shared" si="12" ref="A269:A286">A268+1</f>
        <v>2602</v>
      </c>
      <c r="B269" s="388"/>
      <c r="C269" s="389">
        <f>'A-E'!C101</f>
        <v>0</v>
      </c>
      <c r="D269" s="397"/>
      <c r="E269" s="1"/>
      <c r="G269" s="5"/>
      <c r="H269" s="2"/>
      <c r="J269" s="2"/>
      <c r="L269" s="93"/>
      <c r="M269" s="96"/>
      <c r="N269" s="93"/>
      <c r="P269" s="93"/>
      <c r="S269" s="2"/>
      <c r="T269" s="2"/>
      <c r="U269" s="2"/>
    </row>
    <row r="270" spans="1:21" ht="12.75">
      <c r="A270" s="34">
        <f t="shared" si="12"/>
        <v>2603</v>
      </c>
      <c r="B270" s="388"/>
      <c r="C270" s="390">
        <f>'A-E'!C113</f>
        <v>0</v>
      </c>
      <c r="D270" s="397"/>
      <c r="E270" s="1"/>
      <c r="G270" s="5"/>
      <c r="H270" s="2"/>
      <c r="J270" s="2"/>
      <c r="L270" s="93"/>
      <c r="M270" s="96"/>
      <c r="N270" s="93"/>
      <c r="P270" s="93"/>
      <c r="S270" s="2"/>
      <c r="T270" s="2"/>
      <c r="U270" s="2"/>
    </row>
    <row r="271" spans="1:21" ht="12.75">
      <c r="A271" s="34">
        <f t="shared" si="12"/>
        <v>2604</v>
      </c>
      <c r="B271" s="388"/>
      <c r="C271" s="389" t="e">
        <f>'A-E'!#REF!</f>
        <v>#REF!</v>
      </c>
      <c r="D271" s="397"/>
      <c r="E271" s="1"/>
      <c r="G271" s="5"/>
      <c r="H271" s="2"/>
      <c r="J271" s="2"/>
      <c r="L271" s="93"/>
      <c r="M271" s="96"/>
      <c r="N271" s="93"/>
      <c r="P271" s="93"/>
      <c r="S271" s="2"/>
      <c r="T271" s="2"/>
      <c r="U271" s="2"/>
    </row>
    <row r="272" spans="1:21" ht="12.75">
      <c r="A272" s="34">
        <f t="shared" si="12"/>
        <v>2605</v>
      </c>
      <c r="B272" s="388"/>
      <c r="C272" s="389" t="e">
        <f>'A-E'!#REF!</f>
        <v>#REF!</v>
      </c>
      <c r="D272" s="397"/>
      <c r="E272" s="1"/>
      <c r="G272" s="5"/>
      <c r="H272" s="2"/>
      <c r="J272" s="2"/>
      <c r="L272" s="93"/>
      <c r="M272" s="96"/>
      <c r="N272" s="93"/>
      <c r="P272" s="93"/>
      <c r="S272" s="2"/>
      <c r="T272" s="2"/>
      <c r="U272" s="2"/>
    </row>
    <row r="273" spans="1:21" ht="12.75">
      <c r="A273" s="34">
        <f t="shared" si="12"/>
        <v>2606</v>
      </c>
      <c r="B273" s="388"/>
      <c r="C273" s="389" t="e">
        <f>'A-E'!#REF!</f>
        <v>#REF!</v>
      </c>
      <c r="D273" s="397"/>
      <c r="E273" s="1"/>
      <c r="G273" s="5"/>
      <c r="H273" s="2"/>
      <c r="J273" s="2"/>
      <c r="L273" s="93"/>
      <c r="M273" s="96"/>
      <c r="N273" s="93"/>
      <c r="P273" s="93"/>
      <c r="S273" s="2"/>
      <c r="T273" s="2"/>
      <c r="U273" s="2"/>
    </row>
    <row r="274" spans="1:21" ht="12.75">
      <c r="A274" s="34">
        <f t="shared" si="12"/>
        <v>2607</v>
      </c>
      <c r="B274" s="388"/>
      <c r="C274" s="389" t="e">
        <f>'A-E'!#REF!</f>
        <v>#REF!</v>
      </c>
      <c r="D274" s="397"/>
      <c r="E274" s="1"/>
      <c r="G274" s="5"/>
      <c r="H274" s="2"/>
      <c r="J274" s="2"/>
      <c r="L274" s="93"/>
      <c r="M274" s="96"/>
      <c r="N274" s="93"/>
      <c r="P274" s="93"/>
      <c r="S274" s="2"/>
      <c r="T274" s="2"/>
      <c r="U274" s="2"/>
    </row>
    <row r="275" spans="1:21" ht="12.75">
      <c r="A275" s="34">
        <f t="shared" si="12"/>
        <v>2608</v>
      </c>
      <c r="B275" s="388"/>
      <c r="C275" s="389" t="e">
        <f>'A-E'!#REF!</f>
        <v>#REF!</v>
      </c>
      <c r="D275" s="397"/>
      <c r="E275" s="1"/>
      <c r="G275" s="5"/>
      <c r="H275" s="2"/>
      <c r="J275" s="2"/>
      <c r="L275" s="93"/>
      <c r="M275" s="96"/>
      <c r="N275" s="93"/>
      <c r="P275" s="93"/>
      <c r="S275" s="2"/>
      <c r="T275" s="2"/>
      <c r="U275" s="2"/>
    </row>
    <row r="276" spans="1:21" ht="12.75">
      <c r="A276" s="34">
        <f t="shared" si="12"/>
        <v>2609</v>
      </c>
      <c r="B276" s="388"/>
      <c r="C276" s="389" t="e">
        <f>'A-E'!#REF!</f>
        <v>#REF!</v>
      </c>
      <c r="D276" s="397"/>
      <c r="E276" s="1"/>
      <c r="G276" s="5"/>
      <c r="H276" s="2"/>
      <c r="J276" s="2"/>
      <c r="L276" s="93"/>
      <c r="M276" s="96"/>
      <c r="N276" s="93"/>
      <c r="P276" s="93"/>
      <c r="S276" s="2"/>
      <c r="T276" s="2"/>
      <c r="U276" s="2"/>
    </row>
    <row r="277" spans="1:21" ht="12.75">
      <c r="A277" s="34">
        <f t="shared" si="12"/>
        <v>2610</v>
      </c>
      <c r="B277" s="388"/>
      <c r="C277" s="389" t="e">
        <f>'A-E'!#REF!</f>
        <v>#REF!</v>
      </c>
      <c r="D277" s="397"/>
      <c r="E277" s="1"/>
      <c r="G277" s="5"/>
      <c r="H277" s="2"/>
      <c r="J277" s="2"/>
      <c r="L277" s="93"/>
      <c r="M277" s="96"/>
      <c r="N277" s="93"/>
      <c r="P277" s="93"/>
      <c r="S277" s="2"/>
      <c r="T277" s="2"/>
      <c r="U277" s="2"/>
    </row>
    <row r="278" spans="1:21" ht="12.75">
      <c r="A278" s="34">
        <f t="shared" si="12"/>
        <v>2611</v>
      </c>
      <c r="B278" s="388"/>
      <c r="C278" s="389" t="e">
        <f>'A-E'!#REF!</f>
        <v>#REF!</v>
      </c>
      <c r="D278" s="397"/>
      <c r="E278" s="1"/>
      <c r="G278" s="5"/>
      <c r="H278" s="2"/>
      <c r="J278" s="2"/>
      <c r="L278" s="93"/>
      <c r="M278" s="96"/>
      <c r="N278" s="93"/>
      <c r="P278" s="93"/>
      <c r="S278" s="2"/>
      <c r="T278" s="2"/>
      <c r="U278" s="2"/>
    </row>
    <row r="279" spans="1:21" ht="12.75">
      <c r="A279" s="34">
        <f t="shared" si="12"/>
        <v>2612</v>
      </c>
      <c r="B279" s="388"/>
      <c r="C279" s="389" t="e">
        <f>'A-E'!#REF!</f>
        <v>#REF!</v>
      </c>
      <c r="D279" s="397"/>
      <c r="E279" s="1"/>
      <c r="G279" s="5"/>
      <c r="H279" s="2"/>
      <c r="J279" s="2"/>
      <c r="L279" s="93"/>
      <c r="M279" s="96"/>
      <c r="N279" s="93"/>
      <c r="P279" s="93"/>
      <c r="S279" s="2"/>
      <c r="T279" s="2"/>
      <c r="U279" s="2"/>
    </row>
    <row r="280" spans="1:21" ht="12.75">
      <c r="A280" s="34">
        <f t="shared" si="12"/>
        <v>2613</v>
      </c>
      <c r="B280" s="388"/>
      <c r="C280" s="389" t="e">
        <f>'A-E'!#REF!</f>
        <v>#REF!</v>
      </c>
      <c r="D280" s="397"/>
      <c r="E280" s="1"/>
      <c r="G280" s="5"/>
      <c r="H280" s="2"/>
      <c r="J280" s="2"/>
      <c r="L280" s="93"/>
      <c r="M280" s="96"/>
      <c r="N280" s="93"/>
      <c r="P280" s="93"/>
      <c r="S280" s="2"/>
      <c r="T280" s="2"/>
      <c r="U280" s="2"/>
    </row>
    <row r="281" spans="1:21" ht="12.75">
      <c r="A281" s="34">
        <f t="shared" si="12"/>
        <v>2614</v>
      </c>
      <c r="B281" s="388"/>
      <c r="C281" s="389" t="e">
        <f>'A-E'!#REF!</f>
        <v>#REF!</v>
      </c>
      <c r="D281" s="397"/>
      <c r="E281" s="1"/>
      <c r="G281" s="5"/>
      <c r="H281" s="2"/>
      <c r="J281" s="2"/>
      <c r="L281" s="93"/>
      <c r="M281" s="96"/>
      <c r="N281" s="93"/>
      <c r="P281" s="93"/>
      <c r="S281" s="2"/>
      <c r="T281" s="2"/>
      <c r="U281" s="2"/>
    </row>
    <row r="282" spans="1:21" ht="12.75">
      <c r="A282" s="34">
        <f t="shared" si="12"/>
        <v>2615</v>
      </c>
      <c r="B282" s="388"/>
      <c r="C282" s="389" t="e">
        <f>'A-E'!#REF!</f>
        <v>#REF!</v>
      </c>
      <c r="D282" s="397"/>
      <c r="E282" s="1"/>
      <c r="G282" s="5"/>
      <c r="H282" s="2"/>
      <c r="J282" s="2"/>
      <c r="L282" s="93"/>
      <c r="M282" s="96"/>
      <c r="N282" s="93"/>
      <c r="P282" s="93"/>
      <c r="S282" s="2"/>
      <c r="T282" s="2"/>
      <c r="U282" s="2"/>
    </row>
    <row r="283" spans="1:21" ht="12.75">
      <c r="A283" s="34">
        <f t="shared" si="12"/>
        <v>2616</v>
      </c>
      <c r="B283" s="388"/>
      <c r="C283" s="403"/>
      <c r="D283" s="390">
        <f>'A-E'!D114</f>
        <v>0</v>
      </c>
      <c r="E283" s="1"/>
      <c r="G283" s="5"/>
      <c r="H283" s="2"/>
      <c r="J283" s="2"/>
      <c r="L283" s="93"/>
      <c r="M283" s="96"/>
      <c r="N283" s="93"/>
      <c r="P283" s="93"/>
      <c r="S283" s="2"/>
      <c r="T283" s="2"/>
      <c r="U283" s="2"/>
    </row>
    <row r="284" spans="1:21" ht="12.75">
      <c r="A284" s="34">
        <f t="shared" si="12"/>
        <v>2617</v>
      </c>
      <c r="B284" s="388"/>
      <c r="C284" s="390">
        <f>'A-E'!C115</f>
        <v>0</v>
      </c>
      <c r="D284" s="397"/>
      <c r="E284" s="1"/>
      <c r="G284" s="5"/>
      <c r="H284" s="2"/>
      <c r="J284" s="2"/>
      <c r="L284" s="93"/>
      <c r="M284" s="96"/>
      <c r="N284" s="93"/>
      <c r="P284" s="93"/>
      <c r="S284" s="2"/>
      <c r="T284" s="2"/>
      <c r="U284" s="2"/>
    </row>
    <row r="285" spans="1:21" ht="12.75">
      <c r="A285" s="35">
        <f t="shared" si="12"/>
        <v>2618</v>
      </c>
      <c r="B285" s="388"/>
      <c r="C285" s="389" t="e">
        <f>'A-E'!#REF!</f>
        <v>#REF!</v>
      </c>
      <c r="D285" s="398"/>
      <c r="E285" s="1"/>
      <c r="G285" s="5"/>
      <c r="H285" s="2"/>
      <c r="J285" s="2"/>
      <c r="L285" s="93"/>
      <c r="M285" s="96"/>
      <c r="N285" s="93"/>
      <c r="P285" s="93"/>
      <c r="S285" s="2"/>
      <c r="T285" s="2"/>
      <c r="U285" s="2"/>
    </row>
    <row r="286" spans="1:21" ht="12.75">
      <c r="A286" s="37">
        <f t="shared" si="12"/>
        <v>2619</v>
      </c>
      <c r="B286" s="38"/>
      <c r="C286" s="292"/>
      <c r="D286" s="308"/>
      <c r="E286" s="1"/>
      <c r="G286" s="5"/>
      <c r="H286" s="2"/>
      <c r="J286" s="2"/>
      <c r="L286" s="93"/>
      <c r="M286" s="96"/>
      <c r="N286" s="93"/>
      <c r="P286" s="93"/>
      <c r="S286" s="2"/>
      <c r="T286" s="2"/>
      <c r="U286" s="2"/>
    </row>
    <row r="287" spans="4:7" ht="12.75">
      <c r="D287" s="2"/>
      <c r="G287" s="2"/>
    </row>
    <row r="288" spans="1:21" ht="12.75" customHeight="1">
      <c r="A288" s="21"/>
      <c r="B288" s="105" t="s">
        <v>856</v>
      </c>
      <c r="C288" s="404" t="s">
        <v>858</v>
      </c>
      <c r="D288" s="405"/>
      <c r="G288" s="93"/>
      <c r="H288" s="96"/>
      <c r="I288" s="93"/>
      <c r="J288" s="93"/>
      <c r="K288" s="93"/>
      <c r="L288" s="93"/>
      <c r="M288" s="93"/>
      <c r="O288" s="2"/>
      <c r="P288" s="2"/>
      <c r="Q288" s="2"/>
      <c r="R288" s="2"/>
      <c r="S288" s="2"/>
      <c r="T288" s="2"/>
      <c r="U288" s="2"/>
    </row>
    <row r="289" spans="1:21" ht="12.75">
      <c r="A289" s="21"/>
      <c r="B289" s="109" t="s">
        <v>857</v>
      </c>
      <c r="C289" s="406" t="s">
        <v>859</v>
      </c>
      <c r="D289" s="407"/>
      <c r="G289" s="93"/>
      <c r="H289" s="96"/>
      <c r="I289" s="93"/>
      <c r="J289" s="93"/>
      <c r="K289" s="93"/>
      <c r="L289" s="93"/>
      <c r="M289" s="93"/>
      <c r="O289" s="2"/>
      <c r="P289" s="2"/>
      <c r="Q289" s="2"/>
      <c r="R289" s="2"/>
      <c r="S289" s="2"/>
      <c r="T289" s="2"/>
      <c r="U289" s="2"/>
    </row>
    <row r="290" spans="1:21" ht="12.75">
      <c r="A290" s="26"/>
      <c r="B290" s="29"/>
      <c r="C290" s="29"/>
      <c r="D290" s="196"/>
      <c r="G290" s="93"/>
      <c r="H290" s="96"/>
      <c r="I290" s="93"/>
      <c r="J290" s="93"/>
      <c r="K290" s="93"/>
      <c r="L290" s="93"/>
      <c r="M290" s="93"/>
      <c r="O290" s="2"/>
      <c r="P290" s="2"/>
      <c r="Q290" s="2"/>
      <c r="R290" s="2"/>
      <c r="S290" s="2"/>
      <c r="T290" s="2"/>
      <c r="U290" s="2"/>
    </row>
    <row r="291" spans="1:21" ht="12.75">
      <c r="A291" s="159" t="s">
        <v>1005</v>
      </c>
      <c r="B291" s="387"/>
      <c r="C291" s="95"/>
      <c r="D291" s="408"/>
      <c r="G291" s="93"/>
      <c r="H291" s="96"/>
      <c r="I291" s="93"/>
      <c r="J291" s="93"/>
      <c r="K291" s="93"/>
      <c r="L291" s="93"/>
      <c r="M291" s="93"/>
      <c r="O291" s="2"/>
      <c r="P291" s="2"/>
      <c r="Q291" s="2"/>
      <c r="R291" s="2"/>
      <c r="S291" s="2"/>
      <c r="T291" s="2"/>
      <c r="U291" s="2"/>
    </row>
    <row r="292" spans="1:21" ht="12.75">
      <c r="A292" s="31" t="e">
        <f>'A-E'!#REF!</f>
        <v>#REF!</v>
      </c>
      <c r="B292" s="389" t="e">
        <f>'A-E'!#REF!</f>
        <v>#REF!</v>
      </c>
      <c r="C292" s="392" t="e">
        <f>'A-E'!#REF!</f>
        <v>#REF!</v>
      </c>
      <c r="D292" s="389" t="e">
        <f>#REF!</f>
        <v>#REF!</v>
      </c>
      <c r="G292" s="93"/>
      <c r="H292" s="96"/>
      <c r="I292" s="93"/>
      <c r="J292" s="93"/>
      <c r="K292" s="93"/>
      <c r="L292" s="93"/>
      <c r="M292" s="93"/>
      <c r="O292" s="2"/>
      <c r="P292" s="2"/>
      <c r="Q292" s="2"/>
      <c r="R292" s="2"/>
      <c r="S292" s="2"/>
      <c r="T292" s="2"/>
      <c r="U292" s="2"/>
    </row>
    <row r="293" spans="1:21" ht="12.75">
      <c r="A293" s="34" t="e">
        <f aca="true" t="shared" si="13" ref="A293:A305">A292+1</f>
        <v>#REF!</v>
      </c>
      <c r="B293" s="389" t="e">
        <f>'A-E'!#REF!</f>
        <v>#REF!</v>
      </c>
      <c r="C293" s="392" t="e">
        <f>'A-E'!#REF!</f>
        <v>#REF!</v>
      </c>
      <c r="D293" s="389" t="e">
        <f>#REF!</f>
        <v>#REF!</v>
      </c>
      <c r="G293" s="93"/>
      <c r="H293" s="96"/>
      <c r="I293" s="93"/>
      <c r="J293" s="93"/>
      <c r="K293" s="93"/>
      <c r="L293" s="93"/>
      <c r="M293" s="93"/>
      <c r="O293" s="2"/>
      <c r="P293" s="2"/>
      <c r="Q293" s="2"/>
      <c r="R293" s="2"/>
      <c r="S293" s="2"/>
      <c r="T293" s="2"/>
      <c r="U293" s="2"/>
    </row>
    <row r="294" spans="1:21" ht="12.75">
      <c r="A294" s="34" t="e">
        <f t="shared" si="13"/>
        <v>#REF!</v>
      </c>
      <c r="B294" s="389" t="e">
        <f>'A-E'!#REF!</f>
        <v>#REF!</v>
      </c>
      <c r="C294" s="392" t="e">
        <f>'A-E'!#REF!</f>
        <v>#REF!</v>
      </c>
      <c r="D294" s="389" t="e">
        <f>#REF!</f>
        <v>#REF!</v>
      </c>
      <c r="G294" s="93"/>
      <c r="H294" s="96"/>
      <c r="I294" s="93"/>
      <c r="J294" s="93"/>
      <c r="K294" s="93"/>
      <c r="L294" s="93"/>
      <c r="M294" s="93"/>
      <c r="O294" s="2"/>
      <c r="P294" s="2"/>
      <c r="Q294" s="2"/>
      <c r="R294" s="2"/>
      <c r="S294" s="2"/>
      <c r="T294" s="2"/>
      <c r="U294" s="2"/>
    </row>
    <row r="295" spans="1:21" ht="12.75">
      <c r="A295" s="34" t="e">
        <f t="shared" si="13"/>
        <v>#REF!</v>
      </c>
      <c r="B295" s="389" t="e">
        <f>'A-E'!#REF!</f>
        <v>#REF!</v>
      </c>
      <c r="C295" s="392" t="e">
        <f>'A-E'!#REF!</f>
        <v>#REF!</v>
      </c>
      <c r="D295" s="389" t="e">
        <f>#REF!</f>
        <v>#REF!</v>
      </c>
      <c r="G295" s="93"/>
      <c r="H295" s="96"/>
      <c r="I295" s="93"/>
      <c r="J295" s="93"/>
      <c r="K295" s="93"/>
      <c r="L295" s="93"/>
      <c r="M295" s="93"/>
      <c r="O295" s="2"/>
      <c r="P295" s="2"/>
      <c r="Q295" s="2"/>
      <c r="R295" s="2"/>
      <c r="S295" s="2"/>
      <c r="T295" s="2"/>
      <c r="U295" s="2"/>
    </row>
    <row r="296" spans="1:21" ht="12.75">
      <c r="A296" s="34" t="e">
        <f t="shared" si="13"/>
        <v>#REF!</v>
      </c>
      <c r="B296" s="389" t="e">
        <f>'A-E'!#REF!</f>
        <v>#REF!</v>
      </c>
      <c r="C296" s="392" t="e">
        <f>'A-E'!#REF!</f>
        <v>#REF!</v>
      </c>
      <c r="D296" s="389" t="e">
        <f>#REF!</f>
        <v>#REF!</v>
      </c>
      <c r="G296" s="93"/>
      <c r="H296" s="96"/>
      <c r="I296" s="93"/>
      <c r="J296" s="93"/>
      <c r="K296" s="93"/>
      <c r="L296" s="93"/>
      <c r="M296" s="93"/>
      <c r="O296" s="2"/>
      <c r="P296" s="2"/>
      <c r="Q296" s="2"/>
      <c r="R296" s="2"/>
      <c r="S296" s="2"/>
      <c r="T296" s="2"/>
      <c r="U296" s="2"/>
    </row>
    <row r="297" spans="1:21" ht="12.75">
      <c r="A297" s="34" t="e">
        <f t="shared" si="13"/>
        <v>#REF!</v>
      </c>
      <c r="B297" s="389" t="e">
        <f>'A-E'!#REF!</f>
        <v>#REF!</v>
      </c>
      <c r="C297" s="392" t="e">
        <f>'A-E'!#REF!</f>
        <v>#REF!</v>
      </c>
      <c r="D297" s="389" t="e">
        <f>#REF!</f>
        <v>#REF!</v>
      </c>
      <c r="G297" s="93"/>
      <c r="H297" s="96"/>
      <c r="I297" s="93"/>
      <c r="J297" s="93"/>
      <c r="K297" s="93"/>
      <c r="L297" s="93"/>
      <c r="M297" s="93"/>
      <c r="O297" s="2"/>
      <c r="P297" s="2"/>
      <c r="Q297" s="2"/>
      <c r="R297" s="2"/>
      <c r="S297" s="2"/>
      <c r="T297" s="2"/>
      <c r="U297" s="2"/>
    </row>
    <row r="298" spans="1:21" ht="12.75">
      <c r="A298" s="34" t="e">
        <f t="shared" si="13"/>
        <v>#REF!</v>
      </c>
      <c r="B298" s="389" t="e">
        <f>'A-E'!#REF!</f>
        <v>#REF!</v>
      </c>
      <c r="C298" s="392" t="e">
        <f>'A-E'!#REF!</f>
        <v>#REF!</v>
      </c>
      <c r="D298" s="389" t="e">
        <f>#REF!</f>
        <v>#REF!</v>
      </c>
      <c r="G298" s="93"/>
      <c r="H298" s="96"/>
      <c r="I298" s="93"/>
      <c r="J298" s="93"/>
      <c r="K298" s="93"/>
      <c r="L298" s="93"/>
      <c r="M298" s="93"/>
      <c r="O298" s="2"/>
      <c r="P298" s="2"/>
      <c r="Q298" s="2"/>
      <c r="R298" s="2"/>
      <c r="S298" s="2"/>
      <c r="T298" s="2"/>
      <c r="U298" s="2"/>
    </row>
    <row r="299" spans="1:21" ht="12.75">
      <c r="A299" s="34" t="e">
        <f t="shared" si="13"/>
        <v>#REF!</v>
      </c>
      <c r="B299" s="389" t="e">
        <f>'A-E'!#REF!</f>
        <v>#REF!</v>
      </c>
      <c r="C299" s="392" t="e">
        <f>'A-E'!#REF!</f>
        <v>#REF!</v>
      </c>
      <c r="D299" s="389" t="e">
        <f>#REF!</f>
        <v>#REF!</v>
      </c>
      <c r="G299" s="93"/>
      <c r="H299" s="96"/>
      <c r="I299" s="93"/>
      <c r="J299" s="93"/>
      <c r="K299" s="93"/>
      <c r="L299" s="93"/>
      <c r="M299" s="93"/>
      <c r="O299" s="2"/>
      <c r="P299" s="2"/>
      <c r="Q299" s="2"/>
      <c r="R299" s="2"/>
      <c r="S299" s="2"/>
      <c r="T299" s="2"/>
      <c r="U299" s="2"/>
    </row>
    <row r="300" spans="1:21" ht="12.75">
      <c r="A300" s="34" t="e">
        <f t="shared" si="13"/>
        <v>#REF!</v>
      </c>
      <c r="B300" s="389" t="e">
        <f>'A-E'!#REF!</f>
        <v>#REF!</v>
      </c>
      <c r="C300" s="392" t="e">
        <f>'A-E'!#REF!</f>
        <v>#REF!</v>
      </c>
      <c r="D300" s="389" t="e">
        <f>#REF!</f>
        <v>#REF!</v>
      </c>
      <c r="G300" s="93"/>
      <c r="H300" s="96"/>
      <c r="I300" s="93"/>
      <c r="J300" s="93"/>
      <c r="K300" s="93"/>
      <c r="L300" s="93"/>
      <c r="M300" s="93"/>
      <c r="O300" s="2"/>
      <c r="P300" s="2"/>
      <c r="Q300" s="2"/>
      <c r="R300" s="2"/>
      <c r="S300" s="2"/>
      <c r="T300" s="2"/>
      <c r="U300" s="2"/>
    </row>
    <row r="301" spans="1:21" ht="12.75">
      <c r="A301" s="34" t="e">
        <f t="shared" si="13"/>
        <v>#REF!</v>
      </c>
      <c r="B301" s="389" t="e">
        <f>'A-E'!#REF!</f>
        <v>#REF!</v>
      </c>
      <c r="C301" s="392" t="e">
        <f>'A-E'!#REF!</f>
        <v>#REF!</v>
      </c>
      <c r="D301" s="389" t="e">
        <f>#REF!</f>
        <v>#REF!</v>
      </c>
      <c r="G301" s="93"/>
      <c r="H301" s="96"/>
      <c r="I301" s="93"/>
      <c r="J301" s="93"/>
      <c r="K301" s="93"/>
      <c r="L301" s="93"/>
      <c r="M301" s="93"/>
      <c r="O301" s="2"/>
      <c r="P301" s="2"/>
      <c r="Q301" s="2"/>
      <c r="R301" s="2"/>
      <c r="S301" s="2"/>
      <c r="T301" s="2"/>
      <c r="U301" s="2"/>
    </row>
    <row r="302" spans="1:21" ht="12.75">
      <c r="A302" s="34" t="e">
        <f t="shared" si="13"/>
        <v>#REF!</v>
      </c>
      <c r="B302" s="389" t="e">
        <f>'A-E'!#REF!</f>
        <v>#REF!</v>
      </c>
      <c r="C302" s="392" t="e">
        <f>'A-E'!#REF!</f>
        <v>#REF!</v>
      </c>
      <c r="D302" s="389" t="e">
        <f>#REF!</f>
        <v>#REF!</v>
      </c>
      <c r="G302" s="93"/>
      <c r="H302" s="96"/>
      <c r="I302" s="93"/>
      <c r="J302" s="93"/>
      <c r="K302" s="93"/>
      <c r="L302" s="93"/>
      <c r="M302" s="93"/>
      <c r="O302" s="2"/>
      <c r="P302" s="2"/>
      <c r="Q302" s="2"/>
      <c r="R302" s="2"/>
      <c r="S302" s="2"/>
      <c r="T302" s="2"/>
      <c r="U302" s="2"/>
    </row>
    <row r="303" spans="1:21" ht="12.75">
      <c r="A303" s="34" t="e">
        <f t="shared" si="13"/>
        <v>#REF!</v>
      </c>
      <c r="B303" s="389" t="e">
        <f>'A-E'!#REF!</f>
        <v>#REF!</v>
      </c>
      <c r="C303" s="392" t="e">
        <f>'A-E'!#REF!</f>
        <v>#REF!</v>
      </c>
      <c r="D303" s="389" t="e">
        <f>#REF!</f>
        <v>#REF!</v>
      </c>
      <c r="G303" s="93"/>
      <c r="H303" s="96"/>
      <c r="I303" s="93"/>
      <c r="J303" s="93"/>
      <c r="K303" s="93"/>
      <c r="L303" s="93"/>
      <c r="M303" s="93"/>
      <c r="O303" s="2"/>
      <c r="P303" s="2"/>
      <c r="Q303" s="2"/>
      <c r="R303" s="2"/>
      <c r="S303" s="2"/>
      <c r="T303" s="2"/>
      <c r="U303" s="2"/>
    </row>
    <row r="304" spans="1:21" ht="12.75">
      <c r="A304" s="35" t="e">
        <f t="shared" si="13"/>
        <v>#REF!</v>
      </c>
      <c r="B304" s="389" t="e">
        <f>'A-E'!#REF!</f>
        <v>#REF!</v>
      </c>
      <c r="C304" s="409" t="e">
        <f>'A-E'!#REF!</f>
        <v>#REF!</v>
      </c>
      <c r="D304" s="389" t="e">
        <f>#REF!</f>
        <v>#REF!</v>
      </c>
      <c r="G304" s="93"/>
      <c r="H304" s="96"/>
      <c r="I304" s="93"/>
      <c r="J304" s="93"/>
      <c r="K304" s="93"/>
      <c r="L304" s="93"/>
      <c r="M304" s="93"/>
      <c r="O304" s="2"/>
      <c r="P304" s="2"/>
      <c r="Q304" s="2"/>
      <c r="R304" s="2"/>
      <c r="S304" s="2"/>
      <c r="T304" s="2"/>
      <c r="U304" s="2"/>
    </row>
    <row r="305" spans="1:21" ht="12.75">
      <c r="A305" s="37" t="e">
        <f t="shared" si="13"/>
        <v>#REF!</v>
      </c>
      <c r="B305" s="292"/>
      <c r="C305" s="329"/>
      <c r="D305" s="329"/>
      <c r="G305" s="93"/>
      <c r="H305" s="96"/>
      <c r="I305" s="93"/>
      <c r="J305" s="93"/>
      <c r="K305" s="93"/>
      <c r="L305" s="93"/>
      <c r="M305" s="93"/>
      <c r="O305" s="2"/>
      <c r="P305" s="2"/>
      <c r="Q305" s="2"/>
      <c r="R305" s="2"/>
      <c r="S305" s="2"/>
      <c r="T305" s="2"/>
      <c r="U305" s="2"/>
    </row>
    <row r="306" spans="1:21" ht="12.75">
      <c r="A306" s="41"/>
      <c r="B306" s="42"/>
      <c r="C306" s="90"/>
      <c r="D306" s="42"/>
      <c r="E306" s="42"/>
      <c r="F306" s="42"/>
      <c r="G306" s="2"/>
      <c r="H306" s="2"/>
      <c r="J306" s="93"/>
      <c r="K306" s="96"/>
      <c r="L306" s="93"/>
      <c r="M306" s="93"/>
      <c r="N306" s="93"/>
      <c r="P306" s="93"/>
      <c r="Q306" s="2"/>
      <c r="R306" s="2"/>
      <c r="S306" s="2"/>
      <c r="T306" s="2"/>
      <c r="U306" s="2"/>
    </row>
    <row r="307" spans="1:21" ht="12.75">
      <c r="A307" s="211"/>
      <c r="B307" s="212" t="s">
        <v>822</v>
      </c>
      <c r="C307" s="25" t="s">
        <v>1008</v>
      </c>
      <c r="D307" s="25" t="s">
        <v>1011</v>
      </c>
      <c r="G307" s="2"/>
      <c r="H307" s="93"/>
      <c r="I307" s="96"/>
      <c r="J307" s="93"/>
      <c r="K307" s="93"/>
      <c r="L307" s="93"/>
      <c r="M307" s="93"/>
      <c r="N307" s="93"/>
      <c r="O307" s="2"/>
      <c r="P307" s="2"/>
      <c r="Q307" s="2"/>
      <c r="R307" s="2"/>
      <c r="S307" s="2"/>
      <c r="T307" s="2"/>
      <c r="U307" s="2"/>
    </row>
    <row r="308" spans="1:21" ht="12.75">
      <c r="A308" s="14"/>
      <c r="B308" s="29"/>
      <c r="C308" s="42"/>
      <c r="D308" s="161"/>
      <c r="E308" s="90"/>
      <c r="F308" s="90"/>
      <c r="G308" s="29"/>
      <c r="H308" s="42"/>
      <c r="I308" s="161"/>
      <c r="J308" s="2"/>
      <c r="M308" s="93"/>
      <c r="N308" s="96"/>
      <c r="P308" s="93"/>
      <c r="T308" s="2"/>
      <c r="U308" s="2"/>
    </row>
    <row r="309" spans="1:21" ht="12.75">
      <c r="A309" s="41" t="s">
        <v>1006</v>
      </c>
      <c r="B309" s="163"/>
      <c r="C309" s="42"/>
      <c r="D309" s="42"/>
      <c r="E309" s="90"/>
      <c r="F309" s="90"/>
      <c r="G309" s="163"/>
      <c r="H309" s="42"/>
      <c r="I309" s="42"/>
      <c r="J309" s="2"/>
      <c r="M309" s="93"/>
      <c r="N309" s="96"/>
      <c r="P309" s="93"/>
      <c r="T309" s="2"/>
      <c r="U309" s="2"/>
    </row>
    <row r="310" spans="1:21" ht="12.75">
      <c r="A310" s="262" t="e">
        <f>A305+1</f>
        <v>#REF!</v>
      </c>
      <c r="B310" s="270">
        <f>'A-E'!D77</f>
        <v>9.5</v>
      </c>
      <c r="C310" s="367"/>
      <c r="D310" s="5"/>
      <c r="E310" s="31" t="e">
        <f>A315+1</f>
        <v>#REF!</v>
      </c>
      <c r="F310" s="270">
        <f>'A-E'!D83</f>
        <v>3.5</v>
      </c>
      <c r="G310" s="2"/>
      <c r="H310" s="2"/>
      <c r="J310" s="93"/>
      <c r="K310" s="96"/>
      <c r="L310" s="93"/>
      <c r="M310" s="93"/>
      <c r="N310" s="93"/>
      <c r="P310" s="93"/>
      <c r="Q310" s="2"/>
      <c r="R310" s="2"/>
      <c r="S310" s="2"/>
      <c r="T310" s="2"/>
      <c r="U310" s="2"/>
    </row>
    <row r="311" spans="1:21" ht="12.75">
      <c r="A311" s="34" t="e">
        <f>A310+1</f>
        <v>#REF!</v>
      </c>
      <c r="B311" s="270">
        <f>'A-E'!D78</f>
        <v>8.5</v>
      </c>
      <c r="C311" s="367"/>
      <c r="D311" s="5"/>
      <c r="E311" s="34" t="e">
        <f>E310+1</f>
        <v>#REF!</v>
      </c>
      <c r="F311" s="270">
        <f>'A-E'!D85</f>
        <v>1.5</v>
      </c>
      <c r="G311" s="2"/>
      <c r="H311" s="2"/>
      <c r="J311" s="93"/>
      <c r="K311" s="96"/>
      <c r="L311" s="93"/>
      <c r="M311" s="93"/>
      <c r="N311" s="93"/>
      <c r="P311" s="93"/>
      <c r="Q311" s="2"/>
      <c r="R311" s="2"/>
      <c r="S311" s="2"/>
      <c r="T311" s="2"/>
      <c r="U311" s="2"/>
    </row>
    <row r="312" spans="1:21" ht="12.75">
      <c r="A312" s="34" t="e">
        <f>A311+1</f>
        <v>#REF!</v>
      </c>
      <c r="B312" s="270">
        <f>'A-E'!D79</f>
        <v>7.5</v>
      </c>
      <c r="C312" s="367"/>
      <c r="D312" s="5"/>
      <c r="E312" s="34" t="e">
        <f>E311+1</f>
        <v>#REF!</v>
      </c>
      <c r="F312" s="270" t="e">
        <f>'A-E'!#REF!</f>
        <v>#REF!</v>
      </c>
      <c r="G312" s="2"/>
      <c r="H312" s="2"/>
      <c r="J312" s="93"/>
      <c r="K312" s="96"/>
      <c r="L312" s="93"/>
      <c r="M312" s="93"/>
      <c r="N312" s="93"/>
      <c r="P312" s="93"/>
      <c r="Q312" s="2"/>
      <c r="R312" s="2"/>
      <c r="S312" s="2"/>
      <c r="T312" s="2"/>
      <c r="U312" s="2"/>
    </row>
    <row r="313" spans="1:21" ht="12.75">
      <c r="A313" s="34" t="e">
        <f>A312+1</f>
        <v>#REF!</v>
      </c>
      <c r="B313" s="270">
        <f>'A-E'!D80</f>
        <v>6.5</v>
      </c>
      <c r="C313" s="367"/>
      <c r="D313" s="5"/>
      <c r="E313" s="34" t="e">
        <f>E312+1</f>
        <v>#REF!</v>
      </c>
      <c r="F313" s="270" t="e">
        <f>'A-E'!#REF!</f>
        <v>#REF!</v>
      </c>
      <c r="G313" s="2"/>
      <c r="H313" s="2"/>
      <c r="J313" s="93"/>
      <c r="K313" s="96"/>
      <c r="L313" s="93"/>
      <c r="M313" s="93"/>
      <c r="N313" s="93"/>
      <c r="P313" s="93"/>
      <c r="Q313" s="2"/>
      <c r="R313" s="2"/>
      <c r="S313" s="2"/>
      <c r="T313" s="2"/>
      <c r="U313" s="2"/>
    </row>
    <row r="314" spans="1:21" ht="12.75">
      <c r="A314" s="54" t="e">
        <f>A312+1</f>
        <v>#REF!</v>
      </c>
      <c r="B314" s="270">
        <f>'A-E'!D81</f>
        <v>5.5</v>
      </c>
      <c r="C314" s="367"/>
      <c r="D314" s="5"/>
      <c r="E314" s="34" t="e">
        <f>E313+1</f>
        <v>#REF!</v>
      </c>
      <c r="F314" s="270">
        <f>'A-E'!D86</f>
        <v>0.5</v>
      </c>
      <c r="G314" s="2"/>
      <c r="H314" s="2"/>
      <c r="J314" s="93"/>
      <c r="K314" s="96"/>
      <c r="L314" s="93"/>
      <c r="M314" s="93"/>
      <c r="N314" s="93"/>
      <c r="P314" s="93"/>
      <c r="Q314" s="2"/>
      <c r="R314" s="2"/>
      <c r="S314" s="2"/>
      <c r="T314" s="2"/>
      <c r="U314" s="2"/>
    </row>
    <row r="315" spans="1:21" ht="12.75">
      <c r="A315" s="54" t="e">
        <f>A313+1</f>
        <v>#REF!</v>
      </c>
      <c r="B315" s="270">
        <f>'A-E'!D82</f>
        <v>4.5</v>
      </c>
      <c r="C315" s="367"/>
      <c r="D315" s="5"/>
      <c r="E315" s="37" t="e">
        <f>E314+1</f>
        <v>#REF!</v>
      </c>
      <c r="F315" s="344"/>
      <c r="G315" s="2"/>
      <c r="H315" s="2"/>
      <c r="J315" s="93"/>
      <c r="K315" s="96"/>
      <c r="L315" s="93"/>
      <c r="M315" s="93"/>
      <c r="N315" s="93"/>
      <c r="P315" s="93"/>
      <c r="Q315" s="2"/>
      <c r="R315" s="2"/>
      <c r="S315" s="2"/>
      <c r="T315" s="2"/>
      <c r="U315" s="2"/>
    </row>
    <row r="316" spans="1:11" ht="12.75">
      <c r="A316" s="162" t="e">
        <f>CONCATENATE("* zie onderbouwing regel 40 laatste rekenstaat ",#REF!,)</f>
        <v>#REF!</v>
      </c>
      <c r="B316" s="132"/>
      <c r="C316" s="328"/>
      <c r="D316" s="345"/>
      <c r="E316" s="328"/>
      <c r="F316" s="5"/>
      <c r="G316" s="165"/>
      <c r="H316" s="87"/>
      <c r="I316" s="87"/>
      <c r="J316" s="87"/>
      <c r="K316" s="87"/>
    </row>
    <row r="317" spans="1:10" ht="12.75">
      <c r="A317" s="166"/>
      <c r="B317" s="163"/>
      <c r="C317" s="163"/>
      <c r="D317" s="163"/>
      <c r="E317" s="164"/>
      <c r="F317" s="165"/>
      <c r="G317" s="165"/>
      <c r="H317" s="119"/>
      <c r="I317" s="119"/>
      <c r="J317" s="2"/>
    </row>
    <row r="318" spans="1:21" ht="12.75">
      <c r="A318" s="41" t="s">
        <v>1009</v>
      </c>
      <c r="B318" s="27" t="s">
        <v>1010</v>
      </c>
      <c r="D318" s="2"/>
      <c r="G318" s="2"/>
      <c r="H318" s="93"/>
      <c r="I318" s="96"/>
      <c r="J318" s="93"/>
      <c r="K318" s="93"/>
      <c r="L318" s="93"/>
      <c r="M318" s="93"/>
      <c r="N318" s="93"/>
      <c r="O318" s="2"/>
      <c r="P318" s="2"/>
      <c r="Q318" s="2"/>
      <c r="R318" s="2"/>
      <c r="S318" s="2"/>
      <c r="T318" s="2"/>
      <c r="U318" s="2"/>
    </row>
    <row r="319" spans="1:21" ht="12.75">
      <c r="A319" s="37" t="e">
        <f>Uitvoer!E315+1</f>
        <v>#REF!</v>
      </c>
      <c r="B319" s="134"/>
      <c r="C319" s="190"/>
      <c r="D319" s="410">
        <f>Uitvoer!F170</f>
        <v>0</v>
      </c>
      <c r="G319" s="2"/>
      <c r="H319" s="93"/>
      <c r="I319" s="96"/>
      <c r="J319" s="93"/>
      <c r="K319" s="93"/>
      <c r="L319" s="93"/>
      <c r="M319" s="93"/>
      <c r="N319" s="93"/>
      <c r="O319" s="2"/>
      <c r="P319" s="2"/>
      <c r="Q319" s="2"/>
      <c r="R319" s="2"/>
      <c r="S319" s="2"/>
      <c r="T319" s="2"/>
      <c r="U319" s="2"/>
    </row>
    <row r="320" spans="1:21" ht="12.75">
      <c r="A320" s="37" t="e">
        <f>A319+1</f>
        <v>#REF!</v>
      </c>
      <c r="B320" s="191"/>
      <c r="C320" s="192"/>
      <c r="D320" s="295">
        <v>1138502</v>
      </c>
      <c r="G320" s="2"/>
      <c r="H320" s="93"/>
      <c r="I320" s="96"/>
      <c r="J320" s="93"/>
      <c r="K320" s="93"/>
      <c r="L320" s="93"/>
      <c r="M320" s="93"/>
      <c r="N320" s="93"/>
      <c r="O320" s="2"/>
      <c r="P320" s="2"/>
      <c r="Q320" s="2"/>
      <c r="R320" s="2"/>
      <c r="S320" s="2"/>
      <c r="T320" s="2"/>
      <c r="U320" s="2"/>
    </row>
    <row r="321" spans="1:21" ht="12.75">
      <c r="A321" s="37" t="e">
        <f>A320+1</f>
        <v>#REF!</v>
      </c>
      <c r="B321" s="193"/>
      <c r="C321" s="194"/>
      <c r="D321" s="195"/>
      <c r="G321" s="2"/>
      <c r="H321" s="93"/>
      <c r="I321" s="96"/>
      <c r="J321" s="93"/>
      <c r="K321" s="93"/>
      <c r="L321" s="93"/>
      <c r="M321" s="93"/>
      <c r="N321" s="93"/>
      <c r="O321" s="2"/>
      <c r="P321" s="2"/>
      <c r="Q321" s="2"/>
      <c r="R321" s="2"/>
      <c r="S321" s="2"/>
      <c r="T321" s="2"/>
      <c r="U321" s="2"/>
    </row>
    <row r="322" spans="3:10" ht="12.75">
      <c r="C322" s="5"/>
      <c r="D322" s="2"/>
      <c r="G322" s="2"/>
      <c r="H322" s="2"/>
      <c r="J322" s="2"/>
    </row>
    <row r="323" spans="1:21" ht="12.75">
      <c r="A323" s="213"/>
      <c r="B323" s="213"/>
      <c r="C323" s="214" t="s">
        <v>836</v>
      </c>
      <c r="D323" s="215" t="s">
        <v>849</v>
      </c>
      <c r="E323" s="215" t="s">
        <v>850</v>
      </c>
      <c r="F323" s="215" t="s">
        <v>824</v>
      </c>
      <c r="G323" s="411" t="e">
        <f>CONCATENATE("Aflossing ",#REF!)</f>
        <v>#REF!</v>
      </c>
      <c r="H323" s="302"/>
      <c r="I323" s="302"/>
      <c r="J323" s="302"/>
      <c r="K323" s="302"/>
      <c r="L323" s="302"/>
      <c r="M323" s="302"/>
      <c r="N323" s="303"/>
      <c r="O323" s="198" t="s">
        <v>1087</v>
      </c>
      <c r="P323" s="93"/>
      <c r="T323" s="2"/>
      <c r="U323" s="2"/>
    </row>
    <row r="324" spans="1:21" ht="12.75">
      <c r="A324" s="216"/>
      <c r="B324" s="216"/>
      <c r="C324" s="217"/>
      <c r="D324" s="217"/>
      <c r="E324" s="217"/>
      <c r="F324" s="218" t="e">
        <f>CONCATENATE("31-12-",#REF!-1," ")</f>
        <v>#REF!</v>
      </c>
      <c r="G324" s="219" t="s">
        <v>851</v>
      </c>
      <c r="H324" s="220" t="s">
        <v>844</v>
      </c>
      <c r="I324" s="411" t="s">
        <v>845</v>
      </c>
      <c r="J324" s="412"/>
      <c r="K324" s="412"/>
      <c r="L324" s="412"/>
      <c r="M324" s="412"/>
      <c r="N324" s="413"/>
      <c r="O324" s="109" t="s">
        <v>1088</v>
      </c>
      <c r="P324" s="93"/>
      <c r="Q324" s="2"/>
      <c r="R324" s="2"/>
      <c r="S324" s="2"/>
      <c r="T324" s="2"/>
      <c r="U324" s="2"/>
    </row>
    <row r="325" spans="1:21" ht="12.75">
      <c r="A325" s="169"/>
      <c r="B325" s="169"/>
      <c r="C325" s="92"/>
      <c r="D325" s="92"/>
      <c r="E325" s="92"/>
      <c r="F325" s="92"/>
      <c r="G325" s="92"/>
      <c r="H325" s="92"/>
      <c r="I325" s="92"/>
      <c r="J325" s="91"/>
      <c r="K325" s="92"/>
      <c r="L325" s="92"/>
      <c r="M325" s="92"/>
      <c r="N325" s="92"/>
      <c r="O325" s="92"/>
      <c r="P325" s="93"/>
      <c r="Q325" s="2"/>
      <c r="R325" s="2"/>
      <c r="S325" s="2"/>
      <c r="T325" s="2"/>
      <c r="U325" s="2"/>
    </row>
    <row r="326" spans="1:21" ht="12.75">
      <c r="A326" s="41" t="s">
        <v>1012</v>
      </c>
      <c r="B326" s="167"/>
      <c r="C326" s="168"/>
      <c r="D326" s="168"/>
      <c r="E326" s="168"/>
      <c r="F326" s="168"/>
      <c r="G326" s="168"/>
      <c r="H326" s="168"/>
      <c r="I326" s="168"/>
      <c r="J326" s="168"/>
      <c r="K326" s="168"/>
      <c r="L326" s="168"/>
      <c r="M326" s="168"/>
      <c r="N326" s="42"/>
      <c r="P326" s="2"/>
      <c r="Q326" s="2"/>
      <c r="R326" s="2"/>
      <c r="S326" s="2"/>
      <c r="T326" s="2"/>
      <c r="U326" s="2"/>
    </row>
    <row r="327" spans="1:21" ht="12.75">
      <c r="A327" s="31">
        <f>F!A7</f>
        <v>2701</v>
      </c>
      <c r="B327" s="414">
        <f>F!B7</f>
        <v>0</v>
      </c>
      <c r="C327" s="136">
        <f>F!D7</f>
        <v>0</v>
      </c>
      <c r="D327" s="415">
        <f>F!E7</f>
        <v>0</v>
      </c>
      <c r="E327" s="270">
        <f>F!F7</f>
        <v>0</v>
      </c>
      <c r="F327" s="270">
        <f>F!H7</f>
        <v>0</v>
      </c>
      <c r="G327" s="270">
        <f>F!I7</f>
        <v>0</v>
      </c>
      <c r="H327" s="266">
        <f>F!J7</f>
        <v>0</v>
      </c>
      <c r="I327" s="266">
        <f>F!K7</f>
        <v>0</v>
      </c>
      <c r="J327" s="266">
        <f>F!L7</f>
        <v>0</v>
      </c>
      <c r="K327" s="266">
        <f>F!M7</f>
        <v>0</v>
      </c>
      <c r="L327" s="266">
        <f>F!N7</f>
        <v>0</v>
      </c>
      <c r="M327" s="266">
        <f>F!O7</f>
        <v>0</v>
      </c>
      <c r="N327" s="266">
        <f>F!P7</f>
        <v>0</v>
      </c>
      <c r="O327" s="270">
        <f>F!S7</f>
        <v>0</v>
      </c>
      <c r="P327" s="93"/>
      <c r="Q327" s="2"/>
      <c r="R327" s="2"/>
      <c r="S327" s="2"/>
      <c r="T327" s="2"/>
      <c r="U327" s="2"/>
    </row>
    <row r="328" spans="1:21" ht="12.75">
      <c r="A328" s="31">
        <f aca="true" t="shared" si="14" ref="A328:A350">A327+1</f>
        <v>2702</v>
      </c>
      <c r="B328" s="414">
        <f>F!B8</f>
        <v>0</v>
      </c>
      <c r="C328" s="136">
        <f>F!D8</f>
        <v>0</v>
      </c>
      <c r="D328" s="415">
        <f>F!E8</f>
        <v>0</v>
      </c>
      <c r="E328" s="270">
        <f>F!F8</f>
        <v>0</v>
      </c>
      <c r="F328" s="270">
        <f>F!H8</f>
        <v>0</v>
      </c>
      <c r="G328" s="270">
        <f>F!I8</f>
        <v>0</v>
      </c>
      <c r="H328" s="266">
        <f>F!J8</f>
        <v>0</v>
      </c>
      <c r="I328" s="266">
        <f>F!K8</f>
        <v>0</v>
      </c>
      <c r="J328" s="266">
        <f>F!L8</f>
        <v>0</v>
      </c>
      <c r="K328" s="266">
        <f>F!M8</f>
        <v>0</v>
      </c>
      <c r="L328" s="266">
        <f>F!N8</f>
        <v>0</v>
      </c>
      <c r="M328" s="266">
        <f>F!O8</f>
        <v>0</v>
      </c>
      <c r="N328" s="266">
        <f>F!P8</f>
        <v>0</v>
      </c>
      <c r="O328" s="270">
        <f>F!T8</f>
        <v>0</v>
      </c>
      <c r="P328" s="93"/>
      <c r="Q328" s="2"/>
      <c r="R328" s="2"/>
      <c r="S328" s="2"/>
      <c r="T328" s="2"/>
      <c r="U328" s="2"/>
    </row>
    <row r="329" spans="1:21" ht="12.75">
      <c r="A329" s="31">
        <f t="shared" si="14"/>
        <v>2703</v>
      </c>
      <c r="B329" s="414">
        <f>F!B9</f>
        <v>0</v>
      </c>
      <c r="C329" s="136">
        <f>F!D9</f>
        <v>0</v>
      </c>
      <c r="D329" s="415">
        <f>F!E9</f>
        <v>0</v>
      </c>
      <c r="E329" s="270">
        <f>F!F9</f>
        <v>0</v>
      </c>
      <c r="F329" s="270">
        <f>F!H9</f>
        <v>0</v>
      </c>
      <c r="G329" s="270">
        <f>F!I9</f>
        <v>0</v>
      </c>
      <c r="H329" s="266">
        <f>F!J9</f>
        <v>0</v>
      </c>
      <c r="I329" s="266">
        <f>F!K9</f>
        <v>0</v>
      </c>
      <c r="J329" s="266">
        <f>F!L9</f>
        <v>0</v>
      </c>
      <c r="K329" s="266">
        <f>F!M9</f>
        <v>0</v>
      </c>
      <c r="L329" s="266">
        <f>F!N9</f>
        <v>0</v>
      </c>
      <c r="M329" s="266">
        <f>F!O9</f>
        <v>0</v>
      </c>
      <c r="N329" s="266">
        <f>F!P9</f>
        <v>0</v>
      </c>
      <c r="O329" s="270">
        <f>F!T9</f>
        <v>0</v>
      </c>
      <c r="P329" s="93"/>
      <c r="Q329" s="2"/>
      <c r="R329" s="2"/>
      <c r="S329" s="2"/>
      <c r="T329" s="2"/>
      <c r="U329" s="2"/>
    </row>
    <row r="330" spans="1:21" ht="12.75">
      <c r="A330" s="31">
        <f t="shared" si="14"/>
        <v>2704</v>
      </c>
      <c r="B330" s="414">
        <f>F!B10</f>
        <v>0</v>
      </c>
      <c r="C330" s="136">
        <f>F!D10</f>
        <v>0</v>
      </c>
      <c r="D330" s="415">
        <f>F!E10</f>
        <v>0</v>
      </c>
      <c r="E330" s="270">
        <f>F!F10</f>
        <v>0</v>
      </c>
      <c r="F330" s="270">
        <f>F!H10</f>
        <v>0</v>
      </c>
      <c r="G330" s="270">
        <f>F!I10</f>
        <v>0</v>
      </c>
      <c r="H330" s="266">
        <f>F!J10</f>
        <v>0</v>
      </c>
      <c r="I330" s="266">
        <f>F!K10</f>
        <v>0</v>
      </c>
      <c r="J330" s="266">
        <f>F!L10</f>
        <v>0</v>
      </c>
      <c r="K330" s="266">
        <f>F!M10</f>
        <v>0</v>
      </c>
      <c r="L330" s="266">
        <f>F!N10</f>
        <v>0</v>
      </c>
      <c r="M330" s="266">
        <f>F!O10</f>
        <v>0</v>
      </c>
      <c r="N330" s="266">
        <f>F!P10</f>
        <v>0</v>
      </c>
      <c r="O330" s="270">
        <f>F!T10</f>
        <v>0</v>
      </c>
      <c r="P330" s="93"/>
      <c r="Q330" s="2"/>
      <c r="R330" s="2"/>
      <c r="S330" s="2"/>
      <c r="T330" s="2"/>
      <c r="U330" s="2"/>
    </row>
    <row r="331" spans="1:21" ht="12.75">
      <c r="A331" s="31">
        <f t="shared" si="14"/>
        <v>2705</v>
      </c>
      <c r="B331" s="414">
        <f>F!B11</f>
        <v>0</v>
      </c>
      <c r="C331" s="136">
        <f>F!D11</f>
        <v>0</v>
      </c>
      <c r="D331" s="415">
        <f>F!E11</f>
        <v>0</v>
      </c>
      <c r="E331" s="270">
        <f>F!F11</f>
        <v>0</v>
      </c>
      <c r="F331" s="270">
        <f>F!H11</f>
        <v>0</v>
      </c>
      <c r="G331" s="270">
        <f>F!I11</f>
        <v>0</v>
      </c>
      <c r="H331" s="266">
        <f>F!J11</f>
        <v>0</v>
      </c>
      <c r="I331" s="266">
        <f>F!K11</f>
        <v>0</v>
      </c>
      <c r="J331" s="266">
        <f>F!L11</f>
        <v>0</v>
      </c>
      <c r="K331" s="266">
        <f>F!M11</f>
        <v>0</v>
      </c>
      <c r="L331" s="266">
        <f>F!N11</f>
        <v>0</v>
      </c>
      <c r="M331" s="266">
        <f>F!O11</f>
        <v>0</v>
      </c>
      <c r="N331" s="266">
        <f>F!P11</f>
        <v>0</v>
      </c>
      <c r="O331" s="270">
        <f>F!T11</f>
        <v>0</v>
      </c>
      <c r="P331" s="93"/>
      <c r="Q331" s="2"/>
      <c r="R331" s="2"/>
      <c r="S331" s="2"/>
      <c r="T331" s="2"/>
      <c r="U331" s="2"/>
    </row>
    <row r="332" spans="1:21" ht="12.75">
      <c r="A332" s="31">
        <f t="shared" si="14"/>
        <v>2706</v>
      </c>
      <c r="B332" s="414">
        <f>F!B12</f>
        <v>0</v>
      </c>
      <c r="C332" s="136">
        <f>F!D12</f>
        <v>0</v>
      </c>
      <c r="D332" s="415">
        <f>F!E12</f>
        <v>0</v>
      </c>
      <c r="E332" s="270">
        <f>F!F12</f>
        <v>0</v>
      </c>
      <c r="F332" s="270">
        <f>F!H12</f>
        <v>0</v>
      </c>
      <c r="G332" s="270">
        <f>F!I12</f>
        <v>0</v>
      </c>
      <c r="H332" s="266">
        <f>F!J12</f>
        <v>0</v>
      </c>
      <c r="I332" s="266">
        <f>F!K12</f>
        <v>0</v>
      </c>
      <c r="J332" s="266">
        <f>F!L12</f>
        <v>0</v>
      </c>
      <c r="K332" s="266">
        <f>F!M12</f>
        <v>0</v>
      </c>
      <c r="L332" s="266">
        <f>F!N12</f>
        <v>0</v>
      </c>
      <c r="M332" s="266">
        <f>F!O12</f>
        <v>0</v>
      </c>
      <c r="N332" s="266">
        <f>F!P12</f>
        <v>0</v>
      </c>
      <c r="O332" s="270">
        <f>F!T12</f>
        <v>0</v>
      </c>
      <c r="P332" s="93"/>
      <c r="Q332" s="2"/>
      <c r="R332" s="2"/>
      <c r="S332" s="2"/>
      <c r="T332" s="2"/>
      <c r="U332" s="2"/>
    </row>
    <row r="333" spans="1:21" ht="12.75">
      <c r="A333" s="31">
        <f t="shared" si="14"/>
        <v>2707</v>
      </c>
      <c r="B333" s="414">
        <f>F!B13</f>
        <v>0</v>
      </c>
      <c r="C333" s="136">
        <f>F!D13</f>
        <v>0</v>
      </c>
      <c r="D333" s="415">
        <f>F!E13</f>
        <v>0</v>
      </c>
      <c r="E333" s="270">
        <f>F!F13</f>
        <v>0</v>
      </c>
      <c r="F333" s="270">
        <f>F!H13</f>
        <v>0</v>
      </c>
      <c r="G333" s="270">
        <f>F!I13</f>
        <v>0</v>
      </c>
      <c r="H333" s="266">
        <f>F!J13</f>
        <v>0</v>
      </c>
      <c r="I333" s="266">
        <f>F!K13</f>
        <v>0</v>
      </c>
      <c r="J333" s="266">
        <f>F!L13</f>
        <v>0</v>
      </c>
      <c r="K333" s="266">
        <f>F!M13</f>
        <v>0</v>
      </c>
      <c r="L333" s="266">
        <f>F!N13</f>
        <v>0</v>
      </c>
      <c r="M333" s="266">
        <f>F!O13</f>
        <v>0</v>
      </c>
      <c r="N333" s="266">
        <f>F!P13</f>
        <v>0</v>
      </c>
      <c r="O333" s="270">
        <f>F!T13</f>
        <v>0</v>
      </c>
      <c r="P333" s="93"/>
      <c r="Q333" s="2"/>
      <c r="R333" s="2"/>
      <c r="S333" s="2"/>
      <c r="T333" s="2"/>
      <c r="U333" s="2"/>
    </row>
    <row r="334" spans="1:21" ht="12.75">
      <c r="A334" s="31">
        <f t="shared" si="14"/>
        <v>2708</v>
      </c>
      <c r="B334" s="414">
        <f>F!B14</f>
        <v>0</v>
      </c>
      <c r="C334" s="136">
        <f>F!D14</f>
        <v>0</v>
      </c>
      <c r="D334" s="415">
        <f>F!E14</f>
        <v>0</v>
      </c>
      <c r="E334" s="270">
        <f>F!F14</f>
        <v>0</v>
      </c>
      <c r="F334" s="270">
        <f>F!H14</f>
        <v>0</v>
      </c>
      <c r="G334" s="270">
        <f>F!I14</f>
        <v>0</v>
      </c>
      <c r="H334" s="266">
        <f>F!J14</f>
        <v>0</v>
      </c>
      <c r="I334" s="266">
        <f>F!K14</f>
        <v>0</v>
      </c>
      <c r="J334" s="266">
        <f>F!L14</f>
        <v>0</v>
      </c>
      <c r="K334" s="266">
        <f>F!M14</f>
        <v>0</v>
      </c>
      <c r="L334" s="266">
        <f>F!N14</f>
        <v>0</v>
      </c>
      <c r="M334" s="266">
        <f>F!O14</f>
        <v>0</v>
      </c>
      <c r="N334" s="266">
        <f>F!P14</f>
        <v>0</v>
      </c>
      <c r="O334" s="270">
        <f>F!T14</f>
        <v>0</v>
      </c>
      <c r="P334" s="93"/>
      <c r="Q334" s="2"/>
      <c r="R334" s="2"/>
      <c r="S334" s="2"/>
      <c r="T334" s="2"/>
      <c r="U334" s="2"/>
    </row>
    <row r="335" spans="1:21" ht="12.75">
      <c r="A335" s="31">
        <f t="shared" si="14"/>
        <v>2709</v>
      </c>
      <c r="B335" s="414">
        <f>F!B15</f>
        <v>0</v>
      </c>
      <c r="C335" s="136">
        <f>F!D15</f>
        <v>0</v>
      </c>
      <c r="D335" s="415">
        <f>F!E15</f>
        <v>0</v>
      </c>
      <c r="E335" s="270">
        <f>F!F15</f>
        <v>0</v>
      </c>
      <c r="F335" s="270">
        <f>F!H15</f>
        <v>0</v>
      </c>
      <c r="G335" s="270">
        <f>F!I15</f>
        <v>0</v>
      </c>
      <c r="H335" s="266">
        <f>F!J15</f>
        <v>0</v>
      </c>
      <c r="I335" s="266">
        <f>F!K15</f>
        <v>0</v>
      </c>
      <c r="J335" s="266">
        <f>F!L15</f>
        <v>0</v>
      </c>
      <c r="K335" s="266">
        <f>F!M15</f>
        <v>0</v>
      </c>
      <c r="L335" s="266">
        <f>F!N15</f>
        <v>0</v>
      </c>
      <c r="M335" s="266">
        <f>F!O15</f>
        <v>0</v>
      </c>
      <c r="N335" s="266">
        <f>F!P15</f>
        <v>0</v>
      </c>
      <c r="O335" s="270">
        <f>F!T15</f>
        <v>0</v>
      </c>
      <c r="P335" s="93"/>
      <c r="Q335" s="2"/>
      <c r="R335" s="2"/>
      <c r="S335" s="2"/>
      <c r="T335" s="2"/>
      <c r="U335" s="2"/>
    </row>
    <row r="336" spans="1:21" ht="12.75">
      <c r="A336" s="31">
        <f t="shared" si="14"/>
        <v>2710</v>
      </c>
      <c r="B336" s="414">
        <f>F!B16</f>
        <v>0</v>
      </c>
      <c r="C336" s="136">
        <f>F!D16</f>
        <v>0</v>
      </c>
      <c r="D336" s="415">
        <f>F!E16</f>
        <v>0</v>
      </c>
      <c r="E336" s="270">
        <f>F!F16</f>
        <v>0</v>
      </c>
      <c r="F336" s="270">
        <f>F!H16</f>
        <v>0</v>
      </c>
      <c r="G336" s="270">
        <f>F!I16</f>
        <v>0</v>
      </c>
      <c r="H336" s="266">
        <f>F!J16</f>
        <v>0</v>
      </c>
      <c r="I336" s="266">
        <f>F!K16</f>
        <v>0</v>
      </c>
      <c r="J336" s="266">
        <f>F!L16</f>
        <v>0</v>
      </c>
      <c r="K336" s="266">
        <f>F!M16</f>
        <v>0</v>
      </c>
      <c r="L336" s="266">
        <f>F!N16</f>
        <v>0</v>
      </c>
      <c r="M336" s="266">
        <f>F!O16</f>
        <v>0</v>
      </c>
      <c r="N336" s="266">
        <f>F!P16</f>
        <v>0</v>
      </c>
      <c r="O336" s="270">
        <f>F!T16</f>
        <v>0</v>
      </c>
      <c r="P336" s="93"/>
      <c r="Q336" s="2"/>
      <c r="R336" s="2"/>
      <c r="S336" s="2"/>
      <c r="T336" s="2"/>
      <c r="U336" s="2"/>
    </row>
    <row r="337" spans="1:21" ht="12.75">
      <c r="A337" s="31">
        <f t="shared" si="14"/>
        <v>2711</v>
      </c>
      <c r="B337" s="414">
        <f>F!B27</f>
        <v>0</v>
      </c>
      <c r="C337" s="136">
        <f>F!D27</f>
        <v>0</v>
      </c>
      <c r="D337" s="415">
        <f>F!E27</f>
        <v>0</v>
      </c>
      <c r="E337" s="270">
        <f>F!F27</f>
        <v>0</v>
      </c>
      <c r="F337" s="270">
        <f>F!H27</f>
        <v>0</v>
      </c>
      <c r="G337" s="270">
        <f>F!I27</f>
        <v>0</v>
      </c>
      <c r="H337" s="266">
        <f>F!J27</f>
        <v>0</v>
      </c>
      <c r="I337" s="266">
        <f>F!K27</f>
        <v>0</v>
      </c>
      <c r="J337" s="266">
        <f>F!L27</f>
        <v>0</v>
      </c>
      <c r="K337" s="266">
        <f>F!M27</f>
        <v>0</v>
      </c>
      <c r="L337" s="266">
        <f>F!N27</f>
        <v>0</v>
      </c>
      <c r="M337" s="266">
        <f>F!O27</f>
        <v>0</v>
      </c>
      <c r="N337" s="266">
        <f>F!P27</f>
        <v>0</v>
      </c>
      <c r="O337" s="270">
        <f>F!T27</f>
        <v>0</v>
      </c>
      <c r="P337" s="93"/>
      <c r="Q337" s="2"/>
      <c r="R337" s="2"/>
      <c r="S337" s="2"/>
      <c r="T337" s="2"/>
      <c r="U337" s="2"/>
    </row>
    <row r="338" spans="1:21" ht="12.75">
      <c r="A338" s="31">
        <f t="shared" si="14"/>
        <v>2712</v>
      </c>
      <c r="B338" s="414">
        <f>F!B28</f>
        <v>0</v>
      </c>
      <c r="C338" s="136">
        <f>F!D28</f>
        <v>0</v>
      </c>
      <c r="D338" s="415">
        <f>F!E28</f>
        <v>0</v>
      </c>
      <c r="E338" s="270">
        <f>F!F28</f>
        <v>0</v>
      </c>
      <c r="F338" s="270">
        <f>F!H28</f>
        <v>0</v>
      </c>
      <c r="G338" s="270">
        <f>F!I28</f>
        <v>0</v>
      </c>
      <c r="H338" s="266">
        <f>F!J28</f>
        <v>0</v>
      </c>
      <c r="I338" s="266">
        <f>F!K28</f>
        <v>0</v>
      </c>
      <c r="J338" s="266">
        <f>F!L28</f>
        <v>0</v>
      </c>
      <c r="K338" s="266">
        <f>F!M28</f>
        <v>0</v>
      </c>
      <c r="L338" s="266">
        <f>F!N28</f>
        <v>0</v>
      </c>
      <c r="M338" s="266">
        <f>F!O28</f>
        <v>0</v>
      </c>
      <c r="N338" s="266">
        <f>F!P28</f>
        <v>0</v>
      </c>
      <c r="O338" s="270">
        <f>F!T28</f>
        <v>0</v>
      </c>
      <c r="P338" s="93"/>
      <c r="Q338" s="2"/>
      <c r="R338" s="2"/>
      <c r="S338" s="2"/>
      <c r="T338" s="2"/>
      <c r="U338" s="2"/>
    </row>
    <row r="339" spans="1:21" ht="12.75">
      <c r="A339" s="31">
        <f t="shared" si="14"/>
        <v>2713</v>
      </c>
      <c r="B339" s="414">
        <f>F!B32</f>
        <v>0</v>
      </c>
      <c r="C339" s="136">
        <f>F!D32</f>
        <v>0</v>
      </c>
      <c r="D339" s="415">
        <f>F!E32</f>
        <v>0</v>
      </c>
      <c r="E339" s="270">
        <f>F!F32</f>
        <v>0</v>
      </c>
      <c r="F339" s="270">
        <f>F!H32</f>
        <v>0</v>
      </c>
      <c r="G339" s="270">
        <f>F!I32</f>
        <v>0</v>
      </c>
      <c r="H339" s="266">
        <f>F!J32</f>
        <v>0</v>
      </c>
      <c r="I339" s="266">
        <f>F!K32</f>
        <v>0</v>
      </c>
      <c r="J339" s="266">
        <f>F!L32</f>
        <v>0</v>
      </c>
      <c r="K339" s="266">
        <f>F!M32</f>
        <v>0</v>
      </c>
      <c r="L339" s="266">
        <f>F!N32</f>
        <v>0</v>
      </c>
      <c r="M339" s="266">
        <f>F!O32</f>
        <v>0</v>
      </c>
      <c r="N339" s="266">
        <f>F!P32</f>
        <v>0</v>
      </c>
      <c r="O339" s="270">
        <f>F!T32</f>
        <v>0</v>
      </c>
      <c r="P339" s="93"/>
      <c r="Q339" s="2"/>
      <c r="R339" s="2"/>
      <c r="S339" s="2"/>
      <c r="T339" s="2"/>
      <c r="U339" s="2"/>
    </row>
    <row r="340" spans="1:21" ht="12.75">
      <c r="A340" s="31">
        <f t="shared" si="14"/>
        <v>2714</v>
      </c>
      <c r="B340" s="414">
        <f>F!B33</f>
        <v>0</v>
      </c>
      <c r="C340" s="136">
        <f>F!D33</f>
        <v>0</v>
      </c>
      <c r="D340" s="415">
        <f>F!E33</f>
        <v>0</v>
      </c>
      <c r="E340" s="270">
        <f>F!F33</f>
        <v>0</v>
      </c>
      <c r="F340" s="270">
        <f>F!H33</f>
        <v>0</v>
      </c>
      <c r="G340" s="270">
        <f>F!I33</f>
        <v>0</v>
      </c>
      <c r="H340" s="266">
        <f>F!J33</f>
        <v>0</v>
      </c>
      <c r="I340" s="266">
        <f>F!K33</f>
        <v>0</v>
      </c>
      <c r="J340" s="266">
        <f>F!L33</f>
        <v>0</v>
      </c>
      <c r="K340" s="266">
        <f>F!M33</f>
        <v>0</v>
      </c>
      <c r="L340" s="266">
        <f>F!N33</f>
        <v>0</v>
      </c>
      <c r="M340" s="266">
        <f>F!O33</f>
        <v>0</v>
      </c>
      <c r="N340" s="266">
        <f>F!P33</f>
        <v>0</v>
      </c>
      <c r="O340" s="270">
        <f>F!T33</f>
        <v>0</v>
      </c>
      <c r="P340" s="93"/>
      <c r="Q340" s="2"/>
      <c r="R340" s="2"/>
      <c r="S340" s="2"/>
      <c r="T340" s="2"/>
      <c r="U340" s="2"/>
    </row>
    <row r="341" spans="1:21" ht="12.75">
      <c r="A341" s="31">
        <f t="shared" si="14"/>
        <v>2715</v>
      </c>
      <c r="B341" s="414" t="e">
        <f>F!#REF!</f>
        <v>#REF!</v>
      </c>
      <c r="C341" s="136" t="e">
        <f>F!#REF!</f>
        <v>#REF!</v>
      </c>
      <c r="D341" s="415" t="e">
        <f>F!#REF!</f>
        <v>#REF!</v>
      </c>
      <c r="E341" s="270" t="e">
        <f>F!#REF!</f>
        <v>#REF!</v>
      </c>
      <c r="F341" s="270" t="e">
        <f>F!#REF!</f>
        <v>#REF!</v>
      </c>
      <c r="G341" s="270" t="e">
        <f>F!#REF!</f>
        <v>#REF!</v>
      </c>
      <c r="H341" s="266" t="e">
        <f>F!#REF!</f>
        <v>#REF!</v>
      </c>
      <c r="I341" s="266" t="e">
        <f>F!#REF!</f>
        <v>#REF!</v>
      </c>
      <c r="J341" s="266" t="e">
        <f>F!#REF!</f>
        <v>#REF!</v>
      </c>
      <c r="K341" s="266" t="e">
        <f>F!#REF!</f>
        <v>#REF!</v>
      </c>
      <c r="L341" s="266" t="e">
        <f>F!#REF!</f>
        <v>#REF!</v>
      </c>
      <c r="M341" s="266" t="e">
        <f>F!#REF!</f>
        <v>#REF!</v>
      </c>
      <c r="N341" s="266" t="e">
        <f>F!#REF!</f>
        <v>#REF!</v>
      </c>
      <c r="O341" s="270" t="e">
        <f>F!#REF!</f>
        <v>#REF!</v>
      </c>
      <c r="P341" s="93"/>
      <c r="Q341" s="2"/>
      <c r="R341" s="2"/>
      <c r="S341" s="2"/>
      <c r="T341" s="2"/>
      <c r="U341" s="2"/>
    </row>
    <row r="342" spans="1:21" ht="12.75">
      <c r="A342" s="31">
        <f t="shared" si="14"/>
        <v>2716</v>
      </c>
      <c r="B342" s="414" t="e">
        <f>F!#REF!</f>
        <v>#REF!</v>
      </c>
      <c r="C342" s="136" t="e">
        <f>F!#REF!</f>
        <v>#REF!</v>
      </c>
      <c r="D342" s="415" t="e">
        <f>F!#REF!</f>
        <v>#REF!</v>
      </c>
      <c r="E342" s="270" t="e">
        <f>F!#REF!</f>
        <v>#REF!</v>
      </c>
      <c r="F342" s="270" t="e">
        <f>F!#REF!</f>
        <v>#REF!</v>
      </c>
      <c r="G342" s="270" t="e">
        <f>F!#REF!</f>
        <v>#REF!</v>
      </c>
      <c r="H342" s="266" t="e">
        <f>F!#REF!</f>
        <v>#REF!</v>
      </c>
      <c r="I342" s="266" t="e">
        <f>F!#REF!</f>
        <v>#REF!</v>
      </c>
      <c r="J342" s="266" t="e">
        <f>F!#REF!</f>
        <v>#REF!</v>
      </c>
      <c r="K342" s="266" t="e">
        <f>F!#REF!</f>
        <v>#REF!</v>
      </c>
      <c r="L342" s="266" t="e">
        <f>F!#REF!</f>
        <v>#REF!</v>
      </c>
      <c r="M342" s="266" t="e">
        <f>F!#REF!</f>
        <v>#REF!</v>
      </c>
      <c r="N342" s="266" t="e">
        <f>F!#REF!</f>
        <v>#REF!</v>
      </c>
      <c r="O342" s="270" t="e">
        <f>F!#REF!</f>
        <v>#REF!</v>
      </c>
      <c r="P342" s="93"/>
      <c r="Q342" s="2"/>
      <c r="R342" s="2"/>
      <c r="S342" s="2"/>
      <c r="T342" s="2"/>
      <c r="U342" s="2"/>
    </row>
    <row r="343" spans="1:21" ht="12.75">
      <c r="A343" s="31">
        <f t="shared" si="14"/>
        <v>2717</v>
      </c>
      <c r="B343" s="414">
        <f>F!B34</f>
        <v>0</v>
      </c>
      <c r="C343" s="136">
        <f>F!D34</f>
        <v>0</v>
      </c>
      <c r="D343" s="415">
        <f>F!E34</f>
        <v>0</v>
      </c>
      <c r="E343" s="270">
        <f>F!F34</f>
        <v>0</v>
      </c>
      <c r="F343" s="270">
        <f>F!H34</f>
        <v>0</v>
      </c>
      <c r="G343" s="270">
        <f>F!I34</f>
        <v>0</v>
      </c>
      <c r="H343" s="266">
        <f>F!J34</f>
        <v>0</v>
      </c>
      <c r="I343" s="266">
        <f>F!K34</f>
        <v>0</v>
      </c>
      <c r="J343" s="266">
        <f>F!L34</f>
        <v>0</v>
      </c>
      <c r="K343" s="266">
        <f>F!M34</f>
        <v>0</v>
      </c>
      <c r="L343" s="266">
        <f>F!N34</f>
        <v>0</v>
      </c>
      <c r="M343" s="266">
        <f>F!O34</f>
        <v>0</v>
      </c>
      <c r="N343" s="266">
        <f>F!P34</f>
        <v>0</v>
      </c>
      <c r="O343" s="270">
        <f>F!T34</f>
        <v>0</v>
      </c>
      <c r="P343" s="93"/>
      <c r="Q343" s="2"/>
      <c r="R343" s="2"/>
      <c r="S343" s="2"/>
      <c r="T343" s="2"/>
      <c r="U343" s="2"/>
    </row>
    <row r="344" spans="1:21" ht="12.75">
      <c r="A344" s="31">
        <f t="shared" si="14"/>
        <v>2718</v>
      </c>
      <c r="B344" s="414" t="e">
        <f>F!#REF!</f>
        <v>#REF!</v>
      </c>
      <c r="C344" s="136" t="e">
        <f>F!#REF!</f>
        <v>#REF!</v>
      </c>
      <c r="D344" s="415" t="e">
        <f>F!#REF!</f>
        <v>#REF!</v>
      </c>
      <c r="E344" s="270" t="e">
        <f>F!#REF!</f>
        <v>#REF!</v>
      </c>
      <c r="F344" s="270" t="e">
        <f>F!#REF!</f>
        <v>#REF!</v>
      </c>
      <c r="G344" s="270" t="e">
        <f>F!#REF!</f>
        <v>#REF!</v>
      </c>
      <c r="H344" s="266" t="e">
        <f>F!#REF!</f>
        <v>#REF!</v>
      </c>
      <c r="I344" s="266" t="e">
        <f>F!#REF!</f>
        <v>#REF!</v>
      </c>
      <c r="J344" s="266" t="e">
        <f>F!#REF!</f>
        <v>#REF!</v>
      </c>
      <c r="K344" s="266" t="e">
        <f>F!#REF!</f>
        <v>#REF!</v>
      </c>
      <c r="L344" s="266" t="e">
        <f>F!#REF!</f>
        <v>#REF!</v>
      </c>
      <c r="M344" s="266" t="e">
        <f>F!#REF!</f>
        <v>#REF!</v>
      </c>
      <c r="N344" s="266" t="e">
        <f>F!#REF!</f>
        <v>#REF!</v>
      </c>
      <c r="O344" s="270" t="e">
        <f>F!#REF!</f>
        <v>#REF!</v>
      </c>
      <c r="P344" s="93"/>
      <c r="Q344" s="2"/>
      <c r="R344" s="2"/>
      <c r="S344" s="2"/>
      <c r="T344" s="2"/>
      <c r="U344" s="2"/>
    </row>
    <row r="345" spans="1:21" ht="12.75">
      <c r="A345" s="31">
        <f t="shared" si="14"/>
        <v>2719</v>
      </c>
      <c r="B345" s="414" t="e">
        <f>F!#REF!</f>
        <v>#REF!</v>
      </c>
      <c r="C345" s="136" t="e">
        <f>F!#REF!</f>
        <v>#REF!</v>
      </c>
      <c r="D345" s="415" t="e">
        <f>F!#REF!</f>
        <v>#REF!</v>
      </c>
      <c r="E345" s="270" t="e">
        <f>F!#REF!</f>
        <v>#REF!</v>
      </c>
      <c r="F345" s="270" t="e">
        <f>F!#REF!</f>
        <v>#REF!</v>
      </c>
      <c r="G345" s="270" t="e">
        <f>F!#REF!</f>
        <v>#REF!</v>
      </c>
      <c r="H345" s="266" t="e">
        <f>F!#REF!</f>
        <v>#REF!</v>
      </c>
      <c r="I345" s="266" t="e">
        <f>F!#REF!</f>
        <v>#REF!</v>
      </c>
      <c r="J345" s="266" t="e">
        <f>F!#REF!</f>
        <v>#REF!</v>
      </c>
      <c r="K345" s="266" t="e">
        <f>F!#REF!</f>
        <v>#REF!</v>
      </c>
      <c r="L345" s="266" t="e">
        <f>F!#REF!</f>
        <v>#REF!</v>
      </c>
      <c r="M345" s="266" t="e">
        <f>F!#REF!</f>
        <v>#REF!</v>
      </c>
      <c r="N345" s="266" t="e">
        <f>F!#REF!</f>
        <v>#REF!</v>
      </c>
      <c r="O345" s="270" t="e">
        <f>F!#REF!</f>
        <v>#REF!</v>
      </c>
      <c r="P345" s="93"/>
      <c r="Q345" s="2"/>
      <c r="R345" s="2"/>
      <c r="S345" s="2"/>
      <c r="T345" s="2"/>
      <c r="U345" s="2"/>
    </row>
    <row r="346" spans="1:21" ht="12.75">
      <c r="A346" s="31">
        <f t="shared" si="14"/>
        <v>2720</v>
      </c>
      <c r="B346" s="414" t="str">
        <f>F!B35</f>
        <v>Vrije regel voor annuïteitenleningen conform separate specificatie</v>
      </c>
      <c r="C346" s="136">
        <f>F!D35</f>
        <v>0</v>
      </c>
      <c r="D346" s="415">
        <f>F!E35</f>
        <v>0</v>
      </c>
      <c r="E346" s="270">
        <f>F!F35</f>
        <v>0</v>
      </c>
      <c r="F346" s="270">
        <f>F!H35</f>
        <v>0</v>
      </c>
      <c r="G346" s="270">
        <f>F!I35</f>
        <v>0</v>
      </c>
      <c r="H346" s="266">
        <f>F!J35</f>
        <v>0</v>
      </c>
      <c r="I346" s="266">
        <f>F!K35</f>
        <v>0</v>
      </c>
      <c r="J346" s="266">
        <f>F!L35</f>
        <v>0</v>
      </c>
      <c r="K346" s="266">
        <f>F!M35</f>
        <v>0</v>
      </c>
      <c r="L346" s="266">
        <f>F!N35</f>
        <v>0</v>
      </c>
      <c r="M346" s="266">
        <f>F!O35</f>
        <v>0</v>
      </c>
      <c r="N346" s="266">
        <f>F!P35</f>
        <v>0</v>
      </c>
      <c r="O346" s="270">
        <f>F!T35</f>
        <v>0</v>
      </c>
      <c r="P346" s="93"/>
      <c r="Q346" s="2"/>
      <c r="R346" s="2"/>
      <c r="S346" s="2"/>
      <c r="T346" s="2"/>
      <c r="U346" s="2"/>
    </row>
    <row r="347" spans="1:21" ht="12.75">
      <c r="A347" s="37">
        <f t="shared" si="14"/>
        <v>2721</v>
      </c>
      <c r="B347" s="289"/>
      <c r="C347" s="60"/>
      <c r="D347" s="61"/>
      <c r="E347" s="292"/>
      <c r="F347" s="292"/>
      <c r="G347" s="292"/>
      <c r="H347" s="416"/>
      <c r="I347" s="416"/>
      <c r="J347" s="417"/>
      <c r="K347" s="417"/>
      <c r="L347" s="417"/>
      <c r="M347" s="417"/>
      <c r="N347" s="417"/>
      <c r="O347" s="292"/>
      <c r="P347" s="93"/>
      <c r="Q347" s="2"/>
      <c r="R347" s="2"/>
      <c r="S347" s="2"/>
      <c r="T347" s="2"/>
      <c r="U347" s="2"/>
    </row>
    <row r="348" spans="1:21" ht="12.75">
      <c r="A348" s="32">
        <f t="shared" si="14"/>
        <v>2722</v>
      </c>
      <c r="B348" s="288"/>
      <c r="C348" s="170"/>
      <c r="D348" s="170"/>
      <c r="E348" s="170"/>
      <c r="F348" s="170"/>
      <c r="G348" s="170"/>
      <c r="H348" s="170"/>
      <c r="I348" s="170"/>
      <c r="J348" s="170"/>
      <c r="K348" s="170"/>
      <c r="L348" s="170"/>
      <c r="M348" s="170"/>
      <c r="N348" s="170"/>
      <c r="O348" s="90"/>
      <c r="P348" s="93"/>
      <c r="Q348" s="2"/>
      <c r="R348" s="2"/>
      <c r="S348" s="2"/>
      <c r="T348" s="2"/>
      <c r="U348" s="2"/>
    </row>
    <row r="349" spans="1:21" ht="12.75">
      <c r="A349" s="35">
        <f t="shared" si="14"/>
        <v>2723</v>
      </c>
      <c r="B349" s="290"/>
      <c r="C349" s="171"/>
      <c r="D349" s="172"/>
      <c r="E349" s="172"/>
      <c r="F349" s="172"/>
      <c r="G349" s="172"/>
      <c r="H349" s="172"/>
      <c r="I349" s="172"/>
      <c r="J349" s="172"/>
      <c r="K349" s="172"/>
      <c r="L349" s="172"/>
      <c r="M349" s="172"/>
      <c r="N349" s="172"/>
      <c r="O349" s="42"/>
      <c r="P349" s="93"/>
      <c r="Q349" s="2"/>
      <c r="R349" s="2"/>
      <c r="S349" s="2"/>
      <c r="T349" s="2"/>
      <c r="U349" s="2"/>
    </row>
    <row r="350" spans="1:21" ht="12.75">
      <c r="A350" s="37">
        <f t="shared" si="14"/>
        <v>2724</v>
      </c>
      <c r="B350" s="289"/>
      <c r="C350" s="173"/>
      <c r="D350" s="173"/>
      <c r="E350" s="173"/>
      <c r="F350" s="173"/>
      <c r="G350" s="173"/>
      <c r="H350" s="173"/>
      <c r="I350" s="173"/>
      <c r="J350" s="173"/>
      <c r="K350" s="173"/>
      <c r="L350" s="173"/>
      <c r="M350" s="173"/>
      <c r="N350" s="173"/>
      <c r="O350" s="47"/>
      <c r="P350" s="93"/>
      <c r="Q350" s="2"/>
      <c r="R350" s="2"/>
      <c r="S350" s="2"/>
      <c r="T350" s="2"/>
      <c r="U350" s="2"/>
    </row>
    <row r="351" spans="3:17" ht="12.75">
      <c r="C351" s="3"/>
      <c r="D351" s="2"/>
      <c r="G351" s="2"/>
      <c r="H351" s="2"/>
      <c r="J351" s="2"/>
      <c r="O351" s="2"/>
      <c r="P351" s="2"/>
      <c r="Q351" s="2"/>
    </row>
    <row r="352" spans="3:17" ht="12.75">
      <c r="C352" s="3"/>
      <c r="D352" s="2"/>
      <c r="G352" s="2"/>
      <c r="H352" s="2"/>
      <c r="J352" s="2"/>
      <c r="O352" s="2"/>
      <c r="P352" s="2"/>
      <c r="Q352" s="2"/>
    </row>
    <row r="353" spans="1:5" ht="12.75">
      <c r="A353" s="21"/>
      <c r="B353" s="222"/>
      <c r="C353" s="223" t="e">
        <f>CONCATENATE("31-12-",#REF!-1," ")</f>
        <v>#REF!</v>
      </c>
      <c r="D353" s="223" t="e">
        <f>CONCATENATE("31-12-",#REF!," ")</f>
        <v>#REF!</v>
      </c>
      <c r="E353" s="223" t="e">
        <f>CONCATENATE("Gemiddeld ",#REF!," ")</f>
        <v>#REF!</v>
      </c>
    </row>
    <row r="354" spans="1:5" ht="12.75">
      <c r="A354" s="26"/>
      <c r="B354" s="42"/>
      <c r="C354" s="175"/>
      <c r="D354" s="42"/>
      <c r="E354" s="42"/>
    </row>
    <row r="355" spans="1:5" ht="12.75">
      <c r="A355" s="41" t="s">
        <v>1013</v>
      </c>
      <c r="B355" s="418" t="s">
        <v>1014</v>
      </c>
      <c r="C355" s="168"/>
      <c r="D355" s="168"/>
      <c r="E355" s="42"/>
    </row>
    <row r="356" spans="1:5" ht="12.75">
      <c r="A356" s="31">
        <f>'G-H'!A7</f>
        <v>2901</v>
      </c>
      <c r="B356" s="176"/>
      <c r="C356" s="270">
        <f>'G-H'!C7</f>
        <v>0</v>
      </c>
      <c r="D356" s="270">
        <f>'G-H'!D7</f>
        <v>0</v>
      </c>
      <c r="E356" s="367"/>
    </row>
    <row r="357" spans="1:5" ht="12.75">
      <c r="A357" s="34">
        <f aca="true" t="shared" si="15" ref="A357:A369">A356+1</f>
        <v>2902</v>
      </c>
      <c r="B357" s="176"/>
      <c r="C357" s="270">
        <f>'G-H'!C8</f>
        <v>0</v>
      </c>
      <c r="D357" s="270">
        <f>'G-H'!D8</f>
        <v>0</v>
      </c>
      <c r="E357" s="367"/>
    </row>
    <row r="358" spans="1:5" ht="12.75">
      <c r="A358" s="34">
        <f t="shared" si="15"/>
        <v>2903</v>
      </c>
      <c r="B358" s="176"/>
      <c r="C358" s="270">
        <f>'G-H'!C9</f>
        <v>0</v>
      </c>
      <c r="D358" s="270">
        <f>'G-H'!D9</f>
        <v>0</v>
      </c>
      <c r="E358" s="367"/>
    </row>
    <row r="359" spans="1:5" ht="12.75">
      <c r="A359" s="34">
        <f t="shared" si="15"/>
        <v>2904</v>
      </c>
      <c r="B359" s="176"/>
      <c r="C359" s="270">
        <f>'G-H'!C10</f>
        <v>0</v>
      </c>
      <c r="D359" s="270">
        <f>'G-H'!D10</f>
        <v>0</v>
      </c>
      <c r="E359" s="367"/>
    </row>
    <row r="360" spans="1:5" ht="12.75">
      <c r="A360" s="34">
        <f t="shared" si="15"/>
        <v>2905</v>
      </c>
      <c r="B360" s="176"/>
      <c r="C360" s="270">
        <f>'G-H'!C11</f>
        <v>0</v>
      </c>
      <c r="D360" s="270">
        <f>'G-H'!D11</f>
        <v>0</v>
      </c>
      <c r="E360" s="367"/>
    </row>
    <row r="361" spans="1:5" ht="12.75">
      <c r="A361" s="34">
        <f t="shared" si="15"/>
        <v>2906</v>
      </c>
      <c r="B361" s="176"/>
      <c r="C361" s="270">
        <f>'G-H'!C12</f>
        <v>0</v>
      </c>
      <c r="D361" s="270">
        <f>'G-H'!D12</f>
        <v>0</v>
      </c>
      <c r="E361" s="367"/>
    </row>
    <row r="362" spans="1:5" ht="12.75">
      <c r="A362" s="34">
        <f t="shared" si="15"/>
        <v>2907</v>
      </c>
      <c r="B362" s="176"/>
      <c r="C362" s="270">
        <f>'G-H'!C13</f>
        <v>0</v>
      </c>
      <c r="D362" s="270">
        <f>'G-H'!D13</f>
        <v>0</v>
      </c>
      <c r="E362" s="367"/>
    </row>
    <row r="363" spans="1:5" ht="12.75">
      <c r="A363" s="34">
        <f t="shared" si="15"/>
        <v>2908</v>
      </c>
      <c r="B363" s="176"/>
      <c r="C363" s="270">
        <f>'G-H'!C14</f>
        <v>0</v>
      </c>
      <c r="D363" s="270">
        <f>'G-H'!D14</f>
        <v>0</v>
      </c>
      <c r="E363" s="367"/>
    </row>
    <row r="364" spans="1:5" ht="12.75">
      <c r="A364" s="34">
        <f t="shared" si="15"/>
        <v>2909</v>
      </c>
      <c r="B364" s="176"/>
      <c r="C364" s="270">
        <f>'G-H'!C15</f>
        <v>0</v>
      </c>
      <c r="D364" s="270">
        <f>'G-H'!D15</f>
        <v>0</v>
      </c>
      <c r="E364" s="367"/>
    </row>
    <row r="365" spans="1:5" ht="12.75">
      <c r="A365" s="34">
        <f t="shared" si="15"/>
        <v>2910</v>
      </c>
      <c r="B365" s="176"/>
      <c r="C365" s="270">
        <f>'G-H'!C16</f>
        <v>0</v>
      </c>
      <c r="D365" s="270">
        <f>'G-H'!D16</f>
        <v>0</v>
      </c>
      <c r="E365" s="367"/>
    </row>
    <row r="366" spans="1:5" ht="12.75">
      <c r="A366" s="34">
        <f t="shared" si="15"/>
        <v>2911</v>
      </c>
      <c r="B366" s="176"/>
      <c r="C366" s="270">
        <f>'G-H'!C17</f>
        <v>0</v>
      </c>
      <c r="D366" s="270">
        <f>'G-H'!D17</f>
        <v>0</v>
      </c>
      <c r="E366" s="367"/>
    </row>
    <row r="367" spans="1:5" ht="12.75">
      <c r="A367" s="34">
        <f t="shared" si="15"/>
        <v>2912</v>
      </c>
      <c r="B367" s="176"/>
      <c r="C367" s="270">
        <f>'G-H'!C18</f>
        <v>0</v>
      </c>
      <c r="D367" s="270">
        <f>'G-H'!D18</f>
        <v>0</v>
      </c>
      <c r="E367" s="367"/>
    </row>
    <row r="368" spans="1:5" ht="12.75">
      <c r="A368" s="35">
        <f t="shared" si="15"/>
        <v>2913</v>
      </c>
      <c r="B368" s="177"/>
      <c r="C368" s="419">
        <f>'G-H'!C21</f>
        <v>0</v>
      </c>
      <c r="D368" s="419">
        <f>'G-H'!D21</f>
        <v>0</v>
      </c>
      <c r="E368" s="420"/>
    </row>
    <row r="369" spans="1:5" ht="12.75">
      <c r="A369" s="37">
        <f t="shared" si="15"/>
        <v>2914</v>
      </c>
      <c r="B369" s="38"/>
      <c r="C369" s="292"/>
      <c r="D369" s="292"/>
      <c r="E369" s="292"/>
    </row>
    <row r="370" spans="1:5" ht="12.75">
      <c r="A370" s="41"/>
      <c r="B370" s="42"/>
      <c r="C370" s="42"/>
      <c r="D370" s="42"/>
      <c r="E370" s="42"/>
    </row>
    <row r="371" spans="1:5" ht="12.75">
      <c r="A371" s="42"/>
      <c r="B371" s="95"/>
      <c r="C371" s="95"/>
      <c r="D371" s="42"/>
      <c r="E371" s="221" t="s">
        <v>974</v>
      </c>
    </row>
    <row r="372" spans="1:5" ht="12.75">
      <c r="A372" s="178"/>
      <c r="B372" s="179"/>
      <c r="C372" s="179"/>
      <c r="D372" s="178"/>
      <c r="E372" s="123"/>
    </row>
    <row r="373" spans="1:5" ht="12.75">
      <c r="A373" s="41" t="s">
        <v>1015</v>
      </c>
      <c r="B373" s="94" t="e">
        <f>CONCATENATE("Rentekosten ten laste van exploitatieresultaat ",#REF!)</f>
        <v>#REF!</v>
      </c>
      <c r="C373" s="95"/>
      <c r="D373" s="42"/>
      <c r="E373" s="42"/>
    </row>
    <row r="374" spans="1:5" ht="12.75">
      <c r="A374" s="31">
        <f>A369+1</f>
        <v>2915</v>
      </c>
      <c r="B374" s="180"/>
      <c r="C374" s="134"/>
      <c r="D374" s="121"/>
      <c r="E374" s="367"/>
    </row>
    <row r="375" spans="1:5" ht="12.75">
      <c r="A375" s="34">
        <f aca="true" t="shared" si="16" ref="A375:A383">A374+1</f>
        <v>2916</v>
      </c>
      <c r="B375" s="181"/>
      <c r="C375" s="134"/>
      <c r="D375" s="121"/>
      <c r="E375" s="270">
        <f>'G-H'!E31</f>
        <v>0</v>
      </c>
    </row>
    <row r="376" spans="1:5" ht="12.75">
      <c r="A376" s="34">
        <f t="shared" si="16"/>
        <v>2917</v>
      </c>
      <c r="B376" s="180"/>
      <c r="C376" s="134"/>
      <c r="D376" s="121"/>
      <c r="E376" s="270">
        <f>'G-H'!E32</f>
        <v>0</v>
      </c>
    </row>
    <row r="377" spans="1:5" ht="12.75">
      <c r="A377" s="35">
        <f t="shared" si="16"/>
        <v>2918</v>
      </c>
      <c r="B377" s="182"/>
      <c r="C377" s="78"/>
      <c r="D377" s="183"/>
      <c r="E377" s="270">
        <f>'G-H'!E33</f>
        <v>0</v>
      </c>
    </row>
    <row r="378" spans="1:5" ht="12.75">
      <c r="A378" s="37">
        <f t="shared" si="16"/>
        <v>2919</v>
      </c>
      <c r="B378" s="38"/>
      <c r="C378" s="60"/>
      <c r="D378" s="60"/>
      <c r="E378" s="263"/>
    </row>
    <row r="379" spans="1:5" ht="12.75">
      <c r="A379" s="34">
        <f t="shared" si="16"/>
        <v>2920</v>
      </c>
      <c r="B379" s="256"/>
      <c r="C379" s="134"/>
      <c r="D379" s="121"/>
      <c r="E379" s="270">
        <f>'G-H'!E37</f>
        <v>0</v>
      </c>
    </row>
    <row r="380" spans="1:5" ht="12.75">
      <c r="A380" s="34">
        <f t="shared" si="16"/>
        <v>2921</v>
      </c>
      <c r="B380" s="257"/>
      <c r="C380" s="134"/>
      <c r="D380" s="121"/>
      <c r="E380" s="270">
        <f>'G-H'!E38</f>
        <v>0</v>
      </c>
    </row>
    <row r="381" spans="1:5" ht="12.75">
      <c r="A381" s="34">
        <f t="shared" si="16"/>
        <v>2922</v>
      </c>
      <c r="B381" s="258"/>
      <c r="C381" s="191"/>
      <c r="D381" s="255"/>
      <c r="E381" s="270">
        <f>'G-H'!E39</f>
        <v>0</v>
      </c>
    </row>
    <row r="382" spans="1:5" ht="12.75">
      <c r="A382" s="34">
        <f t="shared" si="16"/>
        <v>2923</v>
      </c>
      <c r="B382" s="259"/>
      <c r="C382" s="78"/>
      <c r="D382" s="183"/>
      <c r="E382" s="270">
        <f>'G-H'!E40</f>
        <v>0</v>
      </c>
    </row>
    <row r="383" spans="1:5" ht="12.75">
      <c r="A383" s="37">
        <f t="shared" si="16"/>
        <v>2924</v>
      </c>
      <c r="B383" s="421"/>
      <c r="C383" s="60"/>
      <c r="D383" s="60"/>
      <c r="E383" s="263"/>
    </row>
    <row r="384" spans="1:5" ht="12.75">
      <c r="A384" s="41"/>
      <c r="B384" s="42"/>
      <c r="C384" s="42"/>
      <c r="D384" s="42"/>
      <c r="E384" s="42"/>
    </row>
    <row r="385" spans="4:10" ht="12.75">
      <c r="D385" s="2"/>
      <c r="G385" s="2"/>
      <c r="J385" s="2"/>
    </row>
    <row r="386" spans="4:10" ht="12.75">
      <c r="D386" s="2"/>
      <c r="G386" s="2"/>
      <c r="J386" s="2"/>
    </row>
    <row r="387" spans="1:10" ht="12.75">
      <c r="A387" s="64"/>
      <c r="B387" s="366"/>
      <c r="C387" s="118" t="s">
        <v>927</v>
      </c>
      <c r="D387" s="272" t="e">
        <f>CONCATENATE("Rekenstaat ",#REF!," nr. 1 ")</f>
        <v>#REF!</v>
      </c>
      <c r="E387" s="273"/>
      <c r="F387" s="251" t="s">
        <v>1109</v>
      </c>
      <c r="G387" s="245" t="s">
        <v>1108</v>
      </c>
      <c r="J387" s="2"/>
    </row>
    <row r="388" spans="1:7" ht="12.75">
      <c r="A388" s="64"/>
      <c r="B388" s="366"/>
      <c r="C388" s="118" t="s">
        <v>927</v>
      </c>
      <c r="D388" s="422" t="s">
        <v>808</v>
      </c>
      <c r="E388" s="246" t="s">
        <v>850</v>
      </c>
      <c r="F388" s="247" t="e">
        <f>CONCATENATE("jaarrekening ",#REF!," ")</f>
        <v>#REF!</v>
      </c>
      <c r="G388" s="247" t="s">
        <v>1107</v>
      </c>
    </row>
    <row r="389" spans="1:7" ht="12.75">
      <c r="A389" s="83"/>
      <c r="B389" s="325"/>
      <c r="C389" s="156"/>
      <c r="D389" s="162" t="s">
        <v>839</v>
      </c>
      <c r="E389" s="111"/>
      <c r="F389" s="156"/>
      <c r="G389" s="113"/>
    </row>
    <row r="390" spans="1:7" ht="12.75">
      <c r="A390" s="47" t="s">
        <v>1105</v>
      </c>
      <c r="B390" s="14" t="s">
        <v>1106</v>
      </c>
      <c r="C390" s="147"/>
      <c r="D390" s="147"/>
      <c r="E390" s="90"/>
      <c r="F390" s="90"/>
      <c r="G390" s="90"/>
    </row>
    <row r="391" spans="1:7" ht="12.75">
      <c r="A391" s="31" t="e">
        <f>#REF!</f>
        <v>#REF!</v>
      </c>
      <c r="B391" s="357"/>
      <c r="C391" s="375"/>
      <c r="D391" s="141"/>
      <c r="E391" s="270" t="e">
        <f>#REF!</f>
        <v>#REF!</v>
      </c>
      <c r="F391" s="423"/>
      <c r="G391" s="309"/>
    </row>
    <row r="392" spans="1:7" ht="12.75">
      <c r="A392" s="34" t="e">
        <f>A391+1</f>
        <v>#REF!</v>
      </c>
      <c r="B392" s="357"/>
      <c r="C392" s="375"/>
      <c r="D392" s="141"/>
      <c r="E392" s="270" t="e">
        <f>#REF!</f>
        <v>#REF!</v>
      </c>
      <c r="F392" s="423"/>
      <c r="G392" s="309"/>
    </row>
    <row r="393" spans="1:7" ht="12.75">
      <c r="A393" s="34" t="e">
        <f>A392+1</f>
        <v>#REF!</v>
      </c>
      <c r="B393" s="357"/>
      <c r="C393" s="375"/>
      <c r="D393" s="141"/>
      <c r="E393" s="270" t="e">
        <f>#REF!</f>
        <v>#REF!</v>
      </c>
      <c r="F393" s="423"/>
      <c r="G393" s="309"/>
    </row>
    <row r="394" spans="1:7" ht="12.75">
      <c r="A394" s="35" t="e">
        <f>A393+1</f>
        <v>#REF!</v>
      </c>
      <c r="B394" s="357"/>
      <c r="C394" s="375"/>
      <c r="D394" s="141"/>
      <c r="E394" s="270" t="e">
        <f>#REF!</f>
        <v>#REF!</v>
      </c>
      <c r="F394" s="423"/>
      <c r="G394" s="309"/>
    </row>
    <row r="395" spans="1:7" ht="12.75">
      <c r="A395" s="54" t="e">
        <f>A393+1</f>
        <v>#REF!</v>
      </c>
      <c r="B395" s="357"/>
      <c r="C395" s="248"/>
      <c r="D395" s="142"/>
      <c r="E395" s="367" t="e">
        <f>E404</f>
        <v>#REF!</v>
      </c>
      <c r="F395" s="423"/>
      <c r="G395" s="309"/>
    </row>
    <row r="396" spans="1:7" ht="12.75">
      <c r="A396" s="37" t="e">
        <f>A395+1</f>
        <v>#REF!</v>
      </c>
      <c r="B396" s="362"/>
      <c r="C396" s="154"/>
      <c r="D396" s="154"/>
      <c r="E396" s="263" t="e">
        <f>SUM(E391:E395)</f>
        <v>#REF!</v>
      </c>
      <c r="F396" s="345"/>
      <c r="G396" s="345"/>
    </row>
    <row r="397" spans="1:7" ht="12.75">
      <c r="A397" s="71"/>
      <c r="B397" s="228"/>
      <c r="C397" s="250"/>
      <c r="D397" s="250"/>
      <c r="E397" s="424"/>
      <c r="F397" s="425"/>
      <c r="G397" s="309"/>
    </row>
    <row r="398" spans="1:7" ht="12.75">
      <c r="A398" s="31" t="e">
        <f>A394+1</f>
        <v>#REF!</v>
      </c>
      <c r="B398" s="357"/>
      <c r="C398" s="375"/>
      <c r="D398" s="142"/>
      <c r="E398" s="270" t="e">
        <f>#REF!</f>
        <v>#REF!</v>
      </c>
      <c r="F398" s="270" t="e">
        <f>#REF!</f>
        <v>#REF!</v>
      </c>
      <c r="G398" s="426"/>
    </row>
    <row r="399" spans="1:7" ht="12.75">
      <c r="A399" s="34" t="e">
        <f>A398+1</f>
        <v>#REF!</v>
      </c>
      <c r="B399" s="357"/>
      <c r="C399" s="375"/>
      <c r="D399" s="142"/>
      <c r="E399" s="270" t="e">
        <f>#REF!</f>
        <v>#REF!</v>
      </c>
      <c r="F399" s="270" t="e">
        <f>#REF!</f>
        <v>#REF!</v>
      </c>
      <c r="G399" s="426"/>
    </row>
    <row r="400" spans="1:7" ht="12.75">
      <c r="A400" s="34" t="e">
        <f>A399+1</f>
        <v>#REF!</v>
      </c>
      <c r="B400" s="357"/>
      <c r="C400" s="375"/>
      <c r="D400" s="142"/>
      <c r="E400" s="270" t="e">
        <f>#REF!</f>
        <v>#REF!</v>
      </c>
      <c r="F400" s="270" t="e">
        <f>#REF!</f>
        <v>#REF!</v>
      </c>
      <c r="G400" s="426"/>
    </row>
    <row r="401" spans="1:7" ht="12.75">
      <c r="A401" s="34" t="e">
        <f>A400+1</f>
        <v>#REF!</v>
      </c>
      <c r="B401" s="357"/>
      <c r="C401" s="375"/>
      <c r="D401" s="142"/>
      <c r="E401" s="270" t="e">
        <f>#REF!</f>
        <v>#REF!</v>
      </c>
      <c r="F401" s="270" t="e">
        <f>#REF!</f>
        <v>#REF!</v>
      </c>
      <c r="G401" s="426"/>
    </row>
    <row r="402" spans="1:7" ht="12.75">
      <c r="A402" s="34" t="e">
        <f>A401+1</f>
        <v>#REF!</v>
      </c>
      <c r="B402" s="357"/>
      <c r="C402" s="375"/>
      <c r="D402" s="142"/>
      <c r="E402" s="270" t="e">
        <f>#REF!</f>
        <v>#REF!</v>
      </c>
      <c r="F402" s="270" t="e">
        <f>#REF!</f>
        <v>#REF!</v>
      </c>
      <c r="G402" s="426"/>
    </row>
    <row r="403" spans="1:7" ht="12.75">
      <c r="A403" s="35" t="e">
        <f>A401+1</f>
        <v>#REF!</v>
      </c>
      <c r="B403" s="240"/>
      <c r="C403" s="248"/>
      <c r="D403" s="142"/>
      <c r="E403" s="270" t="e">
        <f>#REF!</f>
        <v>#REF!</v>
      </c>
      <c r="F403" s="270" t="e">
        <f>#REF!</f>
        <v>#REF!</v>
      </c>
      <c r="G403" s="426"/>
    </row>
    <row r="404" spans="1:7" ht="12.75">
      <c r="A404" s="37" t="e">
        <f>A403+1</f>
        <v>#REF!</v>
      </c>
      <c r="B404" s="362"/>
      <c r="C404" s="154"/>
      <c r="D404" s="154"/>
      <c r="E404" s="263" t="e">
        <f>SUM(E398:E403)</f>
        <v>#REF!</v>
      </c>
      <c r="F404" s="427"/>
      <c r="G404" s="345">
        <f>SUM(G391:G394)</f>
        <v>0</v>
      </c>
    </row>
    <row r="405" spans="1:7" ht="12.75">
      <c r="A405" s="37" t="e">
        <f>A404+1</f>
        <v>#REF!</v>
      </c>
      <c r="B405" s="357"/>
      <c r="C405" s="375"/>
      <c r="D405" s="254"/>
      <c r="E405" s="367"/>
      <c r="F405" s="428"/>
      <c r="G405" s="367"/>
    </row>
    <row r="406" spans="1:7" ht="12.75">
      <c r="A406" s="71"/>
      <c r="B406" s="191"/>
      <c r="C406" s="249"/>
      <c r="D406" s="253"/>
      <c r="E406" s="429"/>
      <c r="F406" s="423"/>
      <c r="G406" s="309"/>
    </row>
    <row r="407" spans="1:7" ht="12.75">
      <c r="A407" s="31" t="e">
        <f>A404+1</f>
        <v>#REF!</v>
      </c>
      <c r="B407" s="357"/>
      <c r="C407" s="375"/>
      <c r="D407" s="142"/>
      <c r="E407" s="270" t="e">
        <f>#REF!</f>
        <v>#REF!</v>
      </c>
      <c r="F407" s="430" t="e">
        <f>#REF!</f>
        <v>#REF!</v>
      </c>
      <c r="G407" s="367"/>
    </row>
    <row r="408" spans="1:7" ht="12.75">
      <c r="A408" s="37" t="e">
        <f>A404+1</f>
        <v>#REF!</v>
      </c>
      <c r="B408" s="357"/>
      <c r="C408" s="375"/>
      <c r="D408" s="252"/>
      <c r="E408" s="270" t="e">
        <f>#REF!</f>
        <v>#REF!</v>
      </c>
      <c r="F408" s="270" t="e">
        <f>#REF!</f>
        <v>#REF!</v>
      </c>
      <c r="G408" s="431"/>
    </row>
    <row r="409" spans="1:7" ht="12.75">
      <c r="A409" s="274"/>
      <c r="B409" s="275"/>
      <c r="C409" s="275"/>
      <c r="D409" s="275"/>
      <c r="E409" s="275"/>
      <c r="F409" s="275"/>
      <c r="G409" s="275"/>
    </row>
    <row r="410" spans="1:7" ht="12.75">
      <c r="A410" s="275"/>
      <c r="B410" s="275"/>
      <c r="C410" s="275"/>
      <c r="D410" s="275"/>
      <c r="E410" s="275"/>
      <c r="F410" s="275"/>
      <c r="G410" s="275"/>
    </row>
  </sheetData>
  <conditionalFormatting sqref="F9:F34 B9:B15 D47 B16:C16 B35:C37 D43 D45 D55 D52:D53 B20:B24 C9:C14 B28:C31 B129:B148">
    <cfRule type="expression" priority="1" dxfId="0" stopIfTrue="1">
      <formula>$F$2=TRUE</formula>
    </cfRule>
  </conditionalFormatting>
  <conditionalFormatting sqref="D51 D44">
    <cfRule type="expression" priority="2" dxfId="1" stopIfTrue="1">
      <formula>$J$2=TRUE</formula>
    </cfRule>
  </conditionalFormatting>
  <conditionalFormatting sqref="H80:I85 B64:F73 H64:I73 G75:I75 B80:F85 D95 G92:H112 H114 C92:D94 G118:H122 B310:B315 F310:F314 B292:C304 D320 E391:E394 E407:F408 E398:F403">
    <cfRule type="expression" priority="3" dxfId="0" stopIfTrue="1">
      <formula>$E$2=TRUE</formula>
    </cfRule>
  </conditionalFormatting>
  <conditionalFormatting sqref="G64:G73 G80:G85 C97">
    <cfRule type="expression" priority="4" dxfId="1" stopIfTrue="1">
      <formula>$I$2=TRUE</formula>
    </cfRule>
  </conditionalFormatting>
  <conditionalFormatting sqref="B327:O346">
    <cfRule type="expression" priority="5" dxfId="0" stopIfTrue="1">
      <formula>$G$2=TRUE</formula>
    </cfRule>
  </conditionalFormatting>
  <conditionalFormatting sqref="F170:F171 F182 F157:F166 C157:C162 F193 F206 E195 F196 F200:F204 F211 D213 C178:E178 F176:F178 C176:E176">
    <cfRule type="expression" priority="6" dxfId="1" stopIfTrue="1">
      <formula>$E$2=TRUE</formula>
    </cfRule>
  </conditionalFormatting>
  <conditionalFormatting sqref="C163:C166 F181 E164:E165 E168:F168 E379:E382 E159:E162 C245:C259 G262 D247:D258 C268:C282 C284:C285 D268 D283 C356:D368 E375:E377 D292:D304">
    <cfRule type="expression" priority="7" dxfId="0" stopIfTrue="1">
      <formula>$C$2=TRUE</formula>
    </cfRule>
  </conditionalFormatting>
  <conditionalFormatting sqref="E405 C193:C196 C211:C213 D224:D235 E395 G405 G407:G408">
    <cfRule type="expression" priority="8" dxfId="1" stopIfTrue="1">
      <formula>$F$2=TRUE</formula>
    </cfRule>
  </conditionalFormatting>
  <conditionalFormatting sqref="E194 D200:E203 C204:E204 C207:F207 D211:E211 D212 E224:E235 C223:C235 D223">
    <cfRule type="expression" priority="9" dxfId="0" stopIfTrue="1">
      <formula>$D$2=TRUE</formula>
    </cfRule>
  </conditionalFormatting>
  <conditionalFormatting sqref="C310:C315 D319">
    <cfRule type="expression" priority="10" dxfId="1" stopIfTrue="1">
      <formula>$H$2=TRUE</formula>
    </cfRule>
  </conditionalFormatting>
  <conditionalFormatting sqref="E356:E368 E374">
    <cfRule type="expression" priority="11" dxfId="1" stopIfTrue="1">
      <formula>$D$2=TRUE</formula>
    </cfRule>
  </conditionalFormatting>
  <conditionalFormatting sqref="E157">
    <cfRule type="expression" priority="12" dxfId="0" stopIfTrue="1">
      <formula>$C$2=TRUE</formula>
    </cfRule>
  </conditionalFormatting>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Blad18"/>
  <dimension ref="A1:N128"/>
  <sheetViews>
    <sheetView showGridLines="0" zoomScale="86" zoomScaleNormal="86" workbookViewId="0" topLeftCell="A1">
      <selection activeCell="A2" sqref="A2"/>
    </sheetView>
  </sheetViews>
  <sheetFormatPr defaultColWidth="9.140625" defaultRowHeight="12.75"/>
  <cols>
    <col min="1" max="1" width="7.28125" style="467" customWidth="1"/>
    <col min="2" max="2" width="10.421875" style="456" customWidth="1"/>
    <col min="3" max="3" width="11.7109375" style="456" customWidth="1"/>
    <col min="4" max="4" width="17.7109375" style="456" customWidth="1"/>
    <col min="5" max="5" width="13.7109375" style="456" customWidth="1"/>
    <col min="6" max="6" width="12.7109375" style="456" customWidth="1"/>
    <col min="7" max="8" width="7.00390625" style="456" customWidth="1"/>
    <col min="9" max="9" width="13.421875" style="456" customWidth="1"/>
    <col min="10" max="11" width="11.57421875" style="456" bestFit="1" customWidth="1"/>
    <col min="12" max="12" width="12.7109375" style="453" customWidth="1"/>
    <col min="13" max="13" width="6.57421875" style="453" customWidth="1"/>
    <col min="14" max="14" width="10.8515625" style="453" customWidth="1"/>
    <col min="15" max="17" width="10.7109375" style="453" customWidth="1"/>
    <col min="18" max="25" width="9.140625" style="453" customWidth="1"/>
    <col min="26" max="26" width="1.7109375" style="453" customWidth="1"/>
    <col min="27" max="16384" width="9.140625" style="453" customWidth="1"/>
  </cols>
  <sheetData>
    <row r="1" spans="1:12" ht="12.75" customHeight="1">
      <c r="A1" s="671"/>
      <c r="B1" s="42"/>
      <c r="C1" s="42"/>
      <c r="D1" s="42"/>
      <c r="E1" s="42"/>
      <c r="F1" s="42"/>
      <c r="G1" s="42"/>
      <c r="H1" s="42"/>
      <c r="I1" s="42"/>
      <c r="J1" s="42"/>
      <c r="K1" s="42"/>
      <c r="L1" s="603"/>
    </row>
    <row r="2" spans="1:13" s="513" customFormat="1" ht="15.75" customHeight="1">
      <c r="A2" s="616" t="str">
        <f>Inhoud!$A$2</f>
        <v>Nacalculatieformulier 2005 GGZ-instellingen</v>
      </c>
      <c r="B2" s="631"/>
      <c r="C2" s="633"/>
      <c r="D2" s="631"/>
      <c r="E2" s="631"/>
      <c r="F2" s="542"/>
      <c r="G2" s="634" t="b">
        <f>Voorblad!E28</f>
        <v>1</v>
      </c>
      <c r="H2" s="634"/>
      <c r="I2" s="633"/>
      <c r="J2" s="633"/>
      <c r="K2" s="616"/>
      <c r="L2" s="542"/>
      <c r="M2" s="1258">
        <f>Instandhouding!M44+1</f>
        <v>19</v>
      </c>
    </row>
    <row r="3" spans="1:12" ht="12.75" customHeight="1">
      <c r="A3" s="671"/>
      <c r="B3" s="42"/>
      <c r="C3" s="42"/>
      <c r="D3" s="42"/>
      <c r="E3" s="42"/>
      <c r="F3" s="42"/>
      <c r="G3" s="42"/>
      <c r="H3" s="42"/>
      <c r="I3" s="42"/>
      <c r="J3" s="42"/>
      <c r="K3" s="42"/>
      <c r="L3" s="603"/>
    </row>
    <row r="4" spans="1:9" ht="12.75" customHeight="1">
      <c r="A4" s="1472" t="s">
        <v>657</v>
      </c>
      <c r="B4" s="1473" t="s">
        <v>591</v>
      </c>
      <c r="C4" s="1432"/>
      <c r="D4" s="1432"/>
      <c r="E4" s="1474"/>
      <c r="F4" s="1474"/>
      <c r="G4" s="1475"/>
      <c r="H4" s="1432"/>
      <c r="I4" s="1476"/>
    </row>
    <row r="5" spans="1:9" ht="12.75" customHeight="1">
      <c r="A5" s="1472"/>
      <c r="B5" s="1473"/>
      <c r="C5" s="1432"/>
      <c r="D5" s="1432"/>
      <c r="E5" s="1474"/>
      <c r="F5" s="1474"/>
      <c r="G5" s="1475"/>
      <c r="H5" s="1432"/>
      <c r="I5" s="1476"/>
    </row>
    <row r="6" spans="1:9" ht="12.75" customHeight="1">
      <c r="A6" s="1472"/>
      <c r="B6" s="460" t="str">
        <f>CONCATENATE("Gegevens laatste rekenstaat ",Voorblad!E3," ")</f>
        <v>Gegevens laatste rekenstaat 2005 </v>
      </c>
      <c r="C6" s="1084"/>
      <c r="D6" s="460"/>
      <c r="E6" s="1084"/>
      <c r="F6" s="1084"/>
      <c r="G6" s="1084"/>
      <c r="H6" s="84"/>
      <c r="I6" s="1324" t="s">
        <v>637</v>
      </c>
    </row>
    <row r="7" spans="1:9" ht="12.75" customHeight="1">
      <c r="A7" s="761">
        <f>M2*100+1</f>
        <v>1901</v>
      </c>
      <c r="B7" s="997" t="s">
        <v>589</v>
      </c>
      <c r="C7" s="1113"/>
      <c r="D7" s="1113"/>
      <c r="E7" s="1113"/>
      <c r="F7" s="1113"/>
      <c r="G7" s="1113"/>
      <c r="H7" s="784"/>
      <c r="I7" s="1323"/>
    </row>
    <row r="8" spans="1:9" ht="12.75" customHeight="1">
      <c r="A8" s="1472"/>
      <c r="B8" s="1473"/>
      <c r="C8" s="1432"/>
      <c r="D8" s="1432"/>
      <c r="E8" s="1474"/>
      <c r="F8" s="1474"/>
      <c r="G8" s="1475"/>
      <c r="H8" s="1432"/>
      <c r="I8" s="1476"/>
    </row>
    <row r="9" spans="1:9" ht="12.75" customHeight="1">
      <c r="A9" s="1472" t="s">
        <v>1327</v>
      </c>
      <c r="B9" s="1473" t="s">
        <v>587</v>
      </c>
      <c r="C9" s="1432"/>
      <c r="D9" s="1432"/>
      <c r="E9" s="1480"/>
      <c r="F9" s="1507" t="s">
        <v>1320</v>
      </c>
      <c r="G9" s="1475"/>
      <c r="H9" s="1432"/>
      <c r="I9" s="1476"/>
    </row>
    <row r="10" spans="1:9" ht="12.75" customHeight="1">
      <c r="A10" s="680"/>
      <c r="B10" s="1686" t="s">
        <v>689</v>
      </c>
      <c r="C10" s="1690"/>
      <c r="D10" s="1690"/>
      <c r="E10" s="1786"/>
      <c r="F10" s="1787"/>
      <c r="G10" s="1788"/>
      <c r="H10" s="1787"/>
      <c r="I10" s="1089" t="s">
        <v>1131</v>
      </c>
    </row>
    <row r="11" spans="1:9" ht="12.75" customHeight="1">
      <c r="A11" s="656"/>
      <c r="B11" s="1082" t="s">
        <v>836</v>
      </c>
      <c r="C11" s="1082" t="s">
        <v>1379</v>
      </c>
      <c r="D11" s="1789" t="s">
        <v>114</v>
      </c>
      <c r="E11" s="1786"/>
      <c r="F11" s="1787"/>
      <c r="G11" s="1790"/>
      <c r="H11" s="1702"/>
      <c r="I11" s="1322" t="str">
        <f>CONCATENATE(Voorblad!$E$3)</f>
        <v>2005</v>
      </c>
    </row>
    <row r="12" spans="1:9" ht="12.75" customHeight="1">
      <c r="A12" s="761">
        <f>A7+1</f>
        <v>1902</v>
      </c>
      <c r="B12" s="977"/>
      <c r="C12" s="1503"/>
      <c r="D12" s="1782"/>
      <c r="E12" s="1783"/>
      <c r="F12" s="1784"/>
      <c r="G12" s="1783"/>
      <c r="H12" s="1785"/>
      <c r="I12" s="1500"/>
    </row>
    <row r="13" spans="1:9" ht="12.75" customHeight="1">
      <c r="A13" s="761">
        <f aca="true" t="shared" si="0" ref="A13:A20">A12+1</f>
        <v>1903</v>
      </c>
      <c r="B13" s="818"/>
      <c r="C13" s="1504"/>
      <c r="D13" s="1772"/>
      <c r="E13" s="1773"/>
      <c r="F13" s="1774"/>
      <c r="G13" s="1773"/>
      <c r="H13" s="1775"/>
      <c r="I13" s="1500"/>
    </row>
    <row r="14" spans="1:9" ht="12.75" customHeight="1">
      <c r="A14" s="761">
        <f t="shared" si="0"/>
        <v>1904</v>
      </c>
      <c r="B14" s="818"/>
      <c r="C14" s="1504"/>
      <c r="D14" s="1772"/>
      <c r="E14" s="1773"/>
      <c r="F14" s="1774"/>
      <c r="G14" s="1773"/>
      <c r="H14" s="1775"/>
      <c r="I14" s="1500"/>
    </row>
    <row r="15" spans="1:9" ht="12.75" customHeight="1">
      <c r="A15" s="761">
        <f t="shared" si="0"/>
        <v>1905</v>
      </c>
      <c r="B15" s="818"/>
      <c r="C15" s="1504"/>
      <c r="D15" s="1772"/>
      <c r="E15" s="1773"/>
      <c r="F15" s="1774"/>
      <c r="G15" s="1773"/>
      <c r="H15" s="1775"/>
      <c r="I15" s="1500"/>
    </row>
    <row r="16" spans="1:9" ht="12.75" customHeight="1">
      <c r="A16" s="761">
        <f t="shared" si="0"/>
        <v>1906</v>
      </c>
      <c r="B16" s="818"/>
      <c r="C16" s="1504"/>
      <c r="D16" s="1772"/>
      <c r="E16" s="1773"/>
      <c r="F16" s="1774"/>
      <c r="G16" s="1773"/>
      <c r="H16" s="1775"/>
      <c r="I16" s="1500"/>
    </row>
    <row r="17" spans="1:9" ht="12.75" customHeight="1">
      <c r="A17" s="761">
        <f t="shared" si="0"/>
        <v>1907</v>
      </c>
      <c r="B17" s="818"/>
      <c r="C17" s="1504"/>
      <c r="D17" s="1772"/>
      <c r="E17" s="1773"/>
      <c r="F17" s="1774"/>
      <c r="G17" s="1773"/>
      <c r="H17" s="1775"/>
      <c r="I17" s="1500"/>
    </row>
    <row r="18" spans="1:9" ht="12.75" customHeight="1">
      <c r="A18" s="761">
        <f t="shared" si="0"/>
        <v>1908</v>
      </c>
      <c r="B18" s="818"/>
      <c r="C18" s="1504"/>
      <c r="D18" s="1772"/>
      <c r="E18" s="1773"/>
      <c r="F18" s="1774"/>
      <c r="G18" s="1773"/>
      <c r="H18" s="1775"/>
      <c r="I18" s="1500"/>
    </row>
    <row r="19" spans="1:12" ht="12.75" customHeight="1">
      <c r="A19" s="761">
        <f t="shared" si="0"/>
        <v>1909</v>
      </c>
      <c r="B19" s="819"/>
      <c r="C19" s="1506"/>
      <c r="D19" s="1776"/>
      <c r="E19" s="1777"/>
      <c r="F19" s="1778"/>
      <c r="G19" s="1777"/>
      <c r="H19" s="1779"/>
      <c r="I19" s="1500"/>
      <c r="J19" s="42"/>
      <c r="K19" s="42"/>
      <c r="L19" s="603"/>
    </row>
    <row r="20" spans="1:12" ht="12.75" customHeight="1">
      <c r="A20" s="761">
        <f t="shared" si="0"/>
        <v>1910</v>
      </c>
      <c r="B20" s="1780" t="str">
        <f>CONCATENATE("Totaal regel ",A12," t/m ",A19,)</f>
        <v>Totaal regel 1902 t/m 1909</v>
      </c>
      <c r="C20" s="1693"/>
      <c r="D20" s="1693"/>
      <c r="E20" s="1693"/>
      <c r="F20" s="1693"/>
      <c r="G20" s="1781">
        <f>SUM(G12:H19)</f>
        <v>0</v>
      </c>
      <c r="H20" s="1633"/>
      <c r="I20" s="1505">
        <f>SUM(I12:I19)</f>
        <v>0</v>
      </c>
      <c r="J20" s="42"/>
      <c r="K20" s="42"/>
      <c r="L20" s="603"/>
    </row>
    <row r="21" spans="1:12" ht="12.75" customHeight="1">
      <c r="A21" s="1459"/>
      <c r="B21" s="1481" t="s">
        <v>690</v>
      </c>
      <c r="C21" s="1432"/>
      <c r="D21" s="1432"/>
      <c r="E21" s="1432"/>
      <c r="F21" s="1432"/>
      <c r="G21" s="1477"/>
      <c r="H21" s="1432"/>
      <c r="I21" s="1478"/>
      <c r="J21" s="42"/>
      <c r="K21" s="42"/>
      <c r="L21" s="603"/>
    </row>
    <row r="22" spans="1:12" ht="12.75" customHeight="1">
      <c r="A22" s="1459"/>
      <c r="B22" s="1481"/>
      <c r="C22" s="1432"/>
      <c r="D22" s="1432"/>
      <c r="E22" s="1432"/>
      <c r="F22" s="1432"/>
      <c r="G22" s="1477"/>
      <c r="H22" s="1432"/>
      <c r="I22" s="1478"/>
      <c r="J22" s="42"/>
      <c r="K22" s="42"/>
      <c r="L22" s="603"/>
    </row>
    <row r="23" spans="1:12" ht="12.75" customHeight="1">
      <c r="A23" s="1459" t="s">
        <v>1328</v>
      </c>
      <c r="B23" s="1460" t="s">
        <v>588</v>
      </c>
      <c r="C23" s="1432"/>
      <c r="D23" s="1432"/>
      <c r="E23" s="1502"/>
      <c r="F23" s="1432"/>
      <c r="G23" s="1555" t="s">
        <v>1321</v>
      </c>
      <c r="H23" s="1432"/>
      <c r="I23" s="1478"/>
      <c r="J23" s="42"/>
      <c r="K23" s="42"/>
      <c r="L23" s="603"/>
    </row>
    <row r="24" spans="1:11" ht="12.75" customHeight="1">
      <c r="A24" s="680"/>
      <c r="B24" s="1686" t="s">
        <v>689</v>
      </c>
      <c r="C24" s="1690"/>
      <c r="D24" s="1690"/>
      <c r="E24" s="1786"/>
      <c r="F24" s="1787"/>
      <c r="G24" s="1788"/>
      <c r="H24" s="1787"/>
      <c r="I24" s="1089" t="s">
        <v>1131</v>
      </c>
      <c r="J24" s="1089" t="s">
        <v>865</v>
      </c>
      <c r="K24" s="603"/>
    </row>
    <row r="25" spans="1:11" ht="12.75" customHeight="1">
      <c r="A25" s="656"/>
      <c r="B25" s="1082" t="s">
        <v>836</v>
      </c>
      <c r="C25" s="1082" t="s">
        <v>1379</v>
      </c>
      <c r="D25" s="1789" t="s">
        <v>114</v>
      </c>
      <c r="E25" s="1786"/>
      <c r="F25" s="1787"/>
      <c r="G25" s="1790"/>
      <c r="H25" s="1701"/>
      <c r="I25" s="1322" t="str">
        <f>CONCATENATE(Voorblad!$E$3)</f>
        <v>2005</v>
      </c>
      <c r="J25" s="1322" t="str">
        <f>CONCATENATE(Voorblad!$E$3)</f>
        <v>2005</v>
      </c>
      <c r="K25" s="603"/>
    </row>
    <row r="26" spans="1:11" ht="12.75" customHeight="1">
      <c r="A26" s="761">
        <f>A20+1</f>
        <v>1911</v>
      </c>
      <c r="B26" s="977"/>
      <c r="C26" s="1286"/>
      <c r="D26" s="1772"/>
      <c r="E26" s="1773"/>
      <c r="F26" s="1774"/>
      <c r="G26" s="1783"/>
      <c r="H26" s="1785"/>
      <c r="I26" s="1492"/>
      <c r="J26" s="484">
        <f>I26*0.085</f>
        <v>0</v>
      </c>
      <c r="K26" s="603"/>
    </row>
    <row r="27" spans="1:11" ht="12.75" customHeight="1">
      <c r="A27" s="761">
        <f aca="true" t="shared" si="1" ref="A27:A34">A26+1</f>
        <v>1912</v>
      </c>
      <c r="B27" s="818"/>
      <c r="C27" s="1287"/>
      <c r="D27" s="1772"/>
      <c r="E27" s="1773"/>
      <c r="F27" s="1774"/>
      <c r="G27" s="1773"/>
      <c r="H27" s="1775"/>
      <c r="I27" s="1492"/>
      <c r="J27" s="484">
        <f aca="true" t="shared" si="2" ref="J27:J33">I27*0.085</f>
        <v>0</v>
      </c>
      <c r="K27" s="603"/>
    </row>
    <row r="28" spans="1:11" ht="12.75" customHeight="1">
      <c r="A28" s="761">
        <f t="shared" si="1"/>
        <v>1913</v>
      </c>
      <c r="B28" s="818"/>
      <c r="C28" s="1287"/>
      <c r="D28" s="1772"/>
      <c r="E28" s="1773"/>
      <c r="F28" s="1774"/>
      <c r="G28" s="1773"/>
      <c r="H28" s="1775"/>
      <c r="I28" s="1492"/>
      <c r="J28" s="484">
        <f t="shared" si="2"/>
        <v>0</v>
      </c>
      <c r="K28" s="603"/>
    </row>
    <row r="29" spans="1:11" ht="12.75" customHeight="1">
      <c r="A29" s="761">
        <f t="shared" si="1"/>
        <v>1914</v>
      </c>
      <c r="B29" s="818"/>
      <c r="C29" s="1287"/>
      <c r="D29" s="1772"/>
      <c r="E29" s="1773"/>
      <c r="F29" s="1774"/>
      <c r="G29" s="1773"/>
      <c r="H29" s="1775"/>
      <c r="I29" s="1492"/>
      <c r="J29" s="484">
        <f t="shared" si="2"/>
        <v>0</v>
      </c>
      <c r="K29" s="603"/>
    </row>
    <row r="30" spans="1:11" ht="12.75" customHeight="1">
      <c r="A30" s="761">
        <f t="shared" si="1"/>
        <v>1915</v>
      </c>
      <c r="B30" s="818"/>
      <c r="C30" s="1287"/>
      <c r="D30" s="1772"/>
      <c r="E30" s="1773"/>
      <c r="F30" s="1774"/>
      <c r="G30" s="1773"/>
      <c r="H30" s="1775"/>
      <c r="I30" s="1492"/>
      <c r="J30" s="484">
        <f t="shared" si="2"/>
        <v>0</v>
      </c>
      <c r="K30" s="603"/>
    </row>
    <row r="31" spans="1:11" ht="12.75" customHeight="1">
      <c r="A31" s="761">
        <f t="shared" si="1"/>
        <v>1916</v>
      </c>
      <c r="B31" s="818"/>
      <c r="C31" s="1287"/>
      <c r="D31" s="1772"/>
      <c r="E31" s="1773"/>
      <c r="F31" s="1774"/>
      <c r="G31" s="1773"/>
      <c r="H31" s="1775"/>
      <c r="I31" s="1492"/>
      <c r="J31" s="484">
        <f t="shared" si="2"/>
        <v>0</v>
      </c>
      <c r="K31" s="603"/>
    </row>
    <row r="32" spans="1:11" ht="12.75" customHeight="1">
      <c r="A32" s="761">
        <f t="shared" si="1"/>
        <v>1917</v>
      </c>
      <c r="B32" s="818"/>
      <c r="C32" s="1287"/>
      <c r="D32" s="1772"/>
      <c r="E32" s="1773"/>
      <c r="F32" s="1774"/>
      <c r="G32" s="1773"/>
      <c r="H32" s="1775"/>
      <c r="I32" s="1492"/>
      <c r="J32" s="484">
        <f t="shared" si="2"/>
        <v>0</v>
      </c>
      <c r="K32" s="603"/>
    </row>
    <row r="33" spans="1:11" ht="12.75" customHeight="1">
      <c r="A33" s="761">
        <f t="shared" si="1"/>
        <v>1918</v>
      </c>
      <c r="B33" s="818"/>
      <c r="C33" s="1287"/>
      <c r="D33" s="1776"/>
      <c r="E33" s="1777"/>
      <c r="F33" s="1778"/>
      <c r="G33" s="1777"/>
      <c r="H33" s="1779"/>
      <c r="I33" s="1492"/>
      <c r="J33" s="484">
        <f t="shared" si="2"/>
        <v>0</v>
      </c>
      <c r="K33" s="603"/>
    </row>
    <row r="34" spans="1:11" ht="12.75" customHeight="1">
      <c r="A34" s="761">
        <f t="shared" si="1"/>
        <v>1919</v>
      </c>
      <c r="B34" s="1780" t="str">
        <f>CONCATENATE("Totaal regel ",A26," t/m ",A33,)</f>
        <v>Totaal regel 1911 t/m 1918</v>
      </c>
      <c r="C34" s="1693"/>
      <c r="D34" s="1693"/>
      <c r="E34" s="1693"/>
      <c r="F34" s="1693"/>
      <c r="G34" s="1781">
        <f>SUM(G26:H33)</f>
        <v>0</v>
      </c>
      <c r="H34" s="1633"/>
      <c r="I34" s="824">
        <f>SUM(I26:I33)</f>
        <v>0</v>
      </c>
      <c r="J34" s="1501">
        <f>SUM(J26:J33)</f>
        <v>0</v>
      </c>
      <c r="K34" s="603"/>
    </row>
    <row r="35" spans="1:13" ht="12.75" customHeight="1">
      <c r="A35" s="1459"/>
      <c r="B35" s="1808" t="s">
        <v>691</v>
      </c>
      <c r="C35" s="1809"/>
      <c r="D35" s="1809"/>
      <c r="E35" s="1809"/>
      <c r="F35" s="1809"/>
      <c r="G35" s="1809"/>
      <c r="H35" s="1809"/>
      <c r="I35" s="1809"/>
      <c r="J35" s="1809"/>
      <c r="K35" s="1809"/>
      <c r="L35" s="1809"/>
      <c r="M35" s="1809"/>
    </row>
    <row r="36" spans="1:13" ht="12.75" customHeight="1">
      <c r="A36" s="1459"/>
      <c r="B36" s="1809"/>
      <c r="C36" s="1809"/>
      <c r="D36" s="1809"/>
      <c r="E36" s="1809"/>
      <c r="F36" s="1809"/>
      <c r="G36" s="1809"/>
      <c r="H36" s="1809"/>
      <c r="I36" s="1809"/>
      <c r="J36" s="1809"/>
      <c r="K36" s="1809"/>
      <c r="L36" s="1809"/>
      <c r="M36" s="1809"/>
    </row>
    <row r="37" spans="1:13" ht="12.75" customHeight="1">
      <c r="A37" s="1459"/>
      <c r="B37" s="1510"/>
      <c r="C37" s="1510"/>
      <c r="D37" s="1510"/>
      <c r="E37" s="1510"/>
      <c r="F37" s="1510"/>
      <c r="G37" s="1510"/>
      <c r="H37" s="1510"/>
      <c r="I37" s="1510"/>
      <c r="J37" s="1510"/>
      <c r="K37" s="1510"/>
      <c r="L37" s="1510"/>
      <c r="M37" s="1510"/>
    </row>
    <row r="38" spans="1:13" ht="12.75" customHeight="1">
      <c r="A38" s="14" t="s">
        <v>1329</v>
      </c>
      <c r="B38" s="460" t="str">
        <f>CONCATENATE("Totaal overgangsregeling kapitaalslasten ",Voorblad!E3," ")</f>
        <v>Totaal overgangsregeling kapitaalslasten 2005 </v>
      </c>
      <c r="K38"/>
      <c r="L38"/>
      <c r="M38"/>
    </row>
    <row r="39" spans="2:11" ht="12.75" customHeight="1">
      <c r="B39" s="1132"/>
      <c r="C39" s="1085"/>
      <c r="D39" s="1085"/>
      <c r="E39" s="1085"/>
      <c r="F39" s="1085"/>
      <c r="G39" s="1085"/>
      <c r="H39" s="1108"/>
      <c r="I39" s="1089" t="s">
        <v>1131</v>
      </c>
      <c r="K39" s="453"/>
    </row>
    <row r="40" spans="1:11" ht="12.75" customHeight="1">
      <c r="A40" s="697"/>
      <c r="B40" s="1109"/>
      <c r="C40" s="1110"/>
      <c r="D40" s="1110"/>
      <c r="E40" s="1110"/>
      <c r="F40" s="1110"/>
      <c r="G40" s="1110"/>
      <c r="H40" s="1111"/>
      <c r="I40" s="1322" t="str">
        <f>CONCATENATE(Voorblad!$E$3)</f>
        <v>2005</v>
      </c>
      <c r="K40" s="453"/>
    </row>
    <row r="41" spans="1:11" ht="12.75" customHeight="1">
      <c r="A41" s="761">
        <f>A34+1</f>
        <v>1920</v>
      </c>
      <c r="B41" s="1780" t="str">
        <f>CONCATENATE("Beginstand (regel ",A7,")")</f>
        <v>Beginstand (regel 1901)</v>
      </c>
      <c r="C41" s="1693"/>
      <c r="D41" s="1693"/>
      <c r="E41" s="1693"/>
      <c r="F41" s="1693"/>
      <c r="G41" s="1693"/>
      <c r="H41" s="1633"/>
      <c r="I41" s="1505">
        <f>I7</f>
        <v>0</v>
      </c>
      <c r="K41" s="453"/>
    </row>
    <row r="42" spans="1:11" ht="12.75" customHeight="1">
      <c r="A42" s="761">
        <f>A41+1</f>
        <v>1921</v>
      </c>
      <c r="B42" s="1780" t="str">
        <f>CONCATENATE("Mutatie normatief (regel ",A20,")")</f>
        <v>Mutatie normatief (regel 1910)</v>
      </c>
      <c r="C42" s="1693"/>
      <c r="D42" s="1693"/>
      <c r="E42" s="1693"/>
      <c r="F42" s="1693"/>
      <c r="G42" s="1693"/>
      <c r="H42" s="1633"/>
      <c r="I42" s="1505">
        <f>I20</f>
        <v>0</v>
      </c>
      <c r="K42" s="453"/>
    </row>
    <row r="43" spans="1:11" ht="12.75" customHeight="1">
      <c r="A43" s="761">
        <f>A42+1</f>
        <v>1922</v>
      </c>
      <c r="B43" s="1780" t="str">
        <f>CONCATENATE("Mutatie investeringskosten (regel ",A34,")")</f>
        <v>Mutatie investeringskosten (regel 1919)</v>
      </c>
      <c r="C43" s="1693"/>
      <c r="D43" s="1693"/>
      <c r="E43" s="1693"/>
      <c r="F43" s="1693"/>
      <c r="G43" s="1693"/>
      <c r="H43" s="1633"/>
      <c r="I43" s="1517">
        <f>J34</f>
        <v>0</v>
      </c>
      <c r="K43" s="453"/>
    </row>
    <row r="44" spans="1:11" ht="12.75" customHeight="1">
      <c r="A44" s="761">
        <f>A43+1</f>
        <v>1923</v>
      </c>
      <c r="B44" s="1112" t="s">
        <v>866</v>
      </c>
      <c r="C44" s="1114"/>
      <c r="D44" s="1114"/>
      <c r="E44" s="1114"/>
      <c r="F44" s="1114"/>
      <c r="G44" s="1114"/>
      <c r="H44" s="784"/>
      <c r="I44" s="1518">
        <f>SUM(I41:I43)</f>
        <v>0</v>
      </c>
      <c r="K44" s="453"/>
    </row>
    <row r="45" spans="1:11" ht="12.75" customHeight="1">
      <c r="A45" s="1459"/>
      <c r="B45" s="1461"/>
      <c r="C45" s="1511"/>
      <c r="D45" s="1511"/>
      <c r="E45" s="1511"/>
      <c r="F45" s="1511"/>
      <c r="G45" s="1511"/>
      <c r="H45" s="1512"/>
      <c r="I45" s="1513"/>
      <c r="J45" s="1514"/>
      <c r="K45" s="1515"/>
    </row>
    <row r="46" spans="1:12" ht="12.75" customHeight="1">
      <c r="A46" s="1459"/>
      <c r="B46" s="1481"/>
      <c r="C46" s="1432"/>
      <c r="D46" s="1432"/>
      <c r="E46" s="1432"/>
      <c r="F46" s="1432"/>
      <c r="G46" s="1477"/>
      <c r="H46" s="1432"/>
      <c r="I46" s="1478"/>
      <c r="J46" s="42"/>
      <c r="K46" s="42"/>
      <c r="L46" s="603"/>
    </row>
    <row r="47" spans="1:13" ht="15.75" customHeight="1">
      <c r="A47" s="1285" t="str">
        <f>Inhoud!$A$2</f>
        <v>Nacalculatieformulier 2005 GGZ-instellingen</v>
      </c>
      <c r="B47" s="631"/>
      <c r="C47" s="633"/>
      <c r="D47" s="631"/>
      <c r="E47" s="631"/>
      <c r="F47" s="634"/>
      <c r="G47" s="634"/>
      <c r="H47" s="633"/>
      <c r="I47" s="633"/>
      <c r="J47" s="616"/>
      <c r="K47" s="616"/>
      <c r="L47" s="542"/>
      <c r="M47" s="1258">
        <f>M2+1</f>
        <v>20</v>
      </c>
    </row>
    <row r="48" spans="1:12" ht="12.75" customHeight="1">
      <c r="A48" s="1459"/>
      <c r="B48" s="1481"/>
      <c r="C48" s="1432"/>
      <c r="D48" s="1432"/>
      <c r="E48" s="1432"/>
      <c r="F48" s="1432"/>
      <c r="G48" s="1477"/>
      <c r="H48" s="1432"/>
      <c r="I48" s="1478"/>
      <c r="J48" s="42"/>
      <c r="K48" s="42"/>
      <c r="L48" s="603"/>
    </row>
    <row r="49" spans="1:7" ht="12.75" customHeight="1">
      <c r="A49" s="671" t="s">
        <v>590</v>
      </c>
      <c r="B49" s="687" t="s">
        <v>704</v>
      </c>
      <c r="C49" s="42"/>
      <c r="D49" s="42"/>
      <c r="E49" s="603"/>
      <c r="F49" s="453"/>
      <c r="G49" s="42"/>
    </row>
    <row r="50" spans="1:9" ht="12.75" customHeight="1">
      <c r="A50" s="456"/>
      <c r="B50" s="1104"/>
      <c r="C50" s="1118"/>
      <c r="D50" s="1118"/>
      <c r="E50" s="1105"/>
      <c r="F50" s="1105"/>
      <c r="G50" s="1805" t="s">
        <v>1027</v>
      </c>
      <c r="H50" s="1761"/>
      <c r="I50" s="1130" t="s">
        <v>633</v>
      </c>
    </row>
    <row r="51" spans="1:9" ht="12.75" customHeight="1">
      <c r="A51" s="456"/>
      <c r="B51" s="1106"/>
      <c r="C51" s="1107"/>
      <c r="D51" s="1122"/>
      <c r="E51" s="1107"/>
      <c r="F51" s="1107"/>
      <c r="G51" s="1804" t="str">
        <f>CONCATENATE(Voorblad!$E$3-1)</f>
        <v>2004</v>
      </c>
      <c r="H51" s="1708"/>
      <c r="I51" s="1322" t="str">
        <f>CONCATENATE(Voorblad!$E$3)</f>
        <v>2005</v>
      </c>
    </row>
    <row r="52" spans="1:9" ht="12.75" customHeight="1">
      <c r="A52" s="827">
        <f>M47*100+1</f>
        <v>2001</v>
      </c>
      <c r="B52" s="1405"/>
      <c r="C52" s="945"/>
      <c r="D52" s="1406"/>
      <c r="E52" s="1407"/>
      <c r="F52" s="1408"/>
      <c r="G52" s="1806">
        <v>0</v>
      </c>
      <c r="H52" s="1785"/>
      <c r="I52" s="520">
        <v>0</v>
      </c>
    </row>
    <row r="53" spans="1:9" ht="12.75" customHeight="1">
      <c r="A53" s="827">
        <f>A52+1</f>
        <v>2002</v>
      </c>
      <c r="B53" s="1409"/>
      <c r="C53" s="454"/>
      <c r="D53" s="1410"/>
      <c r="E53" s="1406"/>
      <c r="F53" s="1411"/>
      <c r="G53" s="1798">
        <v>0</v>
      </c>
      <c r="H53" s="1807"/>
      <c r="I53" s="520">
        <v>0</v>
      </c>
    </row>
    <row r="54" spans="1:9" ht="12.75" customHeight="1">
      <c r="A54" s="827">
        <f aca="true" t="shared" si="3" ref="A54:A60">A53+1</f>
        <v>2003</v>
      </c>
      <c r="B54" s="1409"/>
      <c r="C54" s="454"/>
      <c r="D54" s="1410"/>
      <c r="E54" s="1406"/>
      <c r="F54" s="1411"/>
      <c r="G54" s="1798">
        <v>0</v>
      </c>
      <c r="H54" s="1775"/>
      <c r="I54" s="520">
        <v>0</v>
      </c>
    </row>
    <row r="55" spans="1:9" ht="12.75" customHeight="1">
      <c r="A55" s="827">
        <f t="shared" si="3"/>
        <v>2004</v>
      </c>
      <c r="B55" s="1409"/>
      <c r="C55" s="454"/>
      <c r="D55" s="1410"/>
      <c r="E55" s="1406"/>
      <c r="F55" s="1411"/>
      <c r="G55" s="1798">
        <v>0</v>
      </c>
      <c r="H55" s="1775"/>
      <c r="I55" s="520">
        <v>0</v>
      </c>
    </row>
    <row r="56" spans="1:9" ht="12.75" customHeight="1">
      <c r="A56" s="827">
        <f t="shared" si="3"/>
        <v>2005</v>
      </c>
      <c r="B56" s="1409"/>
      <c r="C56" s="454"/>
      <c r="D56" s="1410"/>
      <c r="E56" s="1406"/>
      <c r="F56" s="1411"/>
      <c r="G56" s="1798">
        <v>0</v>
      </c>
      <c r="H56" s="1775"/>
      <c r="I56" s="520">
        <v>0</v>
      </c>
    </row>
    <row r="57" spans="1:9" ht="12.75" customHeight="1">
      <c r="A57" s="827">
        <f t="shared" si="3"/>
        <v>2006</v>
      </c>
      <c r="B57" s="1409"/>
      <c r="C57" s="454"/>
      <c r="D57" s="1410"/>
      <c r="E57" s="1406"/>
      <c r="F57" s="1411"/>
      <c r="G57" s="1798">
        <v>0</v>
      </c>
      <c r="H57" s="1775"/>
      <c r="I57" s="520">
        <v>0</v>
      </c>
    </row>
    <row r="58" spans="1:9" ht="12.75" customHeight="1">
      <c r="A58" s="827">
        <f t="shared" si="3"/>
        <v>2007</v>
      </c>
      <c r="B58" s="1409"/>
      <c r="C58" s="454"/>
      <c r="D58" s="1410"/>
      <c r="E58" s="1406"/>
      <c r="F58" s="1411"/>
      <c r="G58" s="1798">
        <v>0</v>
      </c>
      <c r="H58" s="1775"/>
      <c r="I58" s="520">
        <v>0</v>
      </c>
    </row>
    <row r="59" spans="1:9" ht="12.75" customHeight="1">
      <c r="A59" s="827">
        <f t="shared" si="3"/>
        <v>2008</v>
      </c>
      <c r="B59" s="1409"/>
      <c r="C59" s="454"/>
      <c r="D59" s="1410"/>
      <c r="E59" s="1406"/>
      <c r="F59" s="1411"/>
      <c r="G59" s="1798">
        <v>0</v>
      </c>
      <c r="H59" s="1775"/>
      <c r="I59" s="922">
        <v>0</v>
      </c>
    </row>
    <row r="60" spans="1:9" ht="12.75" customHeight="1">
      <c r="A60" s="827">
        <f t="shared" si="3"/>
        <v>2009</v>
      </c>
      <c r="B60" s="1801" t="str">
        <f>CONCATENATE("Totaal regel ",A52," t/m ",A59)</f>
        <v>Totaal regel 2001 t/m 2008</v>
      </c>
      <c r="C60" s="1693"/>
      <c r="D60" s="1693"/>
      <c r="E60" s="893"/>
      <c r="F60" s="894"/>
      <c r="G60" s="1802">
        <f>SUM(G52:G59)</f>
        <v>0</v>
      </c>
      <c r="H60" s="1633"/>
      <c r="I60" s="923">
        <f>SUM(I52:I59)</f>
        <v>0</v>
      </c>
    </row>
    <row r="61" spans="1:9" ht="12.75" customHeight="1">
      <c r="A61" s="1472"/>
      <c r="B61" s="1473"/>
      <c r="C61" s="1432"/>
      <c r="D61" s="1432"/>
      <c r="E61" s="1474"/>
      <c r="F61" s="1474"/>
      <c r="G61" s="1475"/>
      <c r="H61" s="1432"/>
      <c r="I61" s="1476"/>
    </row>
    <row r="62" spans="1:12" ht="12.75" customHeight="1">
      <c r="A62" s="563" t="s">
        <v>1330</v>
      </c>
      <c r="B62" s="460" t="str">
        <f>CONCATENATE("Huren ",Voorblad!E3)</f>
        <v>Huren 2005</v>
      </c>
      <c r="C62" s="1084"/>
      <c r="D62" s="1084"/>
      <c r="E62" s="1084"/>
      <c r="F62" s="1084"/>
      <c r="G62" s="1084"/>
      <c r="H62" s="84"/>
      <c r="I62" s="84"/>
      <c r="J62" s="42"/>
      <c r="K62" s="42"/>
      <c r="L62" s="603"/>
    </row>
    <row r="63" spans="1:12" ht="12.75" customHeight="1">
      <c r="A63" s="697"/>
      <c r="B63" s="460"/>
      <c r="C63" s="1084"/>
      <c r="D63" s="1084"/>
      <c r="E63" s="1084"/>
      <c r="F63" s="1084"/>
      <c r="G63" s="1084"/>
      <c r="H63" s="84"/>
      <c r="I63" s="84"/>
      <c r="J63" s="42"/>
      <c r="K63" s="42"/>
      <c r="L63" s="603"/>
    </row>
    <row r="64" spans="1:12" s="513" customFormat="1" ht="12.75" customHeight="1">
      <c r="A64" s="590" t="s">
        <v>1317</v>
      </c>
      <c r="B64" s="460" t="str">
        <f>CONCATENATE("Niet-geïndexeerde huren ",Voorblad!E3," ")</f>
        <v>Niet-geïndexeerde huren 2005 </v>
      </c>
      <c r="C64" s="92"/>
      <c r="D64" s="92"/>
      <c r="E64" s="1480" t="s">
        <v>1093</v>
      </c>
      <c r="F64" s="92"/>
      <c r="G64" s="92"/>
      <c r="H64" s="92"/>
      <c r="I64" s="92"/>
      <c r="J64" s="92"/>
      <c r="K64" s="92"/>
      <c r="L64" s="92"/>
    </row>
    <row r="65" spans="1:12" s="513" customFormat="1" ht="12.75" customHeight="1">
      <c r="A65" s="680"/>
      <c r="B65" s="1686" t="s">
        <v>1094</v>
      </c>
      <c r="C65" s="1690"/>
      <c r="D65" s="1690"/>
      <c r="E65" s="1786"/>
      <c r="F65" s="1791"/>
      <c r="G65" s="1803" t="s">
        <v>917</v>
      </c>
      <c r="H65" s="1732"/>
      <c r="I65" s="1086" t="s">
        <v>634</v>
      </c>
      <c r="J65" s="1089" t="s">
        <v>635</v>
      </c>
      <c r="K65" s="1093"/>
      <c r="L65" s="92"/>
    </row>
    <row r="66" spans="1:12" s="451" customFormat="1" ht="12.75" customHeight="1">
      <c r="A66" s="656"/>
      <c r="B66" s="1082" t="s">
        <v>836</v>
      </c>
      <c r="C66" s="1082" t="s">
        <v>1379</v>
      </c>
      <c r="D66" s="1789" t="s">
        <v>114</v>
      </c>
      <c r="E66" s="1786"/>
      <c r="F66" s="1791"/>
      <c r="G66" s="1804" t="str">
        <f>CONCATENATE(Voorblad!$E$3-1)</f>
        <v>2004</v>
      </c>
      <c r="H66" s="1708"/>
      <c r="I66" s="1322" t="str">
        <f>CONCATENATE(Voorblad!$E$3)</f>
        <v>2005</v>
      </c>
      <c r="J66" s="1083" t="s">
        <v>636</v>
      </c>
      <c r="K66" s="1093"/>
      <c r="L66" s="92"/>
    </row>
    <row r="67" spans="1:12" ht="12.75" customHeight="1">
      <c r="A67" s="761">
        <f>A60+1</f>
        <v>2010</v>
      </c>
      <c r="B67" s="977"/>
      <c r="C67" s="1286"/>
      <c r="D67" s="1772"/>
      <c r="E67" s="1773"/>
      <c r="F67" s="1775"/>
      <c r="G67" s="1772"/>
      <c r="H67" s="1775"/>
      <c r="I67" s="1101"/>
      <c r="J67" s="1101"/>
      <c r="K67" s="1550"/>
      <c r="L67" s="1551"/>
    </row>
    <row r="68" spans="1:12" ht="12.75" customHeight="1">
      <c r="A68" s="761">
        <f aca="true" t="shared" si="4" ref="A68:A78">A67+1</f>
        <v>2011</v>
      </c>
      <c r="B68" s="818"/>
      <c r="C68" s="1287"/>
      <c r="D68" s="1772"/>
      <c r="E68" s="1773"/>
      <c r="F68" s="1775"/>
      <c r="G68" s="1772"/>
      <c r="H68" s="1775"/>
      <c r="I68" s="1101"/>
      <c r="J68" s="1101"/>
      <c r="K68" s="1550"/>
      <c r="L68" s="1551"/>
    </row>
    <row r="69" spans="1:12" ht="12.75" customHeight="1">
      <c r="A69" s="761">
        <f t="shared" si="4"/>
        <v>2012</v>
      </c>
      <c r="B69" s="818"/>
      <c r="C69" s="1287"/>
      <c r="D69" s="1772"/>
      <c r="E69" s="1773"/>
      <c r="F69" s="1775"/>
      <c r="G69" s="1772"/>
      <c r="H69" s="1775"/>
      <c r="I69" s="1101"/>
      <c r="J69" s="1101"/>
      <c r="K69" s="1550"/>
      <c r="L69" s="1551"/>
    </row>
    <row r="70" spans="1:12" ht="12.75" customHeight="1">
      <c r="A70" s="761">
        <f t="shared" si="4"/>
        <v>2013</v>
      </c>
      <c r="B70" s="818"/>
      <c r="C70" s="1287"/>
      <c r="D70" s="1772"/>
      <c r="E70" s="1773"/>
      <c r="F70" s="1775"/>
      <c r="G70" s="1772"/>
      <c r="H70" s="1775"/>
      <c r="I70" s="1101"/>
      <c r="J70" s="1101"/>
      <c r="K70" s="1550"/>
      <c r="L70" s="1551"/>
    </row>
    <row r="71" spans="1:12" ht="12.75" customHeight="1">
      <c r="A71" s="761">
        <f t="shared" si="4"/>
        <v>2014</v>
      </c>
      <c r="B71" s="818"/>
      <c r="C71" s="1287"/>
      <c r="D71" s="1772"/>
      <c r="E71" s="1773"/>
      <c r="F71" s="1775"/>
      <c r="G71" s="1772"/>
      <c r="H71" s="1775"/>
      <c r="I71" s="1101"/>
      <c r="J71" s="1101"/>
      <c r="K71" s="1550"/>
      <c r="L71" s="1551"/>
    </row>
    <row r="72" spans="1:12" ht="12.75" customHeight="1">
      <c r="A72" s="761">
        <f t="shared" si="4"/>
        <v>2015</v>
      </c>
      <c r="B72" s="818"/>
      <c r="C72" s="1287"/>
      <c r="D72" s="1772"/>
      <c r="E72" s="1773"/>
      <c r="F72" s="1775"/>
      <c r="G72" s="1772"/>
      <c r="H72" s="1775"/>
      <c r="I72" s="1101"/>
      <c r="J72" s="1101"/>
      <c r="K72" s="1550"/>
      <c r="L72" s="1551"/>
    </row>
    <row r="73" spans="1:12" ht="12.75" customHeight="1">
      <c r="A73" s="761">
        <f t="shared" si="4"/>
        <v>2016</v>
      </c>
      <c r="B73" s="818"/>
      <c r="C73" s="1287"/>
      <c r="D73" s="1772"/>
      <c r="E73" s="1773"/>
      <c r="F73" s="1775"/>
      <c r="G73" s="1772"/>
      <c r="H73" s="1775"/>
      <c r="I73" s="1101"/>
      <c r="J73" s="1101"/>
      <c r="K73" s="1550"/>
      <c r="L73" s="1551"/>
    </row>
    <row r="74" spans="1:12" ht="12.75" customHeight="1">
      <c r="A74" s="761">
        <f t="shared" si="4"/>
        <v>2017</v>
      </c>
      <c r="B74" s="818"/>
      <c r="C74" s="1287"/>
      <c r="D74" s="1772"/>
      <c r="E74" s="1773"/>
      <c r="F74" s="1775"/>
      <c r="G74" s="1772"/>
      <c r="H74" s="1775"/>
      <c r="I74" s="1101"/>
      <c r="J74" s="1101"/>
      <c r="K74" s="1550"/>
      <c r="L74" s="1551"/>
    </row>
    <row r="75" spans="1:12" ht="12.75" customHeight="1">
      <c r="A75" s="761">
        <f t="shared" si="4"/>
        <v>2018</v>
      </c>
      <c r="B75" s="818"/>
      <c r="C75" s="1287"/>
      <c r="D75" s="1772"/>
      <c r="E75" s="1773"/>
      <c r="F75" s="1775"/>
      <c r="G75" s="1772"/>
      <c r="H75" s="1775"/>
      <c r="I75" s="1101"/>
      <c r="J75" s="1101"/>
      <c r="K75" s="1550"/>
      <c r="L75" s="1551"/>
    </row>
    <row r="76" spans="1:12" ht="12.75" customHeight="1">
      <c r="A76" s="761">
        <f t="shared" si="4"/>
        <v>2019</v>
      </c>
      <c r="B76" s="818"/>
      <c r="C76" s="1287"/>
      <c r="D76" s="1772"/>
      <c r="E76" s="1773"/>
      <c r="F76" s="1775"/>
      <c r="G76" s="1772"/>
      <c r="H76" s="1775"/>
      <c r="I76" s="1101"/>
      <c r="J76" s="1101"/>
      <c r="K76" s="1550"/>
      <c r="L76" s="1551"/>
    </row>
    <row r="77" spans="1:12" ht="12.75" customHeight="1">
      <c r="A77" s="761">
        <f t="shared" si="4"/>
        <v>2020</v>
      </c>
      <c r="B77" s="819"/>
      <c r="C77" s="1287"/>
      <c r="D77" s="1772"/>
      <c r="E77" s="1773"/>
      <c r="F77" s="1799"/>
      <c r="G77" s="1772"/>
      <c r="H77" s="1799"/>
      <c r="I77" s="1101"/>
      <c r="J77" s="1101"/>
      <c r="K77" s="1550"/>
      <c r="L77" s="1551"/>
    </row>
    <row r="78" spans="1:13" ht="12.75" customHeight="1">
      <c r="A78" s="761">
        <f t="shared" si="4"/>
        <v>2021</v>
      </c>
      <c r="B78" s="1780" t="str">
        <f>CONCATENATE("Totaal regel ",A67," t/m ",A77,)</f>
        <v>Totaal regel 2010 t/m 2020</v>
      </c>
      <c r="C78" s="1693"/>
      <c r="D78" s="1693"/>
      <c r="E78" s="1693"/>
      <c r="F78" s="1633"/>
      <c r="G78" s="1800">
        <f>SUM(G67:H77)</f>
        <v>0</v>
      </c>
      <c r="H78" s="1633"/>
      <c r="I78" s="824">
        <f>SUM(I67:I77)</f>
        <v>0</v>
      </c>
      <c r="J78" s="824">
        <f>SUM(J67:J77)</f>
        <v>0</v>
      </c>
      <c r="K78" s="1095"/>
      <c r="L78" s="92"/>
      <c r="M78" s="92"/>
    </row>
    <row r="79" spans="1:12" ht="12.75" customHeight="1">
      <c r="A79" s="697"/>
      <c r="B79" s="1482" t="s">
        <v>867</v>
      </c>
      <c r="C79" s="1129"/>
      <c r="D79" s="1129"/>
      <c r="E79" s="1129"/>
      <c r="F79" s="1129"/>
      <c r="G79" s="1084"/>
      <c r="H79" s="84"/>
      <c r="I79" s="84"/>
      <c r="J79" s="84"/>
      <c r="K79" s="84"/>
      <c r="L79" s="697"/>
    </row>
    <row r="80" spans="1:12" ht="12.75" customHeight="1">
      <c r="A80" s="697"/>
      <c r="B80" s="1516" t="s">
        <v>868</v>
      </c>
      <c r="C80" s="1129"/>
      <c r="D80" s="1129"/>
      <c r="E80" s="1129"/>
      <c r="F80" s="1129"/>
      <c r="G80" s="1084"/>
      <c r="H80" s="84"/>
      <c r="I80" s="84"/>
      <c r="J80" s="84"/>
      <c r="K80" s="84"/>
      <c r="L80" s="697"/>
    </row>
    <row r="81" spans="1:12" ht="12.75" customHeight="1">
      <c r="A81" s="697"/>
      <c r="B81" s="1516" t="s">
        <v>918</v>
      </c>
      <c r="C81" s="1129"/>
      <c r="D81" s="1129"/>
      <c r="E81" s="1129"/>
      <c r="F81" s="1129"/>
      <c r="G81" s="1084"/>
      <c r="H81" s="84"/>
      <c r="I81" s="84"/>
      <c r="J81" s="84"/>
      <c r="K81" s="84"/>
      <c r="L81" s="697"/>
    </row>
    <row r="82" spans="1:12" ht="12.75" customHeight="1">
      <c r="A82" s="697"/>
      <c r="B82" s="1483"/>
      <c r="C82" s="1129"/>
      <c r="D82" s="1129"/>
      <c r="E82" s="1129"/>
      <c r="F82" s="1129"/>
      <c r="G82" s="1084"/>
      <c r="H82" s="84"/>
      <c r="I82" s="84"/>
      <c r="J82" s="84"/>
      <c r="K82" s="84"/>
      <c r="L82" s="697"/>
    </row>
    <row r="83" spans="1:12" ht="12.75" customHeight="1">
      <c r="A83" s="697"/>
      <c r="B83" s="1483"/>
      <c r="C83" s="1129"/>
      <c r="D83" s="1129"/>
      <c r="E83" s="1129"/>
      <c r="F83" s="1129"/>
      <c r="G83" s="1084"/>
      <c r="H83" s="84"/>
      <c r="I83" s="84"/>
      <c r="J83" s="84"/>
      <c r="K83" s="84"/>
      <c r="L83" s="697"/>
    </row>
    <row r="84" spans="1:12" ht="12.75" customHeight="1">
      <c r="A84" s="697"/>
      <c r="B84" s="1483"/>
      <c r="C84" s="1129"/>
      <c r="D84" s="1129"/>
      <c r="E84" s="1129"/>
      <c r="F84" s="1129"/>
      <c r="G84" s="1084"/>
      <c r="H84" s="84"/>
      <c r="I84" s="84"/>
      <c r="J84" s="84"/>
      <c r="K84" s="84"/>
      <c r="L84" s="697"/>
    </row>
    <row r="85" spans="1:13" ht="15.75" customHeight="1">
      <c r="A85" s="1285" t="str">
        <f>Inhoud!$A$2</f>
        <v>Nacalculatieformulier 2005 GGZ-instellingen</v>
      </c>
      <c r="B85" s="631"/>
      <c r="C85" s="633"/>
      <c r="D85" s="631"/>
      <c r="E85" s="631"/>
      <c r="F85" s="634"/>
      <c r="G85" s="634"/>
      <c r="H85" s="633"/>
      <c r="I85" s="633"/>
      <c r="J85" s="616"/>
      <c r="K85" s="616"/>
      <c r="L85" s="542"/>
      <c r="M85" s="1258">
        <f>M47+1</f>
        <v>21</v>
      </c>
    </row>
    <row r="86" spans="1:13" ht="12" customHeight="1">
      <c r="A86" s="1509"/>
      <c r="B86" s="91"/>
      <c r="C86" s="626"/>
      <c r="D86" s="91"/>
      <c r="E86" s="91"/>
      <c r="F86" s="627"/>
      <c r="G86" s="627"/>
      <c r="H86" s="626"/>
      <c r="I86" s="626"/>
      <c r="J86" s="629"/>
      <c r="K86" s="629"/>
      <c r="L86" s="514"/>
      <c r="M86" s="628"/>
    </row>
    <row r="87" spans="1:12" ht="12.75" customHeight="1">
      <c r="A87" s="14" t="s">
        <v>1318</v>
      </c>
      <c r="B87" s="460" t="str">
        <f>CONCATENATE("Geïndexeerde huren ",Voorblad!E3," ")</f>
        <v>Geïndexeerde huren 2005 </v>
      </c>
      <c r="J87" s="84"/>
      <c r="K87" s="84"/>
      <c r="L87" s="697"/>
    </row>
    <row r="88" spans="2:12" ht="12.75" customHeight="1">
      <c r="B88" s="466"/>
      <c r="C88" s="1084"/>
      <c r="D88" s="1084"/>
      <c r="E88" s="1084"/>
      <c r="F88" s="1084"/>
      <c r="G88" s="1084"/>
      <c r="H88" s="84"/>
      <c r="I88" s="84"/>
      <c r="J88" s="84"/>
      <c r="K88" s="84"/>
      <c r="L88" s="697"/>
    </row>
    <row r="89" spans="2:12" ht="12.75" customHeight="1">
      <c r="B89" s="460" t="str">
        <f>CONCATENATE("Gegevens laatste rekenstaat ",Voorblad!E3," ")</f>
        <v>Gegevens laatste rekenstaat 2005 </v>
      </c>
      <c r="C89" s="1084"/>
      <c r="D89" s="460"/>
      <c r="E89" s="1084"/>
      <c r="F89" s="1084"/>
      <c r="G89" s="1084"/>
      <c r="H89" s="84"/>
      <c r="I89" s="1324" t="s">
        <v>820</v>
      </c>
      <c r="J89" s="84"/>
      <c r="K89" s="84"/>
      <c r="L89" s="697"/>
    </row>
    <row r="90" spans="1:12" ht="12.75" customHeight="1">
      <c r="A90" s="761">
        <f>M85*100+1</f>
        <v>2101</v>
      </c>
      <c r="B90" s="997" t="s">
        <v>638</v>
      </c>
      <c r="C90" s="1113"/>
      <c r="D90" s="1113"/>
      <c r="E90" s="1113"/>
      <c r="F90" s="1113"/>
      <c r="G90" s="1113"/>
      <c r="H90" s="784"/>
      <c r="I90" s="1323"/>
      <c r="J90" s="84"/>
      <c r="K90" s="84"/>
      <c r="L90" s="697"/>
    </row>
    <row r="91" spans="2:12" ht="12.75" customHeight="1">
      <c r="B91" s="679"/>
      <c r="C91" s="1084"/>
      <c r="D91" s="1084"/>
      <c r="E91" s="1084"/>
      <c r="F91" s="1084"/>
      <c r="G91" s="1084"/>
      <c r="H91" s="84"/>
      <c r="I91" s="84"/>
      <c r="J91" s="84"/>
      <c r="K91" s="84"/>
      <c r="L91" s="697"/>
    </row>
    <row r="92" spans="2:12" ht="12.75" customHeight="1">
      <c r="B92" s="460" t="str">
        <f>CONCATENATE("Toename geïndexeerde huren ",Voorblad!E3," (nieuw ingebruikgenomen panden)")</f>
        <v>Toename geïndexeerde huren 2005 (nieuw ingebruikgenomen panden)</v>
      </c>
      <c r="C92" s="92"/>
      <c r="D92" s="92"/>
      <c r="E92" s="92"/>
      <c r="F92" s="92"/>
      <c r="G92" s="92"/>
      <c r="H92" s="92"/>
      <c r="I92" s="92"/>
      <c r="J92" s="92"/>
      <c r="K92" s="701"/>
      <c r="L92" s="92"/>
    </row>
    <row r="93" spans="1:12" ht="12.75" customHeight="1">
      <c r="A93" s="680"/>
      <c r="B93" s="1764" t="s">
        <v>113</v>
      </c>
      <c r="C93" s="1795"/>
      <c r="D93" s="1795"/>
      <c r="E93" s="1796"/>
      <c r="F93" s="1724"/>
      <c r="G93" s="1724"/>
      <c r="H93" s="1761"/>
      <c r="I93" s="1086" t="s">
        <v>634</v>
      </c>
      <c r="J93" s="1089" t="s">
        <v>635</v>
      </c>
      <c r="K93" s="1093"/>
      <c r="L93" s="92"/>
    </row>
    <row r="94" spans="1:12" ht="12.75" customHeight="1">
      <c r="A94" s="656"/>
      <c r="B94" s="1082" t="s">
        <v>997</v>
      </c>
      <c r="C94" s="1082" t="s">
        <v>1379</v>
      </c>
      <c r="D94" s="1789" t="s">
        <v>114</v>
      </c>
      <c r="E94" s="1797"/>
      <c r="F94" s="1701"/>
      <c r="G94" s="1701"/>
      <c r="H94" s="1702"/>
      <c r="I94" s="1322" t="str">
        <f>CONCATENATE(Voorblad!$E$3)</f>
        <v>2005</v>
      </c>
      <c r="J94" s="1083" t="s">
        <v>636</v>
      </c>
      <c r="K94" s="1093"/>
      <c r="L94" s="92"/>
    </row>
    <row r="95" spans="1:14" ht="12.75" customHeight="1">
      <c r="A95" s="761">
        <f>A90+1</f>
        <v>2102</v>
      </c>
      <c r="B95" s="818"/>
      <c r="C95" s="483"/>
      <c r="D95" s="1772"/>
      <c r="E95" s="1773"/>
      <c r="F95" s="1774"/>
      <c r="G95" s="1774"/>
      <c r="H95" s="1775"/>
      <c r="I95" s="434"/>
      <c r="J95" s="434"/>
      <c r="K95" s="1094"/>
      <c r="L95" s="92"/>
      <c r="N95" s="921"/>
    </row>
    <row r="96" spans="1:12" ht="12.75" customHeight="1">
      <c r="A96" s="761">
        <f aca="true" t="shared" si="5" ref="A96:A105">A95+1</f>
        <v>2103</v>
      </c>
      <c r="B96" s="818"/>
      <c r="C96" s="483"/>
      <c r="D96" s="1772"/>
      <c r="E96" s="1773"/>
      <c r="F96" s="1774"/>
      <c r="G96" s="1774"/>
      <c r="H96" s="1775"/>
      <c r="I96" s="434"/>
      <c r="J96" s="434"/>
      <c r="K96" s="1094"/>
      <c r="L96" s="92"/>
    </row>
    <row r="97" spans="1:12" ht="12.75" customHeight="1">
      <c r="A97" s="761">
        <f t="shared" si="5"/>
        <v>2104</v>
      </c>
      <c r="B97" s="818"/>
      <c r="C97" s="483"/>
      <c r="D97" s="1772"/>
      <c r="E97" s="1773"/>
      <c r="F97" s="1774"/>
      <c r="G97" s="1774"/>
      <c r="H97" s="1775"/>
      <c r="I97" s="434"/>
      <c r="J97" s="434"/>
      <c r="K97" s="1094"/>
      <c r="L97" s="92"/>
    </row>
    <row r="98" spans="1:12" ht="12.75" customHeight="1">
      <c r="A98" s="761">
        <f t="shared" si="5"/>
        <v>2105</v>
      </c>
      <c r="B98" s="818"/>
      <c r="C98" s="483"/>
      <c r="D98" s="1772"/>
      <c r="E98" s="1773"/>
      <c r="F98" s="1774"/>
      <c r="G98" s="1774"/>
      <c r="H98" s="1775"/>
      <c r="I98" s="434"/>
      <c r="J98" s="434"/>
      <c r="K98" s="1094"/>
      <c r="L98" s="92"/>
    </row>
    <row r="99" spans="1:12" ht="12.75" customHeight="1">
      <c r="A99" s="761">
        <f t="shared" si="5"/>
        <v>2106</v>
      </c>
      <c r="B99" s="818"/>
      <c r="C99" s="483"/>
      <c r="D99" s="1772"/>
      <c r="E99" s="1773"/>
      <c r="F99" s="1774"/>
      <c r="G99" s="1774"/>
      <c r="H99" s="1775"/>
      <c r="I99" s="434"/>
      <c r="J99" s="434"/>
      <c r="K99" s="1094"/>
      <c r="L99" s="92"/>
    </row>
    <row r="100" spans="1:12" ht="12.75" customHeight="1">
      <c r="A100" s="761">
        <f t="shared" si="5"/>
        <v>2107</v>
      </c>
      <c r="B100" s="818"/>
      <c r="C100" s="483"/>
      <c r="D100" s="1772"/>
      <c r="E100" s="1773"/>
      <c r="F100" s="1774"/>
      <c r="G100" s="1774"/>
      <c r="H100" s="1775"/>
      <c r="I100" s="434"/>
      <c r="J100" s="434"/>
      <c r="K100" s="1094"/>
      <c r="L100" s="92"/>
    </row>
    <row r="101" spans="1:12" ht="12.75" customHeight="1">
      <c r="A101" s="761">
        <f t="shared" si="5"/>
        <v>2108</v>
      </c>
      <c r="B101" s="818"/>
      <c r="C101" s="483"/>
      <c r="D101" s="1492"/>
      <c r="E101" s="1493"/>
      <c r="F101" s="1494"/>
      <c r="G101" s="1494"/>
      <c r="H101" s="1495"/>
      <c r="I101" s="434"/>
      <c r="J101" s="434"/>
      <c r="K101" s="1094"/>
      <c r="L101" s="92"/>
    </row>
    <row r="102" spans="1:12" ht="12.75" customHeight="1">
      <c r="A102" s="761">
        <f t="shared" si="5"/>
        <v>2109</v>
      </c>
      <c r="B102" s="818"/>
      <c r="C102" s="483"/>
      <c r="D102" s="1492"/>
      <c r="E102" s="1493"/>
      <c r="F102" s="1494"/>
      <c r="G102" s="1494"/>
      <c r="H102" s="1495"/>
      <c r="I102" s="434"/>
      <c r="J102" s="434"/>
      <c r="K102" s="1094"/>
      <c r="L102" s="92"/>
    </row>
    <row r="103" spans="1:12" ht="12.75" customHeight="1">
      <c r="A103" s="761">
        <f t="shared" si="5"/>
        <v>2110</v>
      </c>
      <c r="B103" s="818"/>
      <c r="C103" s="483"/>
      <c r="D103" s="1772"/>
      <c r="E103" s="1773"/>
      <c r="F103" s="1774"/>
      <c r="G103" s="1774"/>
      <c r="H103" s="1775"/>
      <c r="I103" s="434"/>
      <c r="J103" s="434"/>
      <c r="K103" s="1094"/>
      <c r="L103" s="92"/>
    </row>
    <row r="104" spans="1:12" ht="12.75" customHeight="1">
      <c r="A104" s="761">
        <f t="shared" si="5"/>
        <v>2111</v>
      </c>
      <c r="B104" s="1088"/>
      <c r="C104" s="483"/>
      <c r="D104" s="1772"/>
      <c r="E104" s="1773"/>
      <c r="F104" s="1774"/>
      <c r="G104" s="1774"/>
      <c r="H104" s="1775"/>
      <c r="I104" s="434"/>
      <c r="J104" s="434"/>
      <c r="K104" s="1094"/>
      <c r="L104" s="92"/>
    </row>
    <row r="105" spans="1:12" ht="12.75" customHeight="1">
      <c r="A105" s="761">
        <f t="shared" si="5"/>
        <v>2112</v>
      </c>
      <c r="B105" s="1780" t="str">
        <f>CONCATENATE("Totaal regel ",A95," t/m ",A104,)</f>
        <v>Totaal regel 2102 t/m 2111</v>
      </c>
      <c r="C105" s="1693"/>
      <c r="D105" s="1693"/>
      <c r="E105" s="1693"/>
      <c r="F105" s="1693"/>
      <c r="G105" s="1693"/>
      <c r="H105" s="1633"/>
      <c r="I105" s="825">
        <f>SUM(I95:I104)</f>
        <v>0</v>
      </c>
      <c r="J105" s="825">
        <f>SUM(J95:J104)</f>
        <v>0</v>
      </c>
      <c r="K105" s="1096"/>
      <c r="L105" s="92"/>
    </row>
    <row r="106" spans="2:12" ht="12.75" customHeight="1">
      <c r="B106" s="679"/>
      <c r="K106" s="701"/>
      <c r="L106" s="92"/>
    </row>
    <row r="107" spans="1:12" ht="12.75" customHeight="1">
      <c r="A107" s="14"/>
      <c r="B107" s="460" t="str">
        <f>CONCATENATE("Afname geïndexeerde huren ",Voorblad!E3," (afgestoten panden)")</f>
        <v>Afname geïndexeerde huren 2005 (afgestoten panden)</v>
      </c>
      <c r="C107" s="92"/>
      <c r="D107" s="92"/>
      <c r="E107" s="92"/>
      <c r="F107" s="92"/>
      <c r="G107" s="92"/>
      <c r="H107" s="92"/>
      <c r="I107" s="92"/>
      <c r="K107" s="701"/>
      <c r="L107" s="92"/>
    </row>
    <row r="108" spans="1:12" ht="12.75" customHeight="1">
      <c r="A108" s="680"/>
      <c r="B108" s="1764" t="s">
        <v>113</v>
      </c>
      <c r="C108" s="1795"/>
      <c r="D108" s="1795"/>
      <c r="E108" s="1796"/>
      <c r="F108" s="1724"/>
      <c r="G108" s="1724"/>
      <c r="H108" s="1761"/>
      <c r="I108" s="1086" t="s">
        <v>634</v>
      </c>
      <c r="J108" s="1089" t="s">
        <v>635</v>
      </c>
      <c r="K108" s="1093"/>
      <c r="L108" s="92"/>
    </row>
    <row r="109" spans="1:12" ht="12.75" customHeight="1">
      <c r="A109" s="656"/>
      <c r="B109" s="1789" t="s">
        <v>1432</v>
      </c>
      <c r="C109" s="1792"/>
      <c r="D109" s="1789" t="s">
        <v>114</v>
      </c>
      <c r="E109" s="1797"/>
      <c r="F109" s="1701"/>
      <c r="G109" s="1701"/>
      <c r="H109" s="1702"/>
      <c r="I109" s="1322" t="str">
        <f>CONCATENATE(Voorblad!$E$3)</f>
        <v>2005</v>
      </c>
      <c r="J109" s="1083" t="s">
        <v>636</v>
      </c>
      <c r="K109" s="1093"/>
      <c r="L109" s="92"/>
    </row>
    <row r="110" spans="1:12" ht="12.75" customHeight="1">
      <c r="A110" s="761">
        <f>A105+1</f>
        <v>2113</v>
      </c>
      <c r="B110" s="1793"/>
      <c r="C110" s="1794"/>
      <c r="D110" s="1772"/>
      <c r="E110" s="1773"/>
      <c r="F110" s="1693"/>
      <c r="G110" s="1693"/>
      <c r="H110" s="1633"/>
      <c r="I110" s="1098">
        <v>0</v>
      </c>
      <c r="J110" s="1098">
        <v>0</v>
      </c>
      <c r="K110" s="1094"/>
      <c r="L110" s="92"/>
    </row>
    <row r="111" spans="1:12" ht="12.75" customHeight="1">
      <c r="A111" s="761">
        <f>A110+1</f>
        <v>2114</v>
      </c>
      <c r="B111" s="1793"/>
      <c r="C111" s="1794"/>
      <c r="D111" s="1772"/>
      <c r="E111" s="1773"/>
      <c r="F111" s="1693"/>
      <c r="G111" s="1693"/>
      <c r="H111" s="1633"/>
      <c r="I111" s="1098">
        <v>0</v>
      </c>
      <c r="J111" s="1098">
        <v>0</v>
      </c>
      <c r="K111" s="1094"/>
      <c r="L111" s="92"/>
    </row>
    <row r="112" spans="1:12" ht="12.75" customHeight="1">
      <c r="A112" s="761">
        <f aca="true" t="shared" si="6" ref="A112:A120">A111+1</f>
        <v>2115</v>
      </c>
      <c r="B112" s="1793"/>
      <c r="C112" s="1794"/>
      <c r="D112" s="1772"/>
      <c r="E112" s="1773"/>
      <c r="F112" s="1693"/>
      <c r="G112" s="1693"/>
      <c r="H112" s="1633"/>
      <c r="I112" s="1098">
        <v>0</v>
      </c>
      <c r="J112" s="1098">
        <v>0</v>
      </c>
      <c r="K112" s="1094"/>
      <c r="L112" s="92"/>
    </row>
    <row r="113" spans="1:12" ht="12.75" customHeight="1">
      <c r="A113" s="761">
        <f t="shared" si="6"/>
        <v>2116</v>
      </c>
      <c r="B113" s="1793"/>
      <c r="C113" s="1794"/>
      <c r="D113" s="1772"/>
      <c r="E113" s="1773"/>
      <c r="F113" s="1693"/>
      <c r="G113" s="1693"/>
      <c r="H113" s="1633"/>
      <c r="I113" s="1098">
        <v>0</v>
      </c>
      <c r="J113" s="1098">
        <v>0</v>
      </c>
      <c r="K113" s="1094"/>
      <c r="L113" s="92"/>
    </row>
    <row r="114" spans="1:12" ht="12.75" customHeight="1">
      <c r="A114" s="761">
        <f t="shared" si="6"/>
        <v>2117</v>
      </c>
      <c r="B114" s="1793"/>
      <c r="C114" s="1794"/>
      <c r="D114" s="1772"/>
      <c r="E114" s="1773"/>
      <c r="F114" s="1693"/>
      <c r="G114" s="1693"/>
      <c r="H114" s="1633"/>
      <c r="I114" s="1098">
        <v>0</v>
      </c>
      <c r="J114" s="1098">
        <v>0</v>
      </c>
      <c r="K114" s="1094"/>
      <c r="L114" s="92"/>
    </row>
    <row r="115" spans="1:12" ht="12.75" customHeight="1">
      <c r="A115" s="761">
        <f t="shared" si="6"/>
        <v>2118</v>
      </c>
      <c r="B115" s="1496"/>
      <c r="C115" s="1497"/>
      <c r="D115" s="1492"/>
      <c r="E115" s="1493"/>
      <c r="F115" s="1491"/>
      <c r="G115" s="1491"/>
      <c r="H115" s="1490"/>
      <c r="I115" s="1098">
        <v>0</v>
      </c>
      <c r="J115" s="1098">
        <v>0</v>
      </c>
      <c r="K115" s="1094"/>
      <c r="L115" s="92"/>
    </row>
    <row r="116" spans="1:12" ht="12.75" customHeight="1">
      <c r="A116" s="761">
        <f t="shared" si="6"/>
        <v>2119</v>
      </c>
      <c r="B116" s="1496"/>
      <c r="C116" s="1497"/>
      <c r="D116" s="1492"/>
      <c r="E116" s="1493"/>
      <c r="F116" s="1491"/>
      <c r="G116" s="1491"/>
      <c r="H116" s="1490"/>
      <c r="I116" s="1098">
        <v>0</v>
      </c>
      <c r="J116" s="1098">
        <v>0</v>
      </c>
      <c r="K116" s="1094"/>
      <c r="L116" s="92"/>
    </row>
    <row r="117" spans="1:12" ht="12.75" customHeight="1">
      <c r="A117" s="761">
        <f t="shared" si="6"/>
        <v>2120</v>
      </c>
      <c r="B117" s="1793"/>
      <c r="C117" s="1794"/>
      <c r="D117" s="1772"/>
      <c r="E117" s="1773"/>
      <c r="F117" s="1693"/>
      <c r="G117" s="1693"/>
      <c r="H117" s="1633"/>
      <c r="I117" s="1098">
        <v>0</v>
      </c>
      <c r="J117" s="1098">
        <v>0</v>
      </c>
      <c r="K117" s="1094"/>
      <c r="L117" s="92"/>
    </row>
    <row r="118" spans="1:12" ht="12.75" customHeight="1">
      <c r="A118" s="761">
        <f t="shared" si="6"/>
        <v>2121</v>
      </c>
      <c r="B118" s="1793"/>
      <c r="C118" s="1794"/>
      <c r="D118" s="1772"/>
      <c r="E118" s="1773"/>
      <c r="F118" s="1693"/>
      <c r="G118" s="1693"/>
      <c r="H118" s="1633"/>
      <c r="I118" s="1098">
        <v>0</v>
      </c>
      <c r="J118" s="1098">
        <v>0</v>
      </c>
      <c r="K118" s="1094"/>
      <c r="L118" s="92"/>
    </row>
    <row r="119" spans="1:12" ht="12.75" customHeight="1">
      <c r="A119" s="761">
        <f t="shared" si="6"/>
        <v>2122</v>
      </c>
      <c r="B119" s="1793"/>
      <c r="C119" s="1794"/>
      <c r="D119" s="1772"/>
      <c r="E119" s="1773"/>
      <c r="F119" s="1693"/>
      <c r="G119" s="1693"/>
      <c r="H119" s="1633"/>
      <c r="I119" s="1098">
        <v>0</v>
      </c>
      <c r="J119" s="1098">
        <v>0</v>
      </c>
      <c r="K119" s="1094"/>
      <c r="L119" s="92"/>
    </row>
    <row r="120" spans="1:12" ht="12.75" customHeight="1">
      <c r="A120" s="761">
        <f t="shared" si="6"/>
        <v>2123</v>
      </c>
      <c r="B120" s="1780" t="str">
        <f>CONCATENATE("Totaal regel ",A110," t/m ",A119,)</f>
        <v>Totaal regel 2113 t/m 2122</v>
      </c>
      <c r="C120" s="1693"/>
      <c r="D120" s="1693"/>
      <c r="E120" s="1693"/>
      <c r="F120" s="1693"/>
      <c r="G120" s="1693"/>
      <c r="H120" s="1633"/>
      <c r="I120" s="1100">
        <f>SUM(I110:I119)</f>
        <v>0</v>
      </c>
      <c r="J120" s="1100">
        <f>SUM(J110:J119)</f>
        <v>0</v>
      </c>
      <c r="K120" s="1096"/>
      <c r="L120" s="92"/>
    </row>
    <row r="121" spans="1:13" ht="12.75" customHeight="1">
      <c r="A121" s="71"/>
      <c r="B121" s="47"/>
      <c r="C121" s="1237"/>
      <c r="D121" s="1237"/>
      <c r="E121" s="1237"/>
      <c r="F121" s="1237"/>
      <c r="G121" s="1237"/>
      <c r="H121" s="1237"/>
      <c r="I121" s="1097"/>
      <c r="J121" s="1097"/>
      <c r="K121"/>
      <c r="L121"/>
      <c r="M121"/>
    </row>
    <row r="122" spans="1:13" ht="12.75" customHeight="1">
      <c r="A122" s="14" t="s">
        <v>1319</v>
      </c>
      <c r="B122" s="460" t="str">
        <f>CONCATENATE("Totaal huren ",Voorblad!E3," ")</f>
        <v>Totaal huren 2005 </v>
      </c>
      <c r="K122"/>
      <c r="L122"/>
      <c r="M122"/>
    </row>
    <row r="123" spans="2:10" ht="12.75" customHeight="1">
      <c r="B123" s="1132"/>
      <c r="C123" s="1085"/>
      <c r="D123" s="1085"/>
      <c r="E123" s="1085"/>
      <c r="F123" s="1085"/>
      <c r="G123" s="1085"/>
      <c r="H123" s="1108"/>
      <c r="I123" s="1086" t="s">
        <v>634</v>
      </c>
      <c r="J123" s="1089" t="s">
        <v>635</v>
      </c>
    </row>
    <row r="124" spans="1:10" ht="12.75" customHeight="1">
      <c r="A124" s="697"/>
      <c r="B124" s="1109"/>
      <c r="C124" s="1110"/>
      <c r="D124" s="1110"/>
      <c r="E124" s="1110"/>
      <c r="F124" s="1110"/>
      <c r="G124" s="1110"/>
      <c r="H124" s="1111"/>
      <c r="I124" s="1322" t="str">
        <f>CONCATENATE(Voorblad!$E$3)</f>
        <v>2005</v>
      </c>
      <c r="J124" s="1083" t="s">
        <v>636</v>
      </c>
    </row>
    <row r="125" spans="1:10" ht="12.75" customHeight="1">
      <c r="A125" s="761">
        <f>A120+1</f>
        <v>2124</v>
      </c>
      <c r="B125" s="1780" t="str">
        <f>CONCATENATE("Niet geïndexeerd (regel ",A78,")")</f>
        <v>Niet geïndexeerd (regel 2021)</v>
      </c>
      <c r="C125" s="1693"/>
      <c r="D125" s="1693"/>
      <c r="E125" s="1693"/>
      <c r="F125" s="1693"/>
      <c r="G125" s="1693"/>
      <c r="H125" s="1633"/>
      <c r="I125" s="825">
        <f>I78</f>
        <v>0</v>
      </c>
      <c r="J125" s="825">
        <f>J78</f>
        <v>0</v>
      </c>
    </row>
    <row r="126" spans="1:10" ht="12.75" customHeight="1">
      <c r="A126" s="761">
        <f>A125+1</f>
        <v>2125</v>
      </c>
      <c r="B126" s="1780" t="str">
        <f>CONCATENATE("Geïndexeerd (regel ",A90," + ",A105," + ",A120,")")</f>
        <v>Geïndexeerd (regel 2101 + 2112 + 2123)</v>
      </c>
      <c r="C126" s="1693"/>
      <c r="D126" s="1693"/>
      <c r="E126" s="1693"/>
      <c r="F126" s="1693"/>
      <c r="G126" s="1693"/>
      <c r="H126" s="1633"/>
      <c r="I126" s="825">
        <f>I90+I105-I120</f>
        <v>0</v>
      </c>
      <c r="J126" s="825">
        <f>I90+J105-J120</f>
        <v>0</v>
      </c>
    </row>
    <row r="127" spans="1:10" ht="12.75" customHeight="1">
      <c r="A127" s="761">
        <f>A126+1</f>
        <v>2126</v>
      </c>
      <c r="B127" s="1112" t="s">
        <v>115</v>
      </c>
      <c r="C127" s="1114"/>
      <c r="D127" s="1114"/>
      <c r="E127" s="1114"/>
      <c r="F127" s="1114"/>
      <c r="G127" s="1114"/>
      <c r="H127" s="784"/>
      <c r="I127" s="1099">
        <f>SUM(I125:I126)</f>
        <v>0</v>
      </c>
      <c r="J127" s="1099">
        <f>SUM(J125:J126)</f>
        <v>0</v>
      </c>
    </row>
    <row r="128" spans="1:9" ht="12.75" customHeight="1">
      <c r="A128" s="761">
        <f>A127+1</f>
        <v>2127</v>
      </c>
      <c r="B128" s="772" t="str">
        <f>CONCATENATE("Totale huur en erfpacht volgens jaarrekening ",Voorblad!$E$3)</f>
        <v>Totale huur en erfpacht volgens jaarrekening 2005</v>
      </c>
      <c r="C128" s="879"/>
      <c r="D128" s="879"/>
      <c r="E128" s="879"/>
      <c r="F128" s="879"/>
      <c r="G128" s="879"/>
      <c r="H128" s="880"/>
      <c r="I128" s="434"/>
    </row>
    <row r="129" ht="12.75" customHeight="1"/>
  </sheetData>
  <sheetProtection password="958F" sheet="1" objects="1" scenarios="1"/>
  <mergeCells count="121">
    <mergeCell ref="G54:H54"/>
    <mergeCell ref="G55:H55"/>
    <mergeCell ref="D33:F33"/>
    <mergeCell ref="G33:H33"/>
    <mergeCell ref="B42:H42"/>
    <mergeCell ref="B35:M36"/>
    <mergeCell ref="G56:H56"/>
    <mergeCell ref="G57:H57"/>
    <mergeCell ref="B34:F34"/>
    <mergeCell ref="G34:H34"/>
    <mergeCell ref="G50:H50"/>
    <mergeCell ref="G51:H51"/>
    <mergeCell ref="G52:H52"/>
    <mergeCell ref="G53:H53"/>
    <mergeCell ref="B41:H41"/>
    <mergeCell ref="B43:H43"/>
    <mergeCell ref="D28:F28"/>
    <mergeCell ref="G28:H28"/>
    <mergeCell ref="D29:F29"/>
    <mergeCell ref="G29:H29"/>
    <mergeCell ref="D26:F26"/>
    <mergeCell ref="G26:H26"/>
    <mergeCell ref="D27:F27"/>
    <mergeCell ref="G27:H27"/>
    <mergeCell ref="B24:F24"/>
    <mergeCell ref="G24:H24"/>
    <mergeCell ref="D25:F25"/>
    <mergeCell ref="G25:H25"/>
    <mergeCell ref="G59:H59"/>
    <mergeCell ref="G60:H60"/>
    <mergeCell ref="G76:H76"/>
    <mergeCell ref="G73:H73"/>
    <mergeCell ref="G74:H74"/>
    <mergeCell ref="G75:H75"/>
    <mergeCell ref="G65:H65"/>
    <mergeCell ref="G66:H66"/>
    <mergeCell ref="G67:H67"/>
    <mergeCell ref="G68:H68"/>
    <mergeCell ref="B60:D60"/>
    <mergeCell ref="D67:F67"/>
    <mergeCell ref="D68:F68"/>
    <mergeCell ref="D69:F69"/>
    <mergeCell ref="G58:H58"/>
    <mergeCell ref="D97:H97"/>
    <mergeCell ref="D77:F77"/>
    <mergeCell ref="B125:H125"/>
    <mergeCell ref="G77:H77"/>
    <mergeCell ref="G78:H78"/>
    <mergeCell ref="B93:H93"/>
    <mergeCell ref="D96:H96"/>
    <mergeCell ref="D103:H103"/>
    <mergeCell ref="D94:H94"/>
    <mergeCell ref="B126:H126"/>
    <mergeCell ref="B119:C119"/>
    <mergeCell ref="D109:H109"/>
    <mergeCell ref="D110:H110"/>
    <mergeCell ref="D112:H112"/>
    <mergeCell ref="D113:H113"/>
    <mergeCell ref="D114:H114"/>
    <mergeCell ref="B117:C117"/>
    <mergeCell ref="D111:H111"/>
    <mergeCell ref="B113:C113"/>
    <mergeCell ref="D99:H99"/>
    <mergeCell ref="B108:H108"/>
    <mergeCell ref="B105:H105"/>
    <mergeCell ref="B112:C112"/>
    <mergeCell ref="B111:C111"/>
    <mergeCell ref="B110:C110"/>
    <mergeCell ref="D118:H118"/>
    <mergeCell ref="G71:H71"/>
    <mergeCell ref="D104:H104"/>
    <mergeCell ref="D119:H119"/>
    <mergeCell ref="D95:H95"/>
    <mergeCell ref="D98:H98"/>
    <mergeCell ref="D100:H100"/>
    <mergeCell ref="D117:H117"/>
    <mergeCell ref="D71:F71"/>
    <mergeCell ref="D72:F72"/>
    <mergeCell ref="G69:H69"/>
    <mergeCell ref="G70:H70"/>
    <mergeCell ref="G72:H72"/>
    <mergeCell ref="D75:F75"/>
    <mergeCell ref="D70:F70"/>
    <mergeCell ref="B120:H120"/>
    <mergeCell ref="B65:F65"/>
    <mergeCell ref="D66:F66"/>
    <mergeCell ref="D73:F73"/>
    <mergeCell ref="D74:F74"/>
    <mergeCell ref="B109:C109"/>
    <mergeCell ref="B78:F78"/>
    <mergeCell ref="B118:C118"/>
    <mergeCell ref="B114:C114"/>
    <mergeCell ref="D76:F76"/>
    <mergeCell ref="B10:F10"/>
    <mergeCell ref="G10:H10"/>
    <mergeCell ref="D11:F11"/>
    <mergeCell ref="G11:H11"/>
    <mergeCell ref="D12:F12"/>
    <mergeCell ref="G12:H12"/>
    <mergeCell ref="D13:F13"/>
    <mergeCell ref="G13:H13"/>
    <mergeCell ref="D18:F18"/>
    <mergeCell ref="G18:H18"/>
    <mergeCell ref="D14:F14"/>
    <mergeCell ref="G14:H14"/>
    <mergeCell ref="D15:F15"/>
    <mergeCell ref="G15:H15"/>
    <mergeCell ref="D16:F16"/>
    <mergeCell ref="G16:H16"/>
    <mergeCell ref="D17:F17"/>
    <mergeCell ref="G17:H17"/>
    <mergeCell ref="D19:F19"/>
    <mergeCell ref="G19:H19"/>
    <mergeCell ref="B20:F20"/>
    <mergeCell ref="G20:H20"/>
    <mergeCell ref="D32:F32"/>
    <mergeCell ref="G32:H32"/>
    <mergeCell ref="D30:F30"/>
    <mergeCell ref="G30:H30"/>
    <mergeCell ref="D31:F31"/>
    <mergeCell ref="G31:H31"/>
  </mergeCells>
  <conditionalFormatting sqref="I52:I59 B52:G59 I128 B95:J104 I90 B77:D77 G77 B110:J119 B26:I33 I7 B12:I19 B67:H76 I67:J77">
    <cfRule type="expression" priority="1" dxfId="2" stopIfTrue="1">
      <formula>$G$2=TRUE</formula>
    </cfRule>
  </conditionalFormatting>
  <conditionalFormatting sqref="M67:N77">
    <cfRule type="expression" priority="2" dxfId="1" stopIfTrue="1">
      <formula>$C$2=TRUE</formula>
    </cfRule>
  </conditionalFormatting>
  <dataValidations count="1">
    <dataValidation allowBlank="1" showInputMessage="1" showErrorMessage="1" promptTitle="Geactiveerd tot en met 2002" prompt="Als dit jaar instandhouding is uitgevoerd m.b.t. een zelfde meldingsbrief als vorig jaar, hier dan het tot en met bedrag vermelden uit het nacalculatieformulier van vorig jaar." sqref="E110:E119 E95:E104 E67:E76 E12:E19 E26:E33"/>
  </dataValidations>
  <printOptions/>
  <pageMargins left="0.3937007874015748" right="0.3937007874015748" top="0.3937007874015748" bottom="0.3937007874015748" header="0.2362204724409449" footer="0.11811023622047245"/>
  <pageSetup horizontalDpi="300" verticalDpi="300" orientation="landscape" paperSize="9" scale="95" r:id="rId2"/>
  <headerFooter alignWithMargins="0">
    <oddHeader xml:space="preserve">&amp;R&amp;9 </oddHeader>
  </headerFooter>
  <rowBreaks count="2" manualBreakCount="2">
    <brk id="45" max="12" man="1"/>
    <brk id="83" max="12" man="1"/>
  </rowBreaks>
  <drawing r:id="rId1"/>
</worksheet>
</file>

<file path=xl/worksheets/sheet11.xml><?xml version="1.0" encoding="utf-8"?>
<worksheet xmlns="http://schemas.openxmlformats.org/spreadsheetml/2006/main" xmlns:r="http://schemas.openxmlformats.org/officeDocument/2006/relationships">
  <sheetPr codeName="Blad11"/>
  <dimension ref="A1:M49"/>
  <sheetViews>
    <sheetView showGridLines="0" zoomScale="86" zoomScaleNormal="86" workbookViewId="0" topLeftCell="B1">
      <selection activeCell="Q7" sqref="Q7"/>
    </sheetView>
  </sheetViews>
  <sheetFormatPr defaultColWidth="9.140625" defaultRowHeight="12.75"/>
  <cols>
    <col min="1" max="1" width="5.7109375" style="467" customWidth="1"/>
    <col min="2" max="2" width="57.7109375" style="453" customWidth="1"/>
    <col min="3" max="3" width="14.7109375" style="456" customWidth="1"/>
    <col min="4" max="4" width="6.140625" style="487" customWidth="1"/>
    <col min="5" max="7" width="14.7109375" style="453" customWidth="1"/>
    <col min="8" max="8" width="3.8515625" style="453" customWidth="1"/>
    <col min="9" max="9" width="8.421875" style="471" customWidth="1"/>
    <col min="10" max="16384" width="9.140625" style="453" customWidth="1"/>
  </cols>
  <sheetData>
    <row r="1" spans="1:12" ht="15.75" customHeight="1">
      <c r="A1" s="41"/>
      <c r="B1" s="42"/>
      <c r="C1" s="43"/>
      <c r="D1" s="42"/>
      <c r="E1" s="42"/>
      <c r="F1" s="45"/>
      <c r="G1" s="45"/>
      <c r="H1" s="41"/>
      <c r="I1" s="42"/>
      <c r="L1" s="451"/>
    </row>
    <row r="2" spans="1:12" s="513" customFormat="1" ht="15.75" customHeight="1">
      <c r="A2" s="616" t="str">
        <f>Inhoud!$A$2</f>
        <v>Nacalculatieformulier 2005 GGZ-instellingen</v>
      </c>
      <c r="B2" s="631"/>
      <c r="C2" s="542"/>
      <c r="D2" s="634" t="b">
        <f>Voorblad!E28</f>
        <v>1</v>
      </c>
      <c r="E2" s="634"/>
      <c r="F2" s="633"/>
      <c r="G2" s="633"/>
      <c r="H2" s="633"/>
      <c r="I2" s="1258">
        <f>'Overige kap.lasten '!M85+1</f>
        <v>22</v>
      </c>
      <c r="L2" s="514"/>
    </row>
    <row r="3" spans="1:12" ht="12">
      <c r="A3" s="41"/>
      <c r="B3" s="42"/>
      <c r="C3" s="43"/>
      <c r="D3" s="42"/>
      <c r="E3" s="42"/>
      <c r="F3" s="45"/>
      <c r="G3" s="45"/>
      <c r="H3" s="41"/>
      <c r="I3" s="42"/>
      <c r="L3" s="451"/>
    </row>
    <row r="4" spans="1:10" ht="12.75" customHeight="1">
      <c r="A4" s="14" t="s">
        <v>1268</v>
      </c>
      <c r="B4" s="95"/>
      <c r="C4" s="387"/>
      <c r="D4" s="95"/>
      <c r="E4" s="90"/>
      <c r="F4" s="621"/>
      <c r="G4" s="621"/>
      <c r="H4" s="95"/>
      <c r="I4" s="95"/>
      <c r="J4" s="451"/>
    </row>
    <row r="5" spans="1:9" ht="5.25" customHeight="1">
      <c r="A5" s="41"/>
      <c r="B5" s="95"/>
      <c r="C5" s="95"/>
      <c r="D5" s="95"/>
      <c r="E5" s="163"/>
      <c r="F5" s="165"/>
      <c r="G5" s="165"/>
      <c r="H5" s="163"/>
      <c r="I5" s="163"/>
    </row>
    <row r="6" spans="1:9" s="598" customFormat="1" ht="12.75" customHeight="1">
      <c r="A6" s="664" t="s">
        <v>991</v>
      </c>
      <c r="B6" s="14" t="s">
        <v>838</v>
      </c>
      <c r="G6"/>
      <c r="H6" s="694"/>
      <c r="I6" s="694"/>
    </row>
    <row r="7" spans="1:13" s="451" customFormat="1" ht="12.75" customHeight="1">
      <c r="A7" s="26"/>
      <c r="B7" s="1171"/>
      <c r="C7" s="1203" t="s">
        <v>986</v>
      </c>
      <c r="D7" s="1810" t="s">
        <v>820</v>
      </c>
      <c r="E7" s="1811"/>
      <c r="F7" s="1089" t="s">
        <v>990</v>
      </c>
      <c r="G7" s="1089" t="s">
        <v>990</v>
      </c>
      <c r="H7" s="26"/>
      <c r="I7" s="132"/>
      <c r="J7" s="1544" t="s">
        <v>767</v>
      </c>
      <c r="K7" s="1539" t="s">
        <v>1331</v>
      </c>
      <c r="L7" s="587"/>
      <c r="M7" s="470"/>
    </row>
    <row r="8" spans="2:11" ht="12.75" customHeight="1">
      <c r="B8" s="1162"/>
      <c r="C8" s="716" t="s">
        <v>987</v>
      </c>
      <c r="D8" s="695" t="s">
        <v>808</v>
      </c>
      <c r="E8" s="669" t="s">
        <v>850</v>
      </c>
      <c r="F8" s="1157"/>
      <c r="G8" s="1157" t="s">
        <v>712</v>
      </c>
      <c r="H8" s="697"/>
      <c r="I8" s="686"/>
      <c r="J8" s="1545" t="s">
        <v>769</v>
      </c>
      <c r="K8" s="1540" t="s">
        <v>769</v>
      </c>
    </row>
    <row r="9" spans="1:11" ht="12.75" customHeight="1">
      <c r="A9" s="761">
        <f>(I2*100)+1</f>
        <v>2201</v>
      </c>
      <c r="B9" s="843" t="str">
        <f>CONCATENATE("Loonkosten nacalculatie productie (regel ",IF(AND(Productie!L137&lt;=0,Productie!E158&lt;0),Productie!#REF!,Productie!H138),")")</f>
        <v>Loonkosten nacalculatie productie (regel 1032)</v>
      </c>
      <c r="C9" s="484">
        <f>Productie!L141</f>
        <v>0</v>
      </c>
      <c r="D9" s="142" t="s">
        <v>641</v>
      </c>
      <c r="E9" s="484">
        <f>Productie!L134</f>
        <v>0</v>
      </c>
      <c r="F9" s="484">
        <f>C9-E9</f>
        <v>0</v>
      </c>
      <c r="G9"/>
      <c r="H9" s="697"/>
      <c r="I9" s="1325" t="s">
        <v>1276</v>
      </c>
      <c r="J9" s="1541" t="str">
        <f>CONCATENATE("1-1-",Voorblad!$E$3)</f>
        <v>1-1-2005</v>
      </c>
      <c r="K9" s="1541" t="str">
        <f>CONCATENATE("1-1-",Voorblad!$E$3+1)</f>
        <v>1-1-2006</v>
      </c>
    </row>
    <row r="10" spans="1:11" ht="12.75" customHeight="1">
      <c r="A10" s="761">
        <f>A9+1</f>
        <v>2202</v>
      </c>
      <c r="B10" s="1058" t="str">
        <f>CONCATENATE("Vervoerskosten bij begeleiding in de GGZ ( regel ",Productie!H159,")")</f>
        <v>Vervoerskosten bij begeleiding in de GGZ ( regel 1040)</v>
      </c>
      <c r="C10" s="1046">
        <f>Productie!M159</f>
        <v>0</v>
      </c>
      <c r="D10" s="142" t="s">
        <v>642</v>
      </c>
      <c r="E10" s="1404">
        <f>Productie!L135</f>
        <v>0</v>
      </c>
      <c r="F10" s="484">
        <f>C10-E10</f>
        <v>0</v>
      </c>
      <c r="G10" s="697"/>
      <c r="I10" s="1325" t="s">
        <v>80</v>
      </c>
      <c r="J10" s="1542" t="str">
        <f>CONCATENATE("1-1-",Voorblad!$E$3)</f>
        <v>1-1-2005</v>
      </c>
      <c r="K10" s="1542" t="str">
        <f>CONCATENATE("1-1-",Voorblad!$E$3+1)</f>
        <v>1-1-2006</v>
      </c>
    </row>
    <row r="11" spans="1:11" ht="12.75" customHeight="1">
      <c r="A11" s="761">
        <f aca="true" t="shared" si="0" ref="A11:A30">A10+1</f>
        <v>2203</v>
      </c>
      <c r="B11" s="828" t="str">
        <f>CONCATENATE("Vrij besteedbare aanvullende inkomsten (regel ",Opbrengsten!A84,")")</f>
        <v>Vrij besteedbare aanvullende inkomsten (regel 1222)</v>
      </c>
      <c r="C11" s="484">
        <f>Opbrengsten!G84</f>
        <v>0</v>
      </c>
      <c r="D11" s="141">
        <v>40</v>
      </c>
      <c r="E11" s="500"/>
      <c r="F11" s="484">
        <f>C11-E11</f>
        <v>0</v>
      </c>
      <c r="G11"/>
      <c r="H11" s="699"/>
      <c r="I11" s="1325" t="s">
        <v>1370</v>
      </c>
      <c r="J11" s="1542" t="str">
        <f>CONCATENATE("1-1-",Voorblad!$E$3)</f>
        <v>1-1-2005</v>
      </c>
      <c r="K11" s="1542" t="str">
        <f>CONCATENATE("1-1-",Voorblad!$E$3+1)</f>
        <v>1-1-2006</v>
      </c>
    </row>
    <row r="12" spans="1:11" s="451" customFormat="1" ht="12.75" customHeight="1">
      <c r="A12" s="761">
        <f t="shared" si="0"/>
        <v>2204</v>
      </c>
      <c r="B12" s="675" t="str">
        <f>CONCATENATE("Nacalculeerbare afschrijvingskosten (regel ",Afschrijvingen!A22,")")</f>
        <v>Nacalculeerbare afschrijvingskosten (regel 1313)</v>
      </c>
      <c r="C12" s="505">
        <f>Afschrijvingen!I22</f>
        <v>0</v>
      </c>
      <c r="D12" s="141">
        <v>70</v>
      </c>
      <c r="E12" s="500"/>
      <c r="F12" s="484">
        <f>C12-E12</f>
        <v>0</v>
      </c>
      <c r="G12"/>
      <c r="H12" s="699"/>
      <c r="I12" s="1325" t="s">
        <v>802</v>
      </c>
      <c r="J12" s="1542" t="str">
        <f>CONCATENATE("1-1-",Voorblad!$E$3)</f>
        <v>1-1-2005</v>
      </c>
      <c r="K12" s="1543" t="s">
        <v>629</v>
      </c>
    </row>
    <row r="13" spans="1:11" s="451" customFormat="1" ht="12.75" customHeight="1">
      <c r="A13" s="761">
        <f t="shared" si="0"/>
        <v>2205</v>
      </c>
      <c r="B13" s="570" t="str">
        <f>CONCATENATE("Voordeel budgettair bouwen (regel ",WZV!A120,")")</f>
        <v>Voordeel budgettair bouwen (regel 1618)</v>
      </c>
      <c r="C13" s="505">
        <f>E13+F13</f>
        <v>0</v>
      </c>
      <c r="D13" s="141"/>
      <c r="E13" s="500"/>
      <c r="F13" s="484">
        <f>WZV!G120</f>
        <v>0</v>
      </c>
      <c r="G13"/>
      <c r="H13" s="699"/>
      <c r="I13" s="1325" t="s">
        <v>650</v>
      </c>
      <c r="J13" s="1542" t="str">
        <f>CONCATENATE("1-1-",Voorblad!$E$3)</f>
        <v>1-1-2005</v>
      </c>
      <c r="K13" s="1542" t="str">
        <f>CONCATENATE("1-1-",Voorblad!$E$3+20)</f>
        <v>1-1-2025</v>
      </c>
    </row>
    <row r="14" spans="1:9" s="451" customFormat="1" ht="12.75" customHeight="1">
      <c r="A14" s="761">
        <f t="shared" si="0"/>
        <v>2206</v>
      </c>
      <c r="B14" s="570" t="str">
        <f>CONCATENATE("Afschrijvingskosten trekkingsrechten (5% van regel ",A39,")")</f>
        <v>Afschrijvingskosten trekkingsrechten (5% van regel 2226)</v>
      </c>
      <c r="C14" s="1206"/>
      <c r="D14" s="189"/>
      <c r="E14" s="480"/>
      <c r="F14" s="484">
        <f>0.05*F39</f>
        <v>0</v>
      </c>
      <c r="G14"/>
      <c r="H14" s="699"/>
      <c r="I14" s="1326"/>
    </row>
    <row r="15" spans="1:11" s="451" customFormat="1" ht="12.75" customHeight="1">
      <c r="A15" s="761">
        <f t="shared" si="0"/>
        <v>2207</v>
      </c>
      <c r="B15" s="675" t="str">
        <f>CONCATENATE("Rentekosten (regel ",'Rentecalc.'!A30,")")</f>
        <v>Rentekosten (regel 2316)</v>
      </c>
      <c r="C15" s="484">
        <f>'Rentecalc.'!E30</f>
        <v>0</v>
      </c>
      <c r="D15" s="141">
        <v>71</v>
      </c>
      <c r="E15" s="434"/>
      <c r="F15" s="484">
        <f aca="true" t="shared" si="1" ref="F15:F20">C15-E15</f>
        <v>0</v>
      </c>
      <c r="G15"/>
      <c r="H15" s="673"/>
      <c r="I15" s="1325" t="s">
        <v>803</v>
      </c>
      <c r="J15" s="1542" t="str">
        <f>CONCATENATE("1-1-",Voorblad!$E$3)</f>
        <v>1-1-2005</v>
      </c>
      <c r="K15" s="1543" t="s">
        <v>629</v>
      </c>
    </row>
    <row r="16" spans="1:11" s="451" customFormat="1" ht="12.75" customHeight="1">
      <c r="A16" s="761">
        <f t="shared" si="0"/>
        <v>2208</v>
      </c>
      <c r="B16" s="675" t="str">
        <f>CONCATENATE("Overgangsregeling kapitaalslasten ","(regel ",'Overige kap.lasten '!A44,")")</f>
        <v>Overgangsregeling kapitaalslasten (regel 1923)</v>
      </c>
      <c r="C16" s="505">
        <f>'Overige kap.lasten '!I44</f>
        <v>0</v>
      </c>
      <c r="D16" s="142" t="s">
        <v>713</v>
      </c>
      <c r="E16" s="434"/>
      <c r="F16" s="484">
        <f>C16-E16</f>
        <v>0</v>
      </c>
      <c r="G16"/>
      <c r="H16" s="699"/>
      <c r="I16" s="1479" t="s">
        <v>847</v>
      </c>
      <c r="J16" s="1542" t="str">
        <f>CONCATENATE("1-1-",Voorblad!$E$3)</f>
        <v>1-1-2005</v>
      </c>
      <c r="K16" s="1543" t="s">
        <v>629</v>
      </c>
    </row>
    <row r="17" spans="1:11" s="451" customFormat="1" ht="12.75" customHeight="1">
      <c r="A17" s="761">
        <f t="shared" si="0"/>
        <v>2209</v>
      </c>
      <c r="B17" s="843" t="str">
        <f>CONCATENATE("Doorberekende kapitaalslasten (-/- regel ",'Overige kap.lasten '!A60,")")</f>
        <v>Doorberekende kapitaalslasten (-/- regel 2009)</v>
      </c>
      <c r="C17" s="979">
        <f>'Overige kap.lasten '!I60</f>
        <v>0</v>
      </c>
      <c r="D17" s="141">
        <v>73</v>
      </c>
      <c r="E17" s="600"/>
      <c r="F17" s="489">
        <f t="shared" si="1"/>
        <v>0</v>
      </c>
      <c r="G17"/>
      <c r="H17" s="699"/>
      <c r="I17" s="1479" t="s">
        <v>804</v>
      </c>
      <c r="J17" s="1542" t="str">
        <f>CONCATENATE("1-1-",Voorblad!$E$3)</f>
        <v>1-1-2005</v>
      </c>
      <c r="K17" s="1543" t="s">
        <v>629</v>
      </c>
    </row>
    <row r="18" spans="1:11" s="451" customFormat="1" ht="12.75" customHeight="1">
      <c r="A18" s="761">
        <f t="shared" si="0"/>
        <v>2210</v>
      </c>
      <c r="B18" s="675" t="str">
        <f>CONCATENATE("Niet geïndexeerde huur (regel ",'Overige kap.lasten '!A125,")")</f>
        <v>Niet geïndexeerde huur (regel 2124)</v>
      </c>
      <c r="C18" s="505">
        <f>'Overige kap.lasten '!I125</f>
        <v>0</v>
      </c>
      <c r="D18" s="142" t="s">
        <v>713</v>
      </c>
      <c r="E18" s="434"/>
      <c r="F18" s="484">
        <f t="shared" si="1"/>
        <v>0</v>
      </c>
      <c r="G18"/>
      <c r="H18" s="699"/>
      <c r="I18" s="1325" t="s">
        <v>1380</v>
      </c>
      <c r="J18" s="1542" t="str">
        <f>CONCATENATE("1-1-",Voorblad!$E$3)</f>
        <v>1-1-2005</v>
      </c>
      <c r="K18" s="1543" t="s">
        <v>629</v>
      </c>
    </row>
    <row r="19" spans="1:11" s="451" customFormat="1" ht="12.75" customHeight="1">
      <c r="A19" s="761">
        <f t="shared" si="0"/>
        <v>2211</v>
      </c>
      <c r="B19" s="675" t="str">
        <f>CONCATENATE("Geïndexeerde huur (regel ",'Overige kap.lasten '!A126,")")</f>
        <v>Geïndexeerde huur (regel 2125)</v>
      </c>
      <c r="C19" s="505">
        <f>'Overige kap.lasten '!I126</f>
        <v>0</v>
      </c>
      <c r="D19" s="142" t="s">
        <v>713</v>
      </c>
      <c r="E19" s="484">
        <f>'Overige kap.lasten '!I90</f>
        <v>0</v>
      </c>
      <c r="F19" s="484">
        <f t="shared" si="1"/>
        <v>0</v>
      </c>
      <c r="G19" s="932">
        <f>ROUND(F19/1.0096,0)</f>
        <v>0</v>
      </c>
      <c r="H19" s="699"/>
      <c r="I19" s="1325" t="s">
        <v>81</v>
      </c>
      <c r="J19" s="1542" t="str">
        <f>CONCATENATE("1-1-",Voorblad!$E$3)</f>
        <v>1-1-2005</v>
      </c>
      <c r="K19" s="1543" t="s">
        <v>629</v>
      </c>
    </row>
    <row r="20" spans="1:11" s="451" customFormat="1" ht="12.75" customHeight="1">
      <c r="A20" s="761">
        <f t="shared" si="0"/>
        <v>2212</v>
      </c>
      <c r="B20" s="675" t="s">
        <v>837</v>
      </c>
      <c r="C20" s="930">
        <v>0</v>
      </c>
      <c r="D20" s="141">
        <v>74</v>
      </c>
      <c r="E20" s="500"/>
      <c r="F20" s="484">
        <f t="shared" si="1"/>
        <v>0</v>
      </c>
      <c r="G20"/>
      <c r="H20" s="699"/>
      <c r="I20" s="1325" t="s">
        <v>807</v>
      </c>
      <c r="J20" s="1542" t="str">
        <f>CONCATENATE("1-1-",Voorblad!$E$3)</f>
        <v>1-1-2005</v>
      </c>
      <c r="K20" s="1543" t="s">
        <v>629</v>
      </c>
    </row>
    <row r="21" spans="1:9" s="451" customFormat="1" ht="12.75" customHeight="1">
      <c r="A21" s="761">
        <f t="shared" si="0"/>
        <v>2213</v>
      </c>
      <c r="B21" s="777" t="s">
        <v>658</v>
      </c>
      <c r="C21" s="1206"/>
      <c r="D21" s="1207"/>
      <c r="E21" s="480"/>
      <c r="F21" s="844"/>
      <c r="G21"/>
      <c r="H21" s="699"/>
      <c r="I21" s="1327"/>
    </row>
    <row r="22" spans="1:9" s="471" customFormat="1" ht="12.75" customHeight="1">
      <c r="A22" s="761">
        <f t="shared" si="0"/>
        <v>2214</v>
      </c>
      <c r="B22" s="931" t="str">
        <f>CONCATENATE("Mutatie aanvaardbare kosten (regel ",A9," t/m ",A21,")")</f>
        <v>Mutatie aanvaardbare kosten (regel 2201 t/m 2213)</v>
      </c>
      <c r="C22" s="1209"/>
      <c r="D22" s="1210"/>
      <c r="E22" s="1211"/>
      <c r="F22" s="952">
        <f>SUM(F9:F16)-F17+SUM(F18:F21)</f>
        <v>0</v>
      </c>
      <c r="G22"/>
      <c r="H22"/>
      <c r="I22" s="1327"/>
    </row>
    <row r="23" spans="1:9" s="451" customFormat="1" ht="12.75" customHeight="1">
      <c r="A23" s="761">
        <f t="shared" si="0"/>
        <v>2215</v>
      </c>
      <c r="B23" s="569" t="str">
        <f>CONCATENATE("Aanvaardbare kosten op kasbasis volgens rekenstaat ",Voorblad!$E$3,)</f>
        <v>Aanvaardbare kosten op kasbasis volgens rekenstaat 2005</v>
      </c>
      <c r="C23" s="488"/>
      <c r="D23" s="189"/>
      <c r="E23" s="1208"/>
      <c r="F23" s="975"/>
      <c r="G23"/>
      <c r="H23" s="700"/>
      <c r="I23" s="1327"/>
    </row>
    <row r="24" spans="1:11" s="471" customFormat="1" ht="12.75" customHeight="1">
      <c r="A24" s="761">
        <f t="shared" si="0"/>
        <v>2216</v>
      </c>
      <c r="B24" s="931" t="str">
        <f>CONCATENATE("Totaal aanvaardbare kosten ",Voorblad!E3," (regel ",A22," + ",A23,")")</f>
        <v>Totaal aanvaardbare kosten 2005 (regel 2214 + 2215)</v>
      </c>
      <c r="C24" s="1209"/>
      <c r="D24" s="1210"/>
      <c r="E24" s="1211"/>
      <c r="F24" s="786">
        <f>F22+F23</f>
        <v>0</v>
      </c>
      <c r="G24"/>
      <c r="H24" s="700"/>
      <c r="I24" s="1327"/>
      <c r="K24"/>
    </row>
    <row r="25" spans="1:11" s="471" customFormat="1" ht="12.75" customHeight="1">
      <c r="A25" s="761">
        <f t="shared" si="0"/>
        <v>2217</v>
      </c>
      <c r="B25" s="1205" t="s">
        <v>748</v>
      </c>
      <c r="C25" s="1206"/>
      <c r="D25" s="189"/>
      <c r="E25" s="1208"/>
      <c r="F25" s="976"/>
      <c r="G25"/>
      <c r="H25" s="700"/>
      <c r="I25" s="1327"/>
      <c r="K25"/>
    </row>
    <row r="26" spans="1:9" s="471" customFormat="1" ht="12.75" customHeight="1">
      <c r="A26" s="761">
        <f t="shared" si="0"/>
        <v>2218</v>
      </c>
      <c r="B26" s="776" t="s">
        <v>1249</v>
      </c>
      <c r="C26" s="1209"/>
      <c r="D26" s="1210"/>
      <c r="E26" s="1211"/>
      <c r="F26" s="947">
        <f>F24-F25</f>
        <v>0</v>
      </c>
      <c r="G26"/>
      <c r="H26" s="700"/>
      <c r="I26" s="1327"/>
    </row>
    <row r="27" spans="1:9" s="471" customFormat="1" ht="12.75" customHeight="1">
      <c r="A27" s="761">
        <f t="shared" si="0"/>
        <v>2219</v>
      </c>
      <c r="B27" s="569" t="str">
        <f>CONCATENATE("Aanvaardbare kosten volgens laatste rekenstaat excl. aanvullende inkomsten. (regel ",A23,"- regel ",A11,")")</f>
        <v>Aanvaardbare kosten volgens laatste rekenstaat excl. aanvullende inkomsten. (regel 2215- regel 2203)</v>
      </c>
      <c r="C27" s="1068"/>
      <c r="D27" s="1069"/>
      <c r="E27" s="1070"/>
      <c r="F27" s="845">
        <f>F23-E11</f>
        <v>0</v>
      </c>
      <c r="G27"/>
      <c r="H27" s="700"/>
      <c r="I27" s="1327"/>
    </row>
    <row r="28" spans="1:11" s="471" customFormat="1" ht="12.75" customHeight="1">
      <c r="A28" s="761">
        <f t="shared" si="0"/>
        <v>2220</v>
      </c>
      <c r="B28" s="778" t="str">
        <f>CONCATENATE("Doorwerking niet-geïndexeerde huur in ",Voorblad!E3+1," (regel ",'Overige kap.lasten '!A125,", structureel minus kasbasis)")</f>
        <v>Doorwerking niet-geïndexeerde huur in 2006 (regel 2124, structureel minus kasbasis)</v>
      </c>
      <c r="C28" s="1212"/>
      <c r="D28" s="1213"/>
      <c r="E28" s="1214"/>
      <c r="F28" s="845">
        <f>'Overige kap.lasten '!J125-'Overige kap.lasten '!I125</f>
        <v>0</v>
      </c>
      <c r="G28"/>
      <c r="H28" s="700"/>
      <c r="I28" s="1325" t="s">
        <v>1380</v>
      </c>
      <c r="J28" s="1542" t="str">
        <f>CONCATENATE("1-1-",Voorblad!$E$3+1)</f>
        <v>1-1-2006</v>
      </c>
      <c r="K28" s="1543" t="s">
        <v>629</v>
      </c>
    </row>
    <row r="29" spans="1:11" s="471" customFormat="1" ht="12.75" customHeight="1">
      <c r="A29" s="761">
        <f t="shared" si="0"/>
        <v>2221</v>
      </c>
      <c r="B29" s="778" t="str">
        <f>CONCATENATE("Doorwerking geïndexeerde huur in ",Voorblad!E3+1," (regel ",'Overige kap.lasten '!A126,", structureel minus kasbasis)")</f>
        <v>Doorwerking geïndexeerde huur in 2006 (regel 2125, structureel minus kasbasis)</v>
      </c>
      <c r="C29" s="1206"/>
      <c r="D29" s="660"/>
      <c r="E29" s="1076"/>
      <c r="F29" s="932">
        <f>'Overige kap.lasten '!J126-'Overige kap.lasten '!I126</f>
        <v>0</v>
      </c>
      <c r="G29" s="932">
        <f>ROUND(F29/1.0096,0)</f>
        <v>0</v>
      </c>
      <c r="H29" s="700"/>
      <c r="I29" s="1325" t="s">
        <v>81</v>
      </c>
      <c r="J29" s="1541" t="str">
        <f>CONCATENATE("1-1-",Voorblad!$E$3+1)</f>
        <v>1-1-2006</v>
      </c>
      <c r="K29" s="1543" t="s">
        <v>629</v>
      </c>
    </row>
    <row r="30" spans="1:9" s="451" customFormat="1" ht="12.75" customHeight="1">
      <c r="A30" s="761">
        <f t="shared" si="0"/>
        <v>2222</v>
      </c>
      <c r="B30" s="675" t="s">
        <v>128</v>
      </c>
      <c r="C30" s="1537">
        <f>Voorblad!G54</f>
        <v>0</v>
      </c>
      <c r="D30" s="487"/>
      <c r="E30" s="482"/>
      <c r="F30" s="482"/>
      <c r="G30"/>
      <c r="H30" s="656"/>
      <c r="I30" s="1326"/>
    </row>
    <row r="31" spans="1:9" s="513" customFormat="1" ht="12.75" customHeight="1">
      <c r="A31" s="629"/>
      <c r="B31" s="696" t="s">
        <v>129</v>
      </c>
      <c r="G31"/>
      <c r="H31" s="701"/>
      <c r="I31" s="1326"/>
    </row>
    <row r="32" spans="1:9" s="513" customFormat="1" ht="6" customHeight="1">
      <c r="A32" s="629"/>
      <c r="B32" s="698"/>
      <c r="G32"/>
      <c r="H32" s="701"/>
      <c r="I32" s="1326"/>
    </row>
    <row r="33" spans="1:9" s="513" customFormat="1" ht="12.75" customHeight="1">
      <c r="A33" s="664" t="s">
        <v>1016</v>
      </c>
      <c r="B33" s="14" t="s">
        <v>842</v>
      </c>
      <c r="G33"/>
      <c r="H33" s="701"/>
      <c r="I33" s="1326"/>
    </row>
    <row r="34" spans="2:9" ht="12.75" customHeight="1">
      <c r="B34" s="1202"/>
      <c r="C34" s="1203" t="s">
        <v>992</v>
      </c>
      <c r="D34" s="1810" t="s">
        <v>820</v>
      </c>
      <c r="E34" s="1811"/>
      <c r="F34" s="1089" t="s">
        <v>990</v>
      </c>
      <c r="G34"/>
      <c r="H34" s="701"/>
      <c r="I34" s="1326"/>
    </row>
    <row r="35" spans="2:9" ht="12.75" customHeight="1">
      <c r="B35" s="1162"/>
      <c r="C35" s="1204"/>
      <c r="D35" s="695" t="s">
        <v>808</v>
      </c>
      <c r="E35" s="669" t="s">
        <v>850</v>
      </c>
      <c r="F35" s="1157"/>
      <c r="G35"/>
      <c r="H35" s="656"/>
      <c r="I35" s="1326"/>
    </row>
    <row r="36" spans="1:11" ht="12.75" customHeight="1">
      <c r="A36" s="761">
        <f>A30+1</f>
        <v>2223</v>
      </c>
      <c r="B36" s="843" t="str">
        <f>CONCATENATE("Investeringen jaarlijkse instandhouding ",Voorblad!E3," (regels ",Instandhouding!A38," en ",Instandhouding!A34,")")</f>
        <v>Investeringen jaarlijkse instandhouding 2005 (regels 1728 en 1724)</v>
      </c>
      <c r="C36" s="599">
        <f>Instandhouding!E38</f>
        <v>0</v>
      </c>
      <c r="D36" s="142" t="s">
        <v>714</v>
      </c>
      <c r="E36" s="601">
        <f>Instandhouding!E34</f>
        <v>0</v>
      </c>
      <c r="F36" s="489">
        <f>C36-E36</f>
        <v>0</v>
      </c>
      <c r="G36"/>
      <c r="H36" s="697"/>
      <c r="I36" s="1325" t="str">
        <f>CONCATENATE("IJ",RIGHT(Voorblad!E3,2))</f>
        <v>IJ05</v>
      </c>
      <c r="J36" s="1542" t="str">
        <f>CONCATENATE("1-1-",Voorblad!$E$3)</f>
        <v>1-1-2005</v>
      </c>
      <c r="K36" s="1543" t="s">
        <v>629</v>
      </c>
    </row>
    <row r="37" spans="1:11" ht="12.75" customHeight="1">
      <c r="A37" s="761">
        <f>A36+1</f>
        <v>2224</v>
      </c>
      <c r="B37" s="675" t="str">
        <f>CONCATENATE("Inbrengverplichting ",Voorblad!E3," (regel ",Instandhouding!A35,")")</f>
        <v>Inbrengverplichting 2005 (regel 1725)</v>
      </c>
      <c r="C37" s="924"/>
      <c r="D37" s="925"/>
      <c r="E37" s="926"/>
      <c r="F37" s="489">
        <f>Instandhouding!F35</f>
        <v>0</v>
      </c>
      <c r="G37"/>
      <c r="H37" s="697"/>
      <c r="I37" s="1325" t="str">
        <f>CONCATENATE("IV",RIGHT(Voorblad!E3,2))</f>
        <v>IV05</v>
      </c>
      <c r="J37" s="1542" t="str">
        <f>CONCATENATE("1-1-",Voorblad!$E$3)</f>
        <v>1-1-2005</v>
      </c>
      <c r="K37" s="1543" t="s">
        <v>629</v>
      </c>
    </row>
    <row r="38" spans="1:11" ht="12.75" customHeight="1">
      <c r="A38" s="761">
        <f>A37+1</f>
        <v>2225</v>
      </c>
      <c r="B38" s="675" t="str">
        <f>CONCATENATE("Nog te verwerken inbrengverplichting ","(regel ",Instandhouding!A57,")")</f>
        <v>Nog te verwerken inbrengverplichting (regel 1808)</v>
      </c>
      <c r="C38" s="927"/>
      <c r="D38" s="928"/>
      <c r="E38" s="929"/>
      <c r="F38" s="489">
        <f>Instandhouding!I57-Instandhouding!H84</f>
        <v>0</v>
      </c>
      <c r="G38"/>
      <c r="H38" s="697"/>
      <c r="I38" s="1325" t="s">
        <v>1371</v>
      </c>
      <c r="J38" s="1542" t="str">
        <f>CONCATENATE("1-1-",Voorblad!$E$3)</f>
        <v>1-1-2005</v>
      </c>
      <c r="K38" s="1543" t="s">
        <v>629</v>
      </c>
    </row>
    <row r="39" spans="1:11" ht="12.75" customHeight="1">
      <c r="A39" s="761">
        <f>A38+1</f>
        <v>2226</v>
      </c>
      <c r="B39" s="675" t="str">
        <f>CONCATENATE("Investeringen incidentele instandhouding ","(regels ",Instandhouding!A38," en ",Instandhouding!A34,")")</f>
        <v>Investeringen incidentele instandhouding (regels 1728 en 1724)</v>
      </c>
      <c r="C39" s="599">
        <f>Instandhouding!F38</f>
        <v>0</v>
      </c>
      <c r="D39" s="142" t="s">
        <v>715</v>
      </c>
      <c r="E39" s="602">
        <f>Instandhouding!F34</f>
        <v>0</v>
      </c>
      <c r="F39" s="489">
        <f>C39-E39</f>
        <v>0</v>
      </c>
      <c r="G39"/>
      <c r="H39" s="697"/>
      <c r="I39" s="1325" t="str">
        <f>CONCATENATE("IT",RIGHT(Voorblad!E3,2))</f>
        <v>IT05</v>
      </c>
      <c r="J39" s="1542" t="str">
        <f>CONCATENATE("1-1-",Voorblad!$E$3)</f>
        <v>1-1-2005</v>
      </c>
      <c r="K39" s="1543" t="s">
        <v>629</v>
      </c>
    </row>
    <row r="40" spans="1:9" ht="6" customHeight="1">
      <c r="A40" s="14"/>
      <c r="B40" s="656"/>
      <c r="C40" s="490"/>
      <c r="D40" s="491"/>
      <c r="E40" s="492"/>
      <c r="F40" s="492"/>
      <c r="G40"/>
      <c r="H40" s="697"/>
      <c r="I40" s="1326"/>
    </row>
    <row r="41" spans="1:9" ht="12.75" customHeight="1">
      <c r="A41" s="664" t="s">
        <v>1017</v>
      </c>
      <c r="B41" s="671" t="s">
        <v>1018</v>
      </c>
      <c r="C41" s="493"/>
      <c r="D41" s="453"/>
      <c r="F41" s="494"/>
      <c r="G41"/>
      <c r="H41" s="564"/>
      <c r="I41" s="1326"/>
    </row>
    <row r="42" spans="1:9" ht="12.75" customHeight="1">
      <c r="A42" s="761">
        <f>A39+1</f>
        <v>2227</v>
      </c>
      <c r="B42" s="570" t="str">
        <f>CONCATENATE("Opbrengstregistratie volgens laatste rekenstaat lopend jaar (kolom ",Voorblad!E3,") regel 'verrekend in opbrengsten'")</f>
        <v>Opbrengstregistratie volgens laatste rekenstaat lopend jaar (kolom 2005) regel 'verrekend in opbrengsten'</v>
      </c>
      <c r="C42" s="495"/>
      <c r="D42" s="496"/>
      <c r="E42" s="497"/>
      <c r="F42" s="500"/>
      <c r="G42"/>
      <c r="H42" s="697"/>
      <c r="I42" s="1326"/>
    </row>
    <row r="43" spans="1:11" ht="12.75" customHeight="1">
      <c r="A43" s="761">
        <f>A42+1</f>
        <v>2228</v>
      </c>
      <c r="B43" s="570" t="str">
        <f>CONCATENATE("Totaal aanvullende inkomsten (regel ",Opbrengsten!A84," )")</f>
        <v>Totaal aanvullende inkomsten (regel 1222 )</v>
      </c>
      <c r="C43" s="484">
        <f>Opbrengsten!F84+Opbrengsten!G84</f>
        <v>0</v>
      </c>
      <c r="D43" s="1010">
        <v>112</v>
      </c>
      <c r="E43" s="500"/>
      <c r="F43" s="484">
        <f>C43-E43</f>
        <v>0</v>
      </c>
      <c r="G43"/>
      <c r="H43" s="697"/>
      <c r="I43" s="1325" t="s">
        <v>1372</v>
      </c>
      <c r="J43" s="1542" t="str">
        <f>CONCATENATE("1-1-",Voorblad!$E$3)</f>
        <v>1-1-2005</v>
      </c>
      <c r="K43" s="1542" t="str">
        <f>CONCATENATE("1-1-",Voorblad!$E$3+1)</f>
        <v>1-1-2006</v>
      </c>
    </row>
    <row r="44" spans="1:9" ht="12.75" customHeight="1">
      <c r="A44" s="761">
        <f>A43+1</f>
        <v>2229</v>
      </c>
      <c r="B44" s="777" t="str">
        <f>CONCATENATE("Werkelijke opbrengst (regel ",Opbrengsten!H53,")")</f>
        <v>Werkelijke opbrengst (regel 1226)</v>
      </c>
      <c r="C44" s="495"/>
      <c r="D44" s="496"/>
      <c r="E44" s="497"/>
      <c r="F44" s="821">
        <f>Opbrengsten!M53</f>
        <v>0</v>
      </c>
      <c r="G44"/>
      <c r="H44" s="697"/>
      <c r="I44" s="1328" t="s">
        <v>127</v>
      </c>
    </row>
    <row r="45" spans="1:9" ht="12.75" customHeight="1">
      <c r="A45" s="761">
        <f>A44+1</f>
        <v>2230</v>
      </c>
      <c r="B45" s="776" t="str">
        <f>CONCATENATE("Tijdelijke toeslag/aftrek (regel ",A42," + ",A43," -/- ",A44,")")</f>
        <v>Tijdelijke toeslag/aftrek (regel 2227 + 2228 -/- 2229)</v>
      </c>
      <c r="C45" s="846"/>
      <c r="D45" s="847"/>
      <c r="E45" s="848"/>
      <c r="F45" s="766">
        <f>F42+C43-F44</f>
        <v>0</v>
      </c>
      <c r="G45"/>
      <c r="H45" s="563"/>
      <c r="I45" s="1328" t="s">
        <v>127</v>
      </c>
    </row>
    <row r="46" spans="1:9" ht="6.75" customHeight="1">
      <c r="A46" s="671"/>
      <c r="B46" s="603"/>
      <c r="C46" s="487"/>
      <c r="D46" s="456"/>
      <c r="G46"/>
      <c r="H46" s="603"/>
      <c r="I46" s="664"/>
    </row>
    <row r="47" spans="1:9" ht="12.75" customHeight="1">
      <c r="A47" s="761">
        <f>A45+1</f>
        <v>2231</v>
      </c>
      <c r="B47" s="776" t="str">
        <f>CONCATENATE("Totaal nog te verrekenen in tarieven (regel ",Mutaties!A22," + ",Mutaties!A45,")")</f>
        <v>Totaal nog te verrekenen in tarieven (regel 2214 + 2230)</v>
      </c>
      <c r="C47" s="846"/>
      <c r="D47" s="847"/>
      <c r="E47" s="848"/>
      <c r="F47" s="766">
        <f>F22+F45</f>
        <v>0</v>
      </c>
      <c r="G47"/>
      <c r="H47" s="603"/>
      <c r="I47" s="664"/>
    </row>
    <row r="48" ht="12.75" customHeight="1">
      <c r="G48"/>
    </row>
    <row r="49" ht="12.75" customHeight="1">
      <c r="G49"/>
    </row>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password="958F" sheet="1" objects="1" scenarios="1"/>
  <mergeCells count="2">
    <mergeCell ref="D7:E7"/>
    <mergeCell ref="D34:E34"/>
  </mergeCells>
  <conditionalFormatting sqref="H48">
    <cfRule type="expression" priority="1" dxfId="1" stopIfTrue="1">
      <formula>$F$2=TRUE</formula>
    </cfRule>
  </conditionalFormatting>
  <conditionalFormatting sqref="F21 E20 F23 F25 E15:E18 F42 E43 E11:E13">
    <cfRule type="expression" priority="2" dxfId="2" stopIfTrue="1">
      <formula>$D$2=TRUE</formula>
    </cfRule>
  </conditionalFormatting>
  <conditionalFormatting sqref="C10 F10">
    <cfRule type="expression" priority="3" dxfId="4" stopIfTrue="1">
      <formula>$E$2=TRUE</formula>
    </cfRule>
  </conditionalFormatting>
  <printOptions/>
  <pageMargins left="0.3937007874015748" right="0.3937007874015748" top="0.3937007874015748" bottom="0.3937007874015748" header="0.5118110236220472" footer="0.5118110236220472"/>
  <pageSetup horizontalDpi="300" verticalDpi="300" orientation="landscape" paperSize="9" scale="95" r:id="rId2"/>
  <headerFooter alignWithMargins="0">
    <oddFooter>&amp;C&amp;"Arial,Vet"&amp;8
</oddFooter>
  </headerFooter>
  <rowBreaks count="1" manualBreakCount="1">
    <brk id="47" max="8" man="1"/>
  </rowBreaks>
  <drawing r:id="rId1"/>
</worksheet>
</file>

<file path=xl/worksheets/sheet12.xml><?xml version="1.0" encoding="utf-8"?>
<worksheet xmlns="http://schemas.openxmlformats.org/spreadsheetml/2006/main" xmlns:r="http://schemas.openxmlformats.org/officeDocument/2006/relationships">
  <sheetPr codeName="Blad12"/>
  <dimension ref="A1:L38"/>
  <sheetViews>
    <sheetView showGridLines="0" zoomScale="86" zoomScaleNormal="86" workbookViewId="0" topLeftCell="A1">
      <selection activeCell="A2" sqref="A2"/>
    </sheetView>
  </sheetViews>
  <sheetFormatPr defaultColWidth="9.140625" defaultRowHeight="12.75"/>
  <cols>
    <col min="1" max="1" width="5.7109375" style="467" customWidth="1"/>
    <col min="2" max="2" width="25.7109375" style="453" customWidth="1"/>
    <col min="3" max="3" width="43.8515625" style="487" customWidth="1"/>
    <col min="4" max="4" width="16.7109375" style="456" customWidth="1"/>
    <col min="5" max="5" width="16.7109375" style="453" customWidth="1"/>
    <col min="6" max="6" width="12.421875" style="453" customWidth="1"/>
    <col min="7" max="7" width="15.8515625" style="453" customWidth="1"/>
    <col min="8" max="8" width="3.421875" style="453" customWidth="1"/>
    <col min="9" max="9" width="9.00390625" style="471" bestFit="1" customWidth="1"/>
    <col min="10" max="16384" width="9.140625" style="453" customWidth="1"/>
  </cols>
  <sheetData>
    <row r="1" spans="1:12" ht="15.75" customHeight="1">
      <c r="A1" s="41"/>
      <c r="B1" s="42"/>
      <c r="C1" s="42"/>
      <c r="D1" s="43"/>
      <c r="E1" s="42"/>
      <c r="F1" s="42"/>
      <c r="G1" s="45"/>
      <c r="H1" s="455"/>
      <c r="I1" s="456"/>
      <c r="L1" s="451"/>
    </row>
    <row r="2" spans="1:12" s="513" customFormat="1" ht="15.75" customHeight="1">
      <c r="A2" s="616" t="str">
        <f>Inhoud!$A$2</f>
        <v>Nacalculatieformulier 2005 GGZ-instellingen</v>
      </c>
      <c r="B2" s="631"/>
      <c r="C2" s="633"/>
      <c r="D2" s="634" t="b">
        <f>Voorblad!E28</f>
        <v>1</v>
      </c>
      <c r="E2" s="634"/>
      <c r="F2" s="634"/>
      <c r="G2" s="542"/>
      <c r="H2" s="1258">
        <f>Mutaties!I2+1</f>
        <v>23</v>
      </c>
      <c r="L2" s="514"/>
    </row>
    <row r="3" spans="1:12" ht="12">
      <c r="A3" s="41"/>
      <c r="B3" s="42"/>
      <c r="C3" s="42"/>
      <c r="D3" s="43"/>
      <c r="E3" s="42"/>
      <c r="F3" s="42"/>
      <c r="G3" s="45"/>
      <c r="H3" s="455"/>
      <c r="I3" s="456"/>
      <c r="L3" s="451"/>
    </row>
    <row r="4" spans="2:10" ht="12.75" customHeight="1">
      <c r="B4" s="95"/>
      <c r="C4" s="95"/>
      <c r="D4" s="387"/>
      <c r="E4" s="90"/>
      <c r="F4" s="90"/>
      <c r="G4" s="621"/>
      <c r="H4" s="499"/>
      <c r="I4" s="499"/>
      <c r="J4" s="451"/>
    </row>
    <row r="5" spans="1:9" ht="12.75" customHeight="1">
      <c r="A5" s="41"/>
      <c r="B5" s="95"/>
      <c r="C5" s="95"/>
      <c r="D5" s="95"/>
      <c r="E5" s="163"/>
      <c r="F5" s="163"/>
      <c r="G5" s="165"/>
      <c r="H5" s="509"/>
      <c r="I5" s="509"/>
    </row>
    <row r="6" spans="1:9" ht="12.75" customHeight="1">
      <c r="A6" s="14" t="s">
        <v>1384</v>
      </c>
      <c r="B6"/>
      <c r="C6"/>
      <c r="D6"/>
      <c r="E6"/>
      <c r="F6"/>
      <c r="G6"/>
      <c r="H6" s="477"/>
      <c r="I6" s="486"/>
    </row>
    <row r="7" spans="1:9" s="494" customFormat="1" ht="12.75" customHeight="1">
      <c r="A7"/>
      <c r="B7"/>
      <c r="C7"/>
      <c r="D7"/>
      <c r="E7"/>
      <c r="F7"/>
      <c r="G7"/>
      <c r="H7" s="477"/>
      <c r="I7" s="486"/>
    </row>
    <row r="8" spans="1:7" ht="12.75" customHeight="1">
      <c r="A8" s="26"/>
      <c r="B8" s="132"/>
      <c r="C8"/>
      <c r="G8"/>
    </row>
    <row r="9" spans="1:7" ht="12.75" customHeight="1">
      <c r="A9" s="671"/>
      <c r="B9" s="1174"/>
      <c r="C9" s="1175"/>
      <c r="D9" s="1126"/>
      <c r="E9" s="479" t="s">
        <v>974</v>
      </c>
      <c r="F9"/>
      <c r="G9"/>
    </row>
    <row r="10" spans="1:7" ht="12.75" customHeight="1">
      <c r="A10" s="761">
        <f>(H2*100)+1</f>
        <v>2301</v>
      </c>
      <c r="B10" s="778" t="str">
        <f>CONCATENATE('A-E'!B6," (regel ",'A-E'!A23," bijlage ",LEFT('A-E'!A6,1),")")</f>
        <v>Boekwaarde investeringen waarvoor vergunning is verleend (regel 2415 bijlage A)</v>
      </c>
      <c r="C10" s="1172"/>
      <c r="D10" s="1173" t="s">
        <v>984</v>
      </c>
      <c r="E10" s="432">
        <f>'A-E'!G23</f>
        <v>0</v>
      </c>
      <c r="F10"/>
      <c r="G10"/>
    </row>
    <row r="11" spans="1:7" ht="12.75" customHeight="1">
      <c r="A11" s="774">
        <f>A10+1</f>
        <v>2302</v>
      </c>
      <c r="B11" s="570" t="str">
        <f>CONCATENATE('A-E'!B50," (regel ",'A-E'!A67," bijlage ",LEFT('A-E'!A50,1),")")</f>
        <v>Onderhanden bouwprojecten met WZV-vergunning (geen investeringen meldingsregeling) (regel 2514 bijlage B)</v>
      </c>
      <c r="C11" s="570"/>
      <c r="D11" s="675"/>
      <c r="E11" s="432">
        <f>'A-E'!G67</f>
        <v>0</v>
      </c>
      <c r="F11"/>
      <c r="G11"/>
    </row>
    <row r="12" spans="1:7" ht="12.75" customHeight="1">
      <c r="A12" s="774">
        <f>A11+1</f>
        <v>2303</v>
      </c>
      <c r="B12" s="570" t="str">
        <f>CONCATENATE('A-E'!B74," (regel ",'A-E'!A87," bijlage ",LEFT('A-E'!A74,1),")")</f>
        <v>Normatieve boekwaarde medische en overige inventarissen (regel 2528 bijlage C)</v>
      </c>
      <c r="C12" s="570"/>
      <c r="D12" s="675"/>
      <c r="E12" s="432">
        <f>'A-E'!E87</f>
        <v>0</v>
      </c>
      <c r="F12"/>
      <c r="G12"/>
    </row>
    <row r="13" spans="1:7" ht="12.75" customHeight="1">
      <c r="A13" s="774">
        <f>A12+1</f>
        <v>2304</v>
      </c>
      <c r="B13" s="570" t="str">
        <f>CONCATENATE('A-E'!B96," (regel ",'A-E'!A116," bijlage ",LEFT('A-E'!A96,1),")")</f>
        <v>Werkelijke boekwaarde instandhoudingsinvesteringen (inclusief onderhanden werk) (regel 2618 bijlage D)</v>
      </c>
      <c r="C13" s="570"/>
      <c r="D13" s="675"/>
      <c r="E13" s="432">
        <f>'A-E'!G116</f>
        <v>0</v>
      </c>
      <c r="F13"/>
      <c r="G13"/>
    </row>
    <row r="14" spans="1:7" ht="12.75" customHeight="1">
      <c r="A14" s="774">
        <f>A13+1</f>
        <v>2305</v>
      </c>
      <c r="B14" s="777" t="str">
        <f>CONCATENATE('A-E'!B131," (regel ",'A-E'!A136," bijlage ",LEFT('A-E'!A131,1),")")</f>
        <v>Normatief werkkapitaal (regel 2625 bijlage E)</v>
      </c>
      <c r="C14" s="662"/>
      <c r="D14" s="841"/>
      <c r="E14" s="831">
        <f>'A-E'!G136</f>
        <v>0</v>
      </c>
      <c r="F14"/>
      <c r="G14"/>
    </row>
    <row r="15" spans="1:7" ht="12.75" customHeight="1">
      <c r="A15" s="774">
        <f>A14+1</f>
        <v>2306</v>
      </c>
      <c r="B15" s="839" t="str">
        <f>CONCATENATE("Totaal in aanmerking te nemen activa (regel ",A10," t/m ",A14,")")</f>
        <v>Totaal in aanmerking te nemen activa (regel 2301 t/m 2305)</v>
      </c>
      <c r="C15" s="852"/>
      <c r="D15" s="830"/>
      <c r="E15" s="832">
        <f>SUM(E10:E14)</f>
        <v>0</v>
      </c>
      <c r="F15"/>
      <c r="G15"/>
    </row>
    <row r="16" spans="1:7" ht="12.75" customHeight="1">
      <c r="A16" s="688"/>
      <c r="B16" s="656"/>
      <c r="C16" s="691"/>
      <c r="D16" s="691"/>
      <c r="E16" s="482"/>
      <c r="F16"/>
      <c r="G16"/>
    </row>
    <row r="17" spans="1:7" ht="12.75" customHeight="1">
      <c r="A17" s="774">
        <f>A15+1</f>
        <v>2307</v>
      </c>
      <c r="B17" s="570" t="str">
        <f>CONCATENATE(F!B4," (regel ",F!A39," bijlage ",LEFT(F!A4,1),")")</f>
        <v>Langlopende leningen (incl. langlopende leasecontracten)  (regel 2733 bijlage F)</v>
      </c>
      <c r="C17" s="935"/>
      <c r="D17" s="690" t="s">
        <v>985</v>
      </c>
      <c r="E17" s="432">
        <f>F!R39</f>
        <v>0</v>
      </c>
      <c r="F17"/>
      <c r="G17"/>
    </row>
    <row r="18" spans="1:7" ht="12.75" customHeight="1">
      <c r="A18" s="774">
        <f>A17+1</f>
        <v>2308</v>
      </c>
      <c r="B18" s="991" t="str">
        <f>CONCATENATE('G-H'!B5," (regel ",'G-H'!A25," bijlage ",LEFT('G-H'!A5,1),")")</f>
        <v>Eigen vermogen (regel 2919 bijlage G)</v>
      </c>
      <c r="C18" s="777"/>
      <c r="D18" s="828"/>
      <c r="E18" s="831">
        <f>'G-H'!E25</f>
        <v>0</v>
      </c>
      <c r="F18"/>
      <c r="G18"/>
    </row>
    <row r="19" spans="1:7" ht="12.75" customHeight="1">
      <c r="A19" s="774">
        <f>A18+1</f>
        <v>2309</v>
      </c>
      <c r="B19" s="829" t="str">
        <f>CONCATENATE("Totaal in aanmerking te nemen passiva (regel ",A17," + ",A18,")")</f>
        <v>Totaal in aanmerking te nemen passiva (regel 2307 + 2308)</v>
      </c>
      <c r="C19" s="842"/>
      <c r="D19" s="830"/>
      <c r="E19" s="840">
        <f>E17+E18</f>
        <v>0</v>
      </c>
      <c r="F19"/>
      <c r="G19"/>
    </row>
    <row r="20" spans="1:7" ht="12.75" customHeight="1">
      <c r="A20" s="656"/>
      <c r="B20" s="656"/>
      <c r="C20" s="691"/>
      <c r="D20" s="691"/>
      <c r="E20" s="482"/>
      <c r="F20"/>
      <c r="G20"/>
    </row>
    <row r="21" spans="1:7" ht="12.75" customHeight="1">
      <c r="A21" s="774">
        <f>A19+1</f>
        <v>2310</v>
      </c>
      <c r="B21" s="776" t="str">
        <f>CONCATENATE("Verschil tussen activa en passiva (regel ",A15," -/- ",A19,")")</f>
        <v>Verschil tussen activa en passiva (regel 2306 -/- 2309)</v>
      </c>
      <c r="C21" s="842"/>
      <c r="D21" s="830"/>
      <c r="E21" s="832">
        <f>E15-E19</f>
        <v>0</v>
      </c>
      <c r="F21"/>
      <c r="G21"/>
    </row>
    <row r="22" spans="1:7" ht="12.75">
      <c r="A22" s="603"/>
      <c r="B22" s="603"/>
      <c r="C22" s="656"/>
      <c r="D22" s="603"/>
      <c r="F22"/>
      <c r="G22"/>
    </row>
    <row r="23" spans="1:6" ht="12.75">
      <c r="A23" s="774">
        <f>A21+1</f>
        <v>2311</v>
      </c>
      <c r="B23" s="570" t="str">
        <f>CONCATENATE('G-H'!B28," (regel ",'G-H'!A34," bijlage ",LEFT('G-H'!A28,1),")")</f>
        <v>Rentekosten langlopende leningen (regel 2924 bijlage H)</v>
      </c>
      <c r="C23" s="935"/>
      <c r="D23" s="690" t="s">
        <v>968</v>
      </c>
      <c r="E23" s="432">
        <f>'G-H'!E34</f>
        <v>0</v>
      </c>
      <c r="F23"/>
    </row>
    <row r="24" spans="1:6" ht="12.75">
      <c r="A24" s="774">
        <f>A23+1</f>
        <v>2312</v>
      </c>
      <c r="B24" s="570" t="str">
        <f>CONCATENATE("Normrente over verschil activa en passiva (",IF(E34=0,"---",E34*100),"% van regel ",A21,")")</f>
        <v>Normrente over verschil activa en passiva (2,89% van regel 2310)</v>
      </c>
      <c r="C24" s="570"/>
      <c r="D24" s="675"/>
      <c r="E24" s="432">
        <f>ROUND(E34*E21,0)</f>
        <v>0</v>
      </c>
      <c r="F24"/>
    </row>
    <row r="25" spans="1:6" ht="12.75">
      <c r="A25" s="774">
        <f>A24+1</f>
        <v>2313</v>
      </c>
      <c r="B25" s="991" t="str">
        <f>CONCATENATE("Inflatievergoeding over eigen vermogen ",E35*100,"% over regel ",'G-H'!A25," bijlage ",LEFT('G-H'!A5,1)," (exclusief instandhoudingsreserve)")</f>
        <v>Inflatievergoeding over eigen vermogen 1,42% over regel 2919 bijlage G (exclusief instandhoudingsreserve)</v>
      </c>
      <c r="C25" s="777"/>
      <c r="D25" s="828"/>
      <c r="E25" s="1045">
        <f>ROUND(IF(('G-H'!E25-'G-H'!E10)&gt;0,E35*('G-H'!E25-'G-H'!E10),0),0)</f>
        <v>0</v>
      </c>
      <c r="F25"/>
    </row>
    <row r="26" spans="1:6" ht="12.75">
      <c r="A26" s="774">
        <f>A25+1</f>
        <v>2314</v>
      </c>
      <c r="B26" s="829" t="str">
        <f>CONCATENATE("Totaal aanvaardbare rentekosten (regel ",A23," tot en met ",A25,")")</f>
        <v>Totaal aanvaardbare rentekosten (regel 2311 tot en met 2313)</v>
      </c>
      <c r="C26" s="842"/>
      <c r="D26" s="830"/>
      <c r="E26" s="832">
        <f>SUM(E23:E25)</f>
        <v>0</v>
      </c>
      <c r="F26"/>
    </row>
    <row r="27" ht="12.75">
      <c r="F27"/>
    </row>
    <row r="28" spans="1:6" ht="12.75">
      <c r="A28" s="774">
        <f>A26+1</f>
        <v>2315</v>
      </c>
      <c r="B28" s="829" t="s">
        <v>711</v>
      </c>
      <c r="C28" s="842"/>
      <c r="D28" s="830"/>
      <c r="E28" s="1242"/>
      <c r="F28"/>
    </row>
    <row r="29" ht="12.75">
      <c r="F29"/>
    </row>
    <row r="30" spans="1:6" ht="12.75">
      <c r="A30" s="774">
        <f>A28+1</f>
        <v>2316</v>
      </c>
      <c r="B30" s="950" t="s">
        <v>745</v>
      </c>
      <c r="C30" s="842"/>
      <c r="D30" s="830"/>
      <c r="E30" s="832">
        <f>IF(E28="ja",0,E26)</f>
        <v>0</v>
      </c>
      <c r="F30"/>
    </row>
    <row r="32" ht="12">
      <c r="B32" s="471" t="s">
        <v>1433</v>
      </c>
    </row>
    <row r="33" spans="2:5" ht="12">
      <c r="B33" s="1274"/>
      <c r="C33" s="1275"/>
      <c r="D33" s="1126"/>
      <c r="E33" s="1276" t="s">
        <v>812</v>
      </c>
    </row>
    <row r="34" spans="1:5" ht="13.5">
      <c r="A34" s="774">
        <f>A30+1</f>
        <v>2317</v>
      </c>
      <c r="B34" s="1267" t="s">
        <v>699</v>
      </c>
      <c r="C34" s="1268"/>
      <c r="D34" s="1269"/>
      <c r="E34" s="1277">
        <v>0.0289</v>
      </c>
    </row>
    <row r="35" spans="1:5" ht="13.5">
      <c r="A35" s="774">
        <f>A34+1</f>
        <v>2318</v>
      </c>
      <c r="B35" s="1264" t="s">
        <v>700</v>
      </c>
      <c r="C35" s="1265"/>
      <c r="D35" s="1266"/>
      <c r="E35" s="1277">
        <v>0.0142</v>
      </c>
    </row>
    <row r="36" spans="2:5" ht="13.5">
      <c r="B36" s="1270" t="s">
        <v>915</v>
      </c>
      <c r="C36" s="1271"/>
      <c r="D36" s="1215"/>
      <c r="E36" s="1272"/>
    </row>
    <row r="37" ht="12">
      <c r="B37" s="451" t="s">
        <v>891</v>
      </c>
    </row>
    <row r="38" ht="13.5">
      <c r="B38" s="1273" t="s">
        <v>56</v>
      </c>
    </row>
  </sheetData>
  <sheetProtection password="958F" sheet="1" objects="1" scenarios="1"/>
  <conditionalFormatting sqref="E28">
    <cfRule type="expression" priority="1" dxfId="2" stopIfTrue="1">
      <formula>$D$2=TRUE</formula>
    </cfRule>
  </conditionalFormatting>
  <conditionalFormatting sqref="H9:H13">
    <cfRule type="expression" priority="2" dxfId="1" stopIfTrue="1">
      <formula>$H$2=TRUE</formula>
    </cfRule>
  </conditionalFormatting>
  <dataValidations count="1">
    <dataValidation type="list" allowBlank="1" showInputMessage="1" showErrorMessage="1" sqref="E28">
      <formula1>"ja,nee,"</formula1>
    </dataValidation>
  </dataValidations>
  <printOptions/>
  <pageMargins left="0.3937007874015748" right="0.3937007874015748" top="0.3937007874015748" bottom="0.3937007874015748" header="0.5118110236220472" footer="0.5118110236220472"/>
  <pageSetup horizontalDpi="300" verticalDpi="300" orientation="landscape" paperSize="9" scale="95" r:id="rId2"/>
  <headerFooter alignWithMargins="0">
    <oddFooter>&amp;C&amp;"Arial,Vet"&amp;8
</oddFooter>
  </headerFooter>
  <drawing r:id="rId1"/>
</worksheet>
</file>

<file path=xl/worksheets/sheet13.xml><?xml version="1.0" encoding="utf-8"?>
<worksheet xmlns="http://schemas.openxmlformats.org/spreadsheetml/2006/main" xmlns:r="http://schemas.openxmlformats.org/officeDocument/2006/relationships">
  <sheetPr codeName="Blad13"/>
  <dimension ref="A1:J166"/>
  <sheetViews>
    <sheetView showGridLines="0" zoomScale="86" zoomScaleNormal="86" workbookViewId="0" topLeftCell="A1">
      <selection activeCell="A2" sqref="A2"/>
    </sheetView>
  </sheetViews>
  <sheetFormatPr defaultColWidth="9.140625" defaultRowHeight="12.75"/>
  <cols>
    <col min="1" max="1" width="5.7109375" style="467" customWidth="1"/>
    <col min="2" max="2" width="46.7109375" style="453" customWidth="1"/>
    <col min="3" max="6" width="17.7109375" style="456" customWidth="1"/>
    <col min="7" max="7" width="17.7109375" style="453" customWidth="1"/>
    <col min="8" max="8" width="13.00390625" style="453" customWidth="1"/>
    <col min="9" max="9" width="10.7109375" style="453" customWidth="1"/>
    <col min="10" max="10" width="10.7109375" style="451" customWidth="1"/>
    <col min="11" max="15" width="10.7109375" style="453" customWidth="1"/>
    <col min="16" max="23" width="9.140625" style="453" customWidth="1"/>
    <col min="24" max="24" width="1.7109375" style="453" customWidth="1"/>
    <col min="25" max="16384" width="9.140625" style="453" customWidth="1"/>
  </cols>
  <sheetData>
    <row r="1" spans="1:7" ht="15.75" customHeight="1">
      <c r="A1" s="671"/>
      <c r="B1" s="603"/>
      <c r="C1" s="42"/>
      <c r="D1" s="42"/>
      <c r="E1" s="42"/>
      <c r="F1" s="42"/>
      <c r="G1" s="603"/>
    </row>
    <row r="2" spans="1:10" s="513" customFormat="1" ht="15.75" customHeight="1">
      <c r="A2" s="616" t="str">
        <f>CONCATENATE("Bijlage ",LEFT(A6,1)," bij het nacalculatieformulier ",Voorblad!$E$3," ",Voorblad!$A$5)</f>
        <v>Bijlage A bij het nacalculatieformulier 2005 GGZ-instellingen</v>
      </c>
      <c r="B2" s="631"/>
      <c r="C2" s="633"/>
      <c r="D2" s="633"/>
      <c r="E2" s="634" t="b">
        <f>Voorblad!E28</f>
        <v>1</v>
      </c>
      <c r="F2" s="634"/>
      <c r="G2" s="1258">
        <f>'Rentecalc.'!H2+1</f>
        <v>24</v>
      </c>
      <c r="J2" s="514"/>
    </row>
    <row r="3" spans="1:7" ht="12.75" customHeight="1">
      <c r="A3" s="671"/>
      <c r="B3" s="603"/>
      <c r="C3" s="42"/>
      <c r="D3" s="42"/>
      <c r="E3" s="42"/>
      <c r="F3" s="42"/>
      <c r="G3" s="603"/>
    </row>
    <row r="4" spans="1:7" ht="12.75" customHeight="1">
      <c r="A4" s="14" t="s">
        <v>1385</v>
      </c>
      <c r="B4" s="603"/>
      <c r="C4" s="42"/>
      <c r="D4" s="42"/>
      <c r="E4" s="42"/>
      <c r="F4" s="42"/>
      <c r="G4" s="603"/>
    </row>
    <row r="5" spans="1:7" ht="12.75" customHeight="1">
      <c r="A5" s="671"/>
      <c r="B5" s="603"/>
      <c r="C5" s="42"/>
      <c r="D5" s="42"/>
      <c r="E5" s="42"/>
      <c r="F5" s="42"/>
      <c r="G5" s="603"/>
    </row>
    <row r="6" spans="1:2" s="513" customFormat="1" ht="12.75" customHeight="1">
      <c r="A6" s="14" t="s">
        <v>1001</v>
      </c>
      <c r="B6" s="676" t="s">
        <v>1020</v>
      </c>
    </row>
    <row r="7" spans="1:7" s="513" customFormat="1" ht="12" customHeight="1">
      <c r="A7" s="626"/>
      <c r="B7" s="1155"/>
      <c r="C7" s="647" t="s">
        <v>994</v>
      </c>
      <c r="D7" s="1284" t="s">
        <v>135</v>
      </c>
      <c r="E7" s="715" t="s">
        <v>863</v>
      </c>
      <c r="F7" s="1764" t="s">
        <v>821</v>
      </c>
      <c r="G7" s="1812"/>
    </row>
    <row r="8" spans="1:7" s="451" customFormat="1" ht="12" customHeight="1">
      <c r="A8" s="703"/>
      <c r="B8" s="1156"/>
      <c r="C8" s="670"/>
      <c r="D8" s="670"/>
      <c r="E8" s="670"/>
      <c r="F8" s="704" t="s">
        <v>855</v>
      </c>
      <c r="G8" s="1082" t="s">
        <v>850</v>
      </c>
    </row>
    <row r="9" spans="1:10" ht="12" customHeight="1">
      <c r="A9" s="761">
        <f>(100*G2)+1</f>
        <v>2401</v>
      </c>
      <c r="B9" s="1154" t="str">
        <f>CONCATENATE("Stand per 31-12-",Voorblad!E3-1)</f>
        <v>Stand per 31-12-2004</v>
      </c>
      <c r="C9" s="500"/>
      <c r="D9" s="503">
        <v>0</v>
      </c>
      <c r="E9" s="502">
        <f>C9-D9</f>
        <v>0</v>
      </c>
      <c r="F9" s="939">
        <v>1</v>
      </c>
      <c r="G9" s="484">
        <f>E9*F9</f>
        <v>0</v>
      </c>
      <c r="J9" s="453"/>
    </row>
    <row r="10" spans="1:10" ht="12" customHeight="1">
      <c r="A10" s="761">
        <f aca="true" t="shared" si="0" ref="A10:A25">A9+1</f>
        <v>2402</v>
      </c>
      <c r="B10" s="674" t="str">
        <f>CONCATENATE("Geheel afgeschreven in ",Voorblad!E3-1)</f>
        <v>Geheel afgeschreven in 2004</v>
      </c>
      <c r="C10" s="501"/>
      <c r="D10" s="500"/>
      <c r="E10" s="502">
        <f>C10-D10</f>
        <v>0</v>
      </c>
      <c r="F10" s="936"/>
      <c r="G10" s="484"/>
      <c r="J10" s="453"/>
    </row>
    <row r="11" spans="1:10" ht="12" customHeight="1">
      <c r="A11" s="761">
        <f t="shared" si="0"/>
        <v>2403</v>
      </c>
      <c r="B11" s="674" t="s">
        <v>719</v>
      </c>
      <c r="C11" s="500"/>
      <c r="D11" s="503">
        <v>0</v>
      </c>
      <c r="E11" s="502">
        <f aca="true" t="shared" si="1" ref="E11:E22">C11-D11</f>
        <v>0</v>
      </c>
      <c r="F11" s="939">
        <v>0.9583</v>
      </c>
      <c r="G11" s="484">
        <f aca="true" t="shared" si="2" ref="G11:G22">E11*F11</f>
        <v>0</v>
      </c>
      <c r="J11" s="453"/>
    </row>
    <row r="12" spans="1:10" ht="12" customHeight="1">
      <c r="A12" s="761">
        <f t="shared" si="0"/>
        <v>2404</v>
      </c>
      <c r="B12" s="674" t="s">
        <v>720</v>
      </c>
      <c r="C12" s="500"/>
      <c r="D12" s="503">
        <v>0</v>
      </c>
      <c r="E12" s="502">
        <f t="shared" si="1"/>
        <v>0</v>
      </c>
      <c r="F12" s="939">
        <v>0.875</v>
      </c>
      <c r="G12" s="484">
        <f t="shared" si="2"/>
        <v>0</v>
      </c>
      <c r="J12" s="453"/>
    </row>
    <row r="13" spans="1:10" ht="12" customHeight="1">
      <c r="A13" s="761">
        <f t="shared" si="0"/>
        <v>2405</v>
      </c>
      <c r="B13" s="674" t="s">
        <v>721</v>
      </c>
      <c r="C13" s="500"/>
      <c r="D13" s="503">
        <v>0</v>
      </c>
      <c r="E13" s="502">
        <f t="shared" si="1"/>
        <v>0</v>
      </c>
      <c r="F13" s="939">
        <v>0.7917</v>
      </c>
      <c r="G13" s="484">
        <f t="shared" si="2"/>
        <v>0</v>
      </c>
      <c r="J13" s="453"/>
    </row>
    <row r="14" spans="1:10" ht="12" customHeight="1">
      <c r="A14" s="761">
        <f t="shared" si="0"/>
        <v>2406</v>
      </c>
      <c r="B14" s="674" t="s">
        <v>722</v>
      </c>
      <c r="C14" s="500"/>
      <c r="D14" s="503">
        <v>0</v>
      </c>
      <c r="E14" s="502">
        <f t="shared" si="1"/>
        <v>0</v>
      </c>
      <c r="F14" s="939">
        <v>0.7083</v>
      </c>
      <c r="G14" s="484">
        <f t="shared" si="2"/>
        <v>0</v>
      </c>
      <c r="J14" s="453"/>
    </row>
    <row r="15" spans="1:10" ht="12" customHeight="1">
      <c r="A15" s="761">
        <f t="shared" si="0"/>
        <v>2407</v>
      </c>
      <c r="B15" s="674" t="s">
        <v>723</v>
      </c>
      <c r="C15" s="500"/>
      <c r="D15" s="503">
        <v>0</v>
      </c>
      <c r="E15" s="502">
        <f t="shared" si="1"/>
        <v>0</v>
      </c>
      <c r="F15" s="939">
        <v>0.625</v>
      </c>
      <c r="G15" s="484">
        <f t="shared" si="2"/>
        <v>0</v>
      </c>
      <c r="J15" s="453"/>
    </row>
    <row r="16" spans="1:10" ht="12" customHeight="1">
      <c r="A16" s="761">
        <f t="shared" si="0"/>
        <v>2408</v>
      </c>
      <c r="B16" s="674" t="s">
        <v>724</v>
      </c>
      <c r="C16" s="500"/>
      <c r="D16" s="503">
        <v>0</v>
      </c>
      <c r="E16" s="502">
        <f t="shared" si="1"/>
        <v>0</v>
      </c>
      <c r="F16" s="939">
        <v>0.5417</v>
      </c>
      <c r="G16" s="484">
        <f t="shared" si="2"/>
        <v>0</v>
      </c>
      <c r="J16" s="453"/>
    </row>
    <row r="17" spans="1:10" ht="12" customHeight="1">
      <c r="A17" s="761">
        <f t="shared" si="0"/>
        <v>2409</v>
      </c>
      <c r="B17" s="674" t="s">
        <v>725</v>
      </c>
      <c r="C17" s="500"/>
      <c r="D17" s="503">
        <v>0</v>
      </c>
      <c r="E17" s="502">
        <f t="shared" si="1"/>
        <v>0</v>
      </c>
      <c r="F17" s="939">
        <v>0.4583</v>
      </c>
      <c r="G17" s="484">
        <f t="shared" si="2"/>
        <v>0</v>
      </c>
      <c r="J17" s="453"/>
    </row>
    <row r="18" spans="1:10" ht="12" customHeight="1">
      <c r="A18" s="761">
        <f t="shared" si="0"/>
        <v>2410</v>
      </c>
      <c r="B18" s="674" t="s">
        <v>726</v>
      </c>
      <c r="C18" s="500"/>
      <c r="D18" s="503">
        <v>0</v>
      </c>
      <c r="E18" s="502">
        <f t="shared" si="1"/>
        <v>0</v>
      </c>
      <c r="F18" s="939">
        <v>0.375</v>
      </c>
      <c r="G18" s="484">
        <f t="shared" si="2"/>
        <v>0</v>
      </c>
      <c r="J18" s="453"/>
    </row>
    <row r="19" spans="1:10" ht="12" customHeight="1">
      <c r="A19" s="761">
        <f t="shared" si="0"/>
        <v>2411</v>
      </c>
      <c r="B19" s="674" t="s">
        <v>727</v>
      </c>
      <c r="C19" s="500"/>
      <c r="D19" s="503">
        <v>0</v>
      </c>
      <c r="E19" s="502">
        <f t="shared" si="1"/>
        <v>0</v>
      </c>
      <c r="F19" s="939">
        <v>0.2917</v>
      </c>
      <c r="G19" s="484">
        <f t="shared" si="2"/>
        <v>0</v>
      </c>
      <c r="J19" s="453"/>
    </row>
    <row r="20" spans="1:10" ht="12" customHeight="1">
      <c r="A20" s="761">
        <f t="shared" si="0"/>
        <v>2412</v>
      </c>
      <c r="B20" s="674" t="s">
        <v>728</v>
      </c>
      <c r="C20" s="500"/>
      <c r="D20" s="503">
        <v>0</v>
      </c>
      <c r="E20" s="502">
        <f t="shared" si="1"/>
        <v>0</v>
      </c>
      <c r="F20" s="939">
        <v>0.2083</v>
      </c>
      <c r="G20" s="484">
        <f t="shared" si="2"/>
        <v>0</v>
      </c>
      <c r="J20" s="453"/>
    </row>
    <row r="21" spans="1:10" ht="12" customHeight="1">
      <c r="A21" s="761">
        <f t="shared" si="0"/>
        <v>2413</v>
      </c>
      <c r="B21" s="674" t="s">
        <v>729</v>
      </c>
      <c r="C21" s="500"/>
      <c r="D21" s="503">
        <v>0</v>
      </c>
      <c r="E21" s="502">
        <f t="shared" si="1"/>
        <v>0</v>
      </c>
      <c r="F21" s="939">
        <v>0.125</v>
      </c>
      <c r="G21" s="484">
        <f t="shared" si="2"/>
        <v>0</v>
      </c>
      <c r="J21" s="453"/>
    </row>
    <row r="22" spans="1:10" ht="12" customHeight="1">
      <c r="A22" s="761">
        <f t="shared" si="0"/>
        <v>2414</v>
      </c>
      <c r="B22" s="706" t="s">
        <v>730</v>
      </c>
      <c r="C22" s="780"/>
      <c r="D22" s="940">
        <v>0</v>
      </c>
      <c r="E22" s="941">
        <f t="shared" si="1"/>
        <v>0</v>
      </c>
      <c r="F22" s="942">
        <v>0.0417</v>
      </c>
      <c r="G22" s="821">
        <f t="shared" si="2"/>
        <v>0</v>
      </c>
      <c r="J22" s="453"/>
    </row>
    <row r="23" spans="1:7" ht="12" customHeight="1">
      <c r="A23" s="761">
        <f t="shared" si="0"/>
        <v>2415</v>
      </c>
      <c r="B23" s="815" t="str">
        <f>CONCATENATE("Stand per 31-12-",Voorblad!$E$3," (",A9," t/m ",A22,")")</f>
        <v>Stand per 31-12-2005 (2401 t/m 2414)</v>
      </c>
      <c r="C23" s="823">
        <f>C9-C10+SUM(C11:C22)</f>
        <v>0</v>
      </c>
      <c r="D23" s="903">
        <f>D9-D10+SUM(D11:D22)</f>
        <v>0</v>
      </c>
      <c r="E23" s="850">
        <f>SUM(E9:E22)</f>
        <v>0</v>
      </c>
      <c r="F23" s="851"/>
      <c r="G23" s="766">
        <f>SUM(G9:G22)</f>
        <v>0</v>
      </c>
    </row>
    <row r="24" spans="1:9" s="471" customFormat="1" ht="12" customHeight="1">
      <c r="A24" s="761">
        <f t="shared" si="0"/>
        <v>2416</v>
      </c>
      <c r="B24" s="858" t="str">
        <f>CONCATENATE("Overzicht afschrijvingen (regel ",Afschrijvingen!A22,")")</f>
        <v>Overzicht afschrijvingen (regel 1313)</v>
      </c>
      <c r="C24" s="859">
        <f>Afschrijvingen!J22</f>
        <v>0</v>
      </c>
      <c r="D24"/>
      <c r="E24" s="859">
        <f>Afschrijvingen!K22</f>
        <v>0</v>
      </c>
      <c r="I24" s="478"/>
    </row>
    <row r="25" spans="1:5" ht="12" customHeight="1">
      <c r="A25" s="761">
        <f t="shared" si="0"/>
        <v>2417</v>
      </c>
      <c r="B25" s="815" t="s">
        <v>1235</v>
      </c>
      <c r="C25" s="860">
        <f>C23-C24</f>
        <v>0</v>
      </c>
      <c r="D25"/>
      <c r="E25" s="861">
        <f>E23-E24</f>
        <v>0</v>
      </c>
    </row>
    <row r="26" spans="1:7" ht="12">
      <c r="A26" s="603" t="str">
        <f>CONCATENATE("* Afschrijvingen ",Voorblad!E3," exclusief niet-nacalculeerbare afschrijvingen ")</f>
        <v>* Afschrijvingen 2005 exclusief niet-nacalculeerbare afschrijvingen </v>
      </c>
      <c r="F26" s="574"/>
      <c r="G26" s="729"/>
    </row>
    <row r="27" spans="1:7" ht="12">
      <c r="A27" s="603"/>
      <c r="F27" s="574"/>
      <c r="G27" s="729"/>
    </row>
    <row r="28" spans="1:7" ht="12">
      <c r="A28" s="664" t="s">
        <v>796</v>
      </c>
      <c r="F28" s="574"/>
      <c r="G28" s="729"/>
    </row>
    <row r="29" spans="1:8" ht="12">
      <c r="A29" s="729"/>
      <c r="B29" s="729"/>
      <c r="C29" s="574"/>
      <c r="D29" s="574"/>
      <c r="E29" s="574"/>
      <c r="F29" s="574"/>
      <c r="G29" s="729"/>
      <c r="H29" s="729"/>
    </row>
    <row r="30" spans="1:8" ht="12">
      <c r="A30" s="729"/>
      <c r="B30" s="729"/>
      <c r="C30" s="574"/>
      <c r="D30" s="574"/>
      <c r="E30" s="574"/>
      <c r="F30" s="574"/>
      <c r="G30" s="729"/>
      <c r="H30" s="729"/>
    </row>
    <row r="31" spans="1:8" ht="12">
      <c r="A31" s="729"/>
      <c r="B31" s="729"/>
      <c r="C31" s="574"/>
      <c r="D31" s="574"/>
      <c r="E31" s="574"/>
      <c r="F31" s="574"/>
      <c r="G31" s="729"/>
      <c r="H31" s="729"/>
    </row>
    <row r="32" spans="1:8" ht="12">
      <c r="A32" s="729"/>
      <c r="B32" s="729"/>
      <c r="C32" s="574"/>
      <c r="D32" s="574"/>
      <c r="E32" s="574"/>
      <c r="F32" s="574"/>
      <c r="G32" s="729"/>
      <c r="H32" s="729"/>
    </row>
    <row r="33" spans="1:8" ht="12">
      <c r="A33" s="729"/>
      <c r="B33" s="729"/>
      <c r="C33" s="574"/>
      <c r="D33" s="574"/>
      <c r="E33" s="574"/>
      <c r="F33" s="574"/>
      <c r="G33" s="729"/>
      <c r="H33" s="729"/>
    </row>
    <row r="34" spans="1:8" ht="12">
      <c r="A34" s="729"/>
      <c r="B34" s="729"/>
      <c r="C34" s="574"/>
      <c r="D34" s="574"/>
      <c r="E34" s="574"/>
      <c r="F34" s="574"/>
      <c r="G34" s="729"/>
      <c r="H34" s="729"/>
    </row>
    <row r="35" spans="1:8" ht="12">
      <c r="A35" s="729"/>
      <c r="B35" s="729"/>
      <c r="C35" s="574"/>
      <c r="D35" s="574"/>
      <c r="E35" s="574"/>
      <c r="F35" s="574"/>
      <c r="G35" s="729"/>
      <c r="H35" s="729"/>
    </row>
    <row r="36" spans="1:8" ht="12">
      <c r="A36" s="729"/>
      <c r="B36" s="729"/>
      <c r="C36" s="574"/>
      <c r="D36" s="574"/>
      <c r="E36" s="574"/>
      <c r="F36" s="574"/>
      <c r="G36" s="729"/>
      <c r="H36" s="729"/>
    </row>
    <row r="37" spans="1:8" ht="12">
      <c r="A37" s="729"/>
      <c r="B37" s="729"/>
      <c r="C37" s="574"/>
      <c r="D37" s="574"/>
      <c r="E37" s="574"/>
      <c r="F37" s="574"/>
      <c r="G37" s="729"/>
      <c r="H37" s="729"/>
    </row>
    <row r="38" spans="1:8" ht="12">
      <c r="A38" s="729"/>
      <c r="B38" s="729"/>
      <c r="C38" s="574"/>
      <c r="D38" s="574"/>
      <c r="E38" s="574"/>
      <c r="F38" s="574"/>
      <c r="G38" s="729"/>
      <c r="H38" s="729"/>
    </row>
    <row r="39" spans="1:8" ht="12">
      <c r="A39" s="729"/>
      <c r="B39" s="729"/>
      <c r="C39" s="574"/>
      <c r="D39" s="574"/>
      <c r="E39" s="574"/>
      <c r="F39" s="574"/>
      <c r="G39" s="729"/>
      <c r="H39" s="729"/>
    </row>
    <row r="40" spans="1:8" ht="12">
      <c r="A40" s="729"/>
      <c r="B40" s="729"/>
      <c r="C40" s="574"/>
      <c r="D40" s="574"/>
      <c r="E40" s="574"/>
      <c r="F40" s="574"/>
      <c r="G40" s="729"/>
      <c r="H40" s="729"/>
    </row>
    <row r="41" spans="1:8" ht="12">
      <c r="A41" s="729"/>
      <c r="B41" s="729"/>
      <c r="C41" s="574"/>
      <c r="D41" s="574"/>
      <c r="E41" s="574"/>
      <c r="F41" s="574"/>
      <c r="G41" s="729"/>
      <c r="H41" s="729"/>
    </row>
    <row r="42" spans="1:8" ht="12">
      <c r="A42" s="729"/>
      <c r="B42" s="729"/>
      <c r="C42" s="574"/>
      <c r="D42" s="574"/>
      <c r="E42" s="574"/>
      <c r="F42" s="574"/>
      <c r="G42" s="729"/>
      <c r="H42" s="729"/>
    </row>
    <row r="43" spans="1:8" ht="12">
      <c r="A43" s="729"/>
      <c r="B43" s="729"/>
      <c r="C43" s="574"/>
      <c r="D43" s="574"/>
      <c r="E43" s="574"/>
      <c r="F43" s="574"/>
      <c r="G43" s="729"/>
      <c r="H43" s="729"/>
    </row>
    <row r="44" spans="1:8" ht="12">
      <c r="A44" s="729"/>
      <c r="B44" s="729"/>
      <c r="C44" s="574"/>
      <c r="D44" s="574"/>
      <c r="E44" s="574"/>
      <c r="F44" s="574"/>
      <c r="G44" s="729"/>
      <c r="H44" s="729"/>
    </row>
    <row r="45" spans="1:8" ht="12">
      <c r="A45" s="729"/>
      <c r="B45" s="729"/>
      <c r="C45" s="574"/>
      <c r="D45" s="574"/>
      <c r="E45" s="574"/>
      <c r="F45" s="574"/>
      <c r="G45" s="729"/>
      <c r="H45" s="729"/>
    </row>
    <row r="46" spans="1:7" ht="12">
      <c r="A46" s="603"/>
      <c r="F46" s="574"/>
      <c r="G46" s="729"/>
    </row>
    <row r="47" spans="1:7" ht="15.75" customHeight="1">
      <c r="A47" s="671"/>
      <c r="B47" s="603"/>
      <c r="C47" s="42"/>
      <c r="D47" s="42"/>
      <c r="E47" s="42"/>
      <c r="F47" s="42"/>
      <c r="G47" s="603"/>
    </row>
    <row r="48" spans="1:7" ht="15.75" customHeight="1">
      <c r="A48" s="616" t="str">
        <f>CONCATENATE("Bijlage ",LEFT(A50,1)," en ",LEFT(A74,1)," bij het nacalculatieformulier ",Voorblad!$E$3," ",Voorblad!$A$5)</f>
        <v>Bijlage B en C bij het nacalculatieformulier 2005 GGZ-instellingen</v>
      </c>
      <c r="B48" s="631"/>
      <c r="C48" s="633"/>
      <c r="D48" s="633"/>
      <c r="E48" s="634">
        <f>Voorblad!E82</f>
        <v>0</v>
      </c>
      <c r="F48" s="634"/>
      <c r="G48" s="1258">
        <f>G2+1</f>
        <v>25</v>
      </c>
    </row>
    <row r="49" spans="1:7" ht="12">
      <c r="A49" s="603"/>
      <c r="F49" s="574"/>
      <c r="G49" s="729"/>
    </row>
    <row r="50" spans="1:3" ht="12" customHeight="1">
      <c r="A50" s="14" t="s">
        <v>1002</v>
      </c>
      <c r="B50" s="705" t="s">
        <v>1434</v>
      </c>
      <c r="C50" s="881"/>
    </row>
    <row r="51" spans="1:7" ht="12" customHeight="1">
      <c r="A51" s="626"/>
      <c r="B51" s="1155"/>
      <c r="C51" s="1818" t="s">
        <v>1322</v>
      </c>
      <c r="D51" s="1818" t="s">
        <v>1325</v>
      </c>
      <c r="E51" s="1803" t="s">
        <v>824</v>
      </c>
      <c r="F51" s="1813"/>
      <c r="G51" s="1814"/>
    </row>
    <row r="52" spans="1:7" ht="12" customHeight="1">
      <c r="A52" s="703"/>
      <c r="B52" s="1159"/>
      <c r="C52" s="1819"/>
      <c r="D52" s="1819"/>
      <c r="E52" s="1815"/>
      <c r="F52" s="1816"/>
      <c r="G52" s="1817"/>
    </row>
    <row r="53" spans="1:7" ht="12" customHeight="1">
      <c r="A53" s="14"/>
      <c r="B53" s="1156"/>
      <c r="C53" s="1820"/>
      <c r="D53" s="1820"/>
      <c r="E53" s="704" t="s">
        <v>731</v>
      </c>
      <c r="F53" s="704" t="s">
        <v>732</v>
      </c>
      <c r="G53" s="1082" t="s">
        <v>850</v>
      </c>
    </row>
    <row r="54" spans="1:7" ht="12" customHeight="1">
      <c r="A54" s="761">
        <f>(100*G48)+1</f>
        <v>2501</v>
      </c>
      <c r="B54" s="1154" t="str">
        <f>CONCATENATE("Stand per 31-12-",Voorblad!E3-1)</f>
        <v>Stand per 31-12-2004</v>
      </c>
      <c r="C54" s="500"/>
      <c r="D54"/>
      <c r="E54" s="943">
        <v>1</v>
      </c>
      <c r="F54" s="937"/>
      <c r="G54" s="484">
        <f>C54*E54</f>
        <v>0</v>
      </c>
    </row>
    <row r="55" spans="1:7" ht="12" customHeight="1">
      <c r="A55" s="761">
        <f>A54+1</f>
        <v>2502</v>
      </c>
      <c r="B55" s="674" t="s">
        <v>733</v>
      </c>
      <c r="C55" s="500"/>
      <c r="D55" s="503">
        <v>0</v>
      </c>
      <c r="E55" s="943">
        <f>10.5/12</f>
        <v>0.875</v>
      </c>
      <c r="F55" s="943">
        <v>0.9583</v>
      </c>
      <c r="G55" s="484">
        <f>C55*E55-D55*F55</f>
        <v>0</v>
      </c>
    </row>
    <row r="56" spans="1:7" ht="12" customHeight="1">
      <c r="A56" s="761">
        <f aca="true" t="shared" si="3" ref="A56:A67">A55+1</f>
        <v>2503</v>
      </c>
      <c r="B56" s="674" t="s">
        <v>734</v>
      </c>
      <c r="C56" s="500"/>
      <c r="D56" s="503">
        <v>0</v>
      </c>
      <c r="E56" s="943">
        <f>9.5/12</f>
        <v>0.7916666666666666</v>
      </c>
      <c r="F56" s="943">
        <v>0.875</v>
      </c>
      <c r="G56" s="484">
        <f aca="true" t="shared" si="4" ref="G56:G66">C56*E56-D56*F56</f>
        <v>0</v>
      </c>
    </row>
    <row r="57" spans="1:7" ht="12" customHeight="1">
      <c r="A57" s="761">
        <f t="shared" si="3"/>
        <v>2504</v>
      </c>
      <c r="B57" s="674" t="s">
        <v>735</v>
      </c>
      <c r="C57" s="500"/>
      <c r="D57" s="503">
        <v>0</v>
      </c>
      <c r="E57" s="943">
        <f>8.5/12</f>
        <v>0.7083333333333334</v>
      </c>
      <c r="F57" s="943">
        <v>0.7917</v>
      </c>
      <c r="G57" s="484">
        <f t="shared" si="4"/>
        <v>0</v>
      </c>
    </row>
    <row r="58" spans="1:7" ht="12" customHeight="1">
      <c r="A58" s="761">
        <f t="shared" si="3"/>
        <v>2505</v>
      </c>
      <c r="B58" s="674" t="s">
        <v>736</v>
      </c>
      <c r="C58" s="500"/>
      <c r="D58" s="503">
        <v>0</v>
      </c>
      <c r="E58" s="943">
        <f>7.5/12</f>
        <v>0.625</v>
      </c>
      <c r="F58" s="943">
        <v>0.7083</v>
      </c>
      <c r="G58" s="484">
        <f t="shared" si="4"/>
        <v>0</v>
      </c>
    </row>
    <row r="59" spans="1:7" ht="12" customHeight="1">
      <c r="A59" s="761">
        <f t="shared" si="3"/>
        <v>2506</v>
      </c>
      <c r="B59" s="674" t="s">
        <v>737</v>
      </c>
      <c r="C59" s="500"/>
      <c r="D59" s="503">
        <v>0</v>
      </c>
      <c r="E59" s="943">
        <f>6.5/12</f>
        <v>0.5416666666666666</v>
      </c>
      <c r="F59" s="943">
        <v>0.625</v>
      </c>
      <c r="G59" s="484">
        <f t="shared" si="4"/>
        <v>0</v>
      </c>
    </row>
    <row r="60" spans="1:7" ht="12" customHeight="1">
      <c r="A60" s="761">
        <f t="shared" si="3"/>
        <v>2507</v>
      </c>
      <c r="B60" s="674" t="s">
        <v>738</v>
      </c>
      <c r="C60" s="500"/>
      <c r="D60" s="503">
        <v>0</v>
      </c>
      <c r="E60" s="943">
        <f>5.5/12</f>
        <v>0.4583333333333333</v>
      </c>
      <c r="F60" s="943">
        <v>0.5417</v>
      </c>
      <c r="G60" s="484">
        <f t="shared" si="4"/>
        <v>0</v>
      </c>
    </row>
    <row r="61" spans="1:7" ht="12" customHeight="1">
      <c r="A61" s="761">
        <f t="shared" si="3"/>
        <v>2508</v>
      </c>
      <c r="B61" s="674" t="s">
        <v>739</v>
      </c>
      <c r="C61" s="500"/>
      <c r="D61" s="503">
        <v>0</v>
      </c>
      <c r="E61" s="943">
        <f>4.5/12</f>
        <v>0.375</v>
      </c>
      <c r="F61" s="943">
        <v>0.4583</v>
      </c>
      <c r="G61" s="484">
        <f t="shared" si="4"/>
        <v>0</v>
      </c>
    </row>
    <row r="62" spans="1:7" ht="12" customHeight="1">
      <c r="A62" s="761">
        <f t="shared" si="3"/>
        <v>2509</v>
      </c>
      <c r="B62" s="674" t="s">
        <v>740</v>
      </c>
      <c r="C62" s="500"/>
      <c r="D62" s="503">
        <v>0</v>
      </c>
      <c r="E62" s="943">
        <f>3.5/12</f>
        <v>0.2916666666666667</v>
      </c>
      <c r="F62" s="943">
        <v>0.375</v>
      </c>
      <c r="G62" s="484">
        <f t="shared" si="4"/>
        <v>0</v>
      </c>
    </row>
    <row r="63" spans="1:7" ht="12" customHeight="1">
      <c r="A63" s="761">
        <f t="shared" si="3"/>
        <v>2510</v>
      </c>
      <c r="B63" s="674" t="s">
        <v>741</v>
      </c>
      <c r="C63" s="500"/>
      <c r="D63" s="503">
        <v>0</v>
      </c>
      <c r="E63" s="943">
        <f>2.5/12</f>
        <v>0.20833333333333334</v>
      </c>
      <c r="F63" s="943">
        <v>0.2917</v>
      </c>
      <c r="G63" s="484">
        <f t="shared" si="4"/>
        <v>0</v>
      </c>
    </row>
    <row r="64" spans="1:7" ht="12" customHeight="1">
      <c r="A64" s="761">
        <f t="shared" si="3"/>
        <v>2511</v>
      </c>
      <c r="B64" s="674" t="s">
        <v>742</v>
      </c>
      <c r="C64" s="500"/>
      <c r="D64" s="503">
        <v>0</v>
      </c>
      <c r="E64" s="943">
        <f>1.5/12</f>
        <v>0.125</v>
      </c>
      <c r="F64" s="943">
        <v>0.2083</v>
      </c>
      <c r="G64" s="484">
        <f t="shared" si="4"/>
        <v>0</v>
      </c>
    </row>
    <row r="65" spans="1:7" ht="12" customHeight="1">
      <c r="A65" s="761">
        <f t="shared" si="3"/>
        <v>2512</v>
      </c>
      <c r="B65" s="674" t="s">
        <v>743</v>
      </c>
      <c r="C65" s="500"/>
      <c r="D65" s="503">
        <v>0</v>
      </c>
      <c r="E65" s="943">
        <f>0.5/12</f>
        <v>0.041666666666666664</v>
      </c>
      <c r="F65" s="943">
        <v>0.125</v>
      </c>
      <c r="G65" s="484">
        <f t="shared" si="4"/>
        <v>0</v>
      </c>
    </row>
    <row r="66" spans="1:7" ht="12" customHeight="1">
      <c r="A66" s="761">
        <f t="shared" si="3"/>
        <v>2513</v>
      </c>
      <c r="B66" s="674" t="s">
        <v>744</v>
      </c>
      <c r="C66" s="500"/>
      <c r="D66" s="503">
        <v>0</v>
      </c>
      <c r="E66" s="944">
        <f>-0.5/12</f>
        <v>-0.041666666666666664</v>
      </c>
      <c r="F66" s="943">
        <v>0.0417</v>
      </c>
      <c r="G66" s="484">
        <f t="shared" si="4"/>
        <v>0</v>
      </c>
    </row>
    <row r="67" spans="1:7" ht="12" customHeight="1">
      <c r="A67" s="761">
        <f t="shared" si="3"/>
        <v>2514</v>
      </c>
      <c r="B67" s="815" t="str">
        <f>CONCATENATE("Stand per 31-12-",Voorblad!$E$3," (",A54," t/m ",A66,")")</f>
        <v>Stand per 31-12-2005 (2501 t/m 2513)</v>
      </c>
      <c r="C67" s="786">
        <f>SUM(C54:C66)</f>
        <v>0</v>
      </c>
      <c r="D67" s="903">
        <f>SUM(D55:D66)</f>
        <v>0</v>
      </c>
      <c r="E67"/>
      <c r="F67"/>
      <c r="G67" s="786">
        <f>SUM(G54:G66)</f>
        <v>0</v>
      </c>
    </row>
    <row r="68" spans="1:5" ht="12" customHeight="1">
      <c r="A68" s="761">
        <f>A67+1</f>
        <v>2515</v>
      </c>
      <c r="B68" s="815" t="str">
        <f>CONCATENATE("Saldo per 31-12-",Voorblad!$E$3,)</f>
        <v>Saldo per 31-12-2005</v>
      </c>
      <c r="C68" s="786">
        <f>C67-D67</f>
        <v>0</v>
      </c>
      <c r="D68"/>
      <c r="E68" s="472"/>
    </row>
    <row r="69" spans="1:5" ht="12" customHeight="1">
      <c r="A69" s="761">
        <f>A68+1</f>
        <v>2516</v>
      </c>
      <c r="B69" s="815" t="s">
        <v>1324</v>
      </c>
      <c r="C69" s="1521"/>
      <c r="D69" s="786">
        <f>SUM(C11:C22)</f>
        <v>0</v>
      </c>
      <c r="E69" s="472"/>
    </row>
    <row r="70" spans="1:5" ht="15">
      <c r="A70" s="761">
        <f>A69+1</f>
        <v>2517</v>
      </c>
      <c r="B70" s="815" t="s">
        <v>1323</v>
      </c>
      <c r="C70" s="1519"/>
      <c r="D70" s="860">
        <f>D67-D69</f>
        <v>0</v>
      </c>
      <c r="E70" s="1477">
        <f>E67-E68</f>
        <v>0</v>
      </c>
    </row>
    <row r="71" spans="1:6" ht="14.25">
      <c r="A71" s="453"/>
      <c r="B71" s="1520" t="s">
        <v>916</v>
      </c>
      <c r="C71" s="453"/>
      <c r="D71" s="453"/>
      <c r="E71" s="453"/>
      <c r="F71" s="451"/>
    </row>
    <row r="72" spans="1:6" ht="12" customHeight="1">
      <c r="A72" s="453"/>
      <c r="C72" s="453"/>
      <c r="D72" s="453"/>
      <c r="E72" s="453"/>
      <c r="F72" s="453"/>
    </row>
    <row r="73" spans="1:6" ht="12" customHeight="1">
      <c r="A73" s="714"/>
      <c r="B73" s="603"/>
      <c r="F73" s="453"/>
    </row>
    <row r="74" spans="1:6" ht="12" customHeight="1">
      <c r="A74" s="41" t="s">
        <v>1091</v>
      </c>
      <c r="B74" s="47" t="s">
        <v>1007</v>
      </c>
      <c r="F74" s="453"/>
    </row>
    <row r="75" spans="1:6" ht="12" customHeight="1">
      <c r="A75" s="14"/>
      <c r="B75" s="1161"/>
      <c r="C75" s="715" t="s">
        <v>1251</v>
      </c>
      <c r="D75" s="715" t="s">
        <v>822</v>
      </c>
      <c r="E75" s="715" t="s">
        <v>1251</v>
      </c>
      <c r="F75" s="453"/>
    </row>
    <row r="76" spans="2:6" ht="12" customHeight="1">
      <c r="B76" s="1162"/>
      <c r="C76" s="716" t="s">
        <v>1252</v>
      </c>
      <c r="D76" s="716"/>
      <c r="E76" s="716" t="s">
        <v>1253</v>
      </c>
      <c r="F76" s="453"/>
    </row>
    <row r="77" spans="1:6" ht="12" customHeight="1">
      <c r="A77" s="761">
        <f>A70+1</f>
        <v>2518</v>
      </c>
      <c r="B77" s="1160">
        <f>Voorblad!E$3</f>
        <v>2005</v>
      </c>
      <c r="C77" s="434"/>
      <c r="D77" s="510">
        <v>9.5</v>
      </c>
      <c r="E77" s="484">
        <f aca="true" t="shared" si="5" ref="E77:E86">C77*D77</f>
        <v>0</v>
      </c>
      <c r="F77" s="453"/>
    </row>
    <row r="78" spans="1:6" ht="12" customHeight="1">
      <c r="A78" s="761">
        <f>A77+1</f>
        <v>2519</v>
      </c>
      <c r="B78" s="189">
        <f>Voorblad!E$3-1</f>
        <v>2004</v>
      </c>
      <c r="C78" s="434"/>
      <c r="D78" s="510">
        <v>8.5</v>
      </c>
      <c r="E78" s="484">
        <f t="shared" si="5"/>
        <v>0</v>
      </c>
      <c r="F78" s="453"/>
    </row>
    <row r="79" spans="1:6" ht="12" customHeight="1">
      <c r="A79" s="761">
        <f>A78+1</f>
        <v>2520</v>
      </c>
      <c r="B79" s="189">
        <f>Voorblad!E$3-2</f>
        <v>2003</v>
      </c>
      <c r="C79" s="434"/>
      <c r="D79" s="510">
        <v>7.5</v>
      </c>
      <c r="E79" s="484">
        <f t="shared" si="5"/>
        <v>0</v>
      </c>
      <c r="F79" s="453"/>
    </row>
    <row r="80" spans="1:6" ht="12" customHeight="1">
      <c r="A80" s="761">
        <f>A79+1</f>
        <v>2521</v>
      </c>
      <c r="B80" s="189">
        <f>Voorblad!E$3-3</f>
        <v>2002</v>
      </c>
      <c r="C80" s="434"/>
      <c r="D80" s="510">
        <v>6.5</v>
      </c>
      <c r="E80" s="484">
        <f t="shared" si="5"/>
        <v>0</v>
      </c>
      <c r="F80" s="453"/>
    </row>
    <row r="81" spans="1:6" ht="12" customHeight="1">
      <c r="A81" s="761">
        <f aca="true" t="shared" si="6" ref="A81:A86">A80+1</f>
        <v>2522</v>
      </c>
      <c r="B81" s="189">
        <f>Voorblad!E$3-4</f>
        <v>2001</v>
      </c>
      <c r="C81" s="434"/>
      <c r="D81" s="510">
        <v>5.5</v>
      </c>
      <c r="E81" s="484">
        <f t="shared" si="5"/>
        <v>0</v>
      </c>
      <c r="F81" s="453"/>
    </row>
    <row r="82" spans="1:6" ht="12" customHeight="1">
      <c r="A82" s="761">
        <f t="shared" si="6"/>
        <v>2523</v>
      </c>
      <c r="B82" s="189">
        <f>Voorblad!E$3-5</f>
        <v>2000</v>
      </c>
      <c r="C82" s="434"/>
      <c r="D82" s="510">
        <v>4.5</v>
      </c>
      <c r="E82" s="484">
        <f t="shared" si="5"/>
        <v>0</v>
      </c>
      <c r="F82" s="453"/>
    </row>
    <row r="83" spans="1:6" ht="12" customHeight="1">
      <c r="A83" s="761">
        <f t="shared" si="6"/>
        <v>2524</v>
      </c>
      <c r="B83" s="189">
        <f>Voorblad!E$3-6</f>
        <v>1999</v>
      </c>
      <c r="C83" s="434"/>
      <c r="D83" s="510">
        <v>3.5</v>
      </c>
      <c r="E83" s="484">
        <f t="shared" si="5"/>
        <v>0</v>
      </c>
      <c r="F83" s="453"/>
    </row>
    <row r="84" spans="1:6" ht="12" customHeight="1">
      <c r="A84" s="761">
        <f t="shared" si="6"/>
        <v>2525</v>
      </c>
      <c r="B84" s="189">
        <f>Voorblad!E$3-7</f>
        <v>1998</v>
      </c>
      <c r="C84" s="434"/>
      <c r="D84" s="510">
        <v>2.5</v>
      </c>
      <c r="E84" s="484">
        <f t="shared" si="5"/>
        <v>0</v>
      </c>
      <c r="F84" s="453"/>
    </row>
    <row r="85" spans="1:6" ht="12" customHeight="1">
      <c r="A85" s="761">
        <f t="shared" si="6"/>
        <v>2526</v>
      </c>
      <c r="B85" s="189">
        <f>Voorblad!E$3-8</f>
        <v>1997</v>
      </c>
      <c r="C85" s="434"/>
      <c r="D85" s="510">
        <v>1.5</v>
      </c>
      <c r="E85" s="484">
        <f t="shared" si="5"/>
        <v>0</v>
      </c>
      <c r="F85" s="453"/>
    </row>
    <row r="86" spans="1:6" ht="12" customHeight="1">
      <c r="A86" s="761">
        <f t="shared" si="6"/>
        <v>2527</v>
      </c>
      <c r="B86" s="253">
        <f>Voorblad!E$3-9</f>
        <v>1996</v>
      </c>
      <c r="C86" s="764"/>
      <c r="D86" s="857">
        <v>0.5</v>
      </c>
      <c r="E86" s="821">
        <f t="shared" si="5"/>
        <v>0</v>
      </c>
      <c r="F86" s="453"/>
    </row>
    <row r="87" spans="1:6" ht="12" customHeight="1">
      <c r="A87" s="761">
        <f>A86+1</f>
        <v>2528</v>
      </c>
      <c r="B87" s="815" t="str">
        <f>CONCATENATE("Totaal (regel ",A77," t/m ",A86,")")</f>
        <v>Totaal (regel 2518 t/m 2527)</v>
      </c>
      <c r="C87" s="786">
        <f>SUM(C77:C86)</f>
        <v>0</v>
      </c>
      <c r="D87" s="786"/>
      <c r="E87" s="786">
        <f>SUM(E77:E86)</f>
        <v>0</v>
      </c>
      <c r="F87" s="453"/>
    </row>
    <row r="88" spans="1:6" ht="12" customHeight="1">
      <c r="A88" s="453"/>
      <c r="C88" s="453"/>
      <c r="D88" s="453"/>
      <c r="E88" s="453"/>
      <c r="F88" s="453"/>
    </row>
    <row r="89" spans="2:6" ht="12" customHeight="1">
      <c r="B89" s="166" t="str">
        <f>CONCATENATE("* Zie onderbouwing regel 62 laatste rekenstaat ",Voorblad!E3,)</f>
        <v>* Zie onderbouwing regel 62 laatste rekenstaat 2005</v>
      </c>
      <c r="C89" s="453"/>
      <c r="D89" s="453"/>
      <c r="E89" s="453"/>
      <c r="F89" s="453"/>
    </row>
    <row r="90" spans="1:6" ht="12" customHeight="1">
      <c r="A90" s="453"/>
      <c r="C90" s="453"/>
      <c r="D90" s="453"/>
      <c r="E90" s="453"/>
      <c r="F90" s="453"/>
    </row>
    <row r="91" spans="1:6" ht="12" customHeight="1">
      <c r="A91" s="453"/>
      <c r="C91" s="453"/>
      <c r="D91" s="453"/>
      <c r="E91" s="453"/>
      <c r="F91" s="453"/>
    </row>
    <row r="92" ht="15.75" customHeight="1">
      <c r="A92" s="904"/>
    </row>
    <row r="93" spans="1:7" ht="15.75" customHeight="1">
      <c r="A93" s="616" t="str">
        <f>CONCATENATE("Bijlage ",LEFT(A96,1)," en ",LEFT(A131,1)," bij het nacalculatieformulier ",Voorblad!$E$3," ",Voorblad!$A$5)</f>
        <v>Bijlage D en E bij het nacalculatieformulier 2005 GGZ-instellingen</v>
      </c>
      <c r="B93" s="631"/>
      <c r="C93" s="633"/>
      <c r="D93" s="633"/>
      <c r="E93" s="634" t="b">
        <f>Voorblad!E28</f>
        <v>1</v>
      </c>
      <c r="F93" s="634">
        <f>Voorblad!J28</f>
        <v>0</v>
      </c>
      <c r="G93" s="1258">
        <f>G48+1</f>
        <v>26</v>
      </c>
    </row>
    <row r="94" spans="1:7" ht="12.75">
      <c r="A94" s="671"/>
      <c r="B94" s="689"/>
      <c r="C94" s="689"/>
      <c r="D94" s="689"/>
      <c r="E94"/>
      <c r="F94" s="621"/>
      <c r="G94" s="689"/>
    </row>
    <row r="95" spans="1:3" ht="12">
      <c r="A95" s="626"/>
      <c r="B95" s="1158"/>
      <c r="C95" s="472"/>
    </row>
    <row r="96" spans="1:3" ht="12">
      <c r="A96" s="14" t="s">
        <v>1092</v>
      </c>
      <c r="B96" s="676" t="s">
        <v>1381</v>
      </c>
      <c r="C96" s="881"/>
    </row>
    <row r="97" spans="1:7" ht="12">
      <c r="A97" s="703"/>
      <c r="B97" s="1163"/>
      <c r="C97" s="715" t="s">
        <v>994</v>
      </c>
      <c r="D97" s="715" t="s">
        <v>995</v>
      </c>
      <c r="E97" s="1089" t="s">
        <v>863</v>
      </c>
      <c r="F97" s="1765" t="s">
        <v>821</v>
      </c>
      <c r="G97" s="1812"/>
    </row>
    <row r="98" spans="2:7" ht="12">
      <c r="B98" s="1162"/>
      <c r="C98" s="670"/>
      <c r="D98" s="707"/>
      <c r="E98" s="670"/>
      <c r="F98" s="708" t="s">
        <v>855</v>
      </c>
      <c r="G98" s="1082" t="s">
        <v>850</v>
      </c>
    </row>
    <row r="99" spans="1:7" ht="12" customHeight="1">
      <c r="A99" s="761">
        <f>G93*100+1</f>
        <v>2601</v>
      </c>
      <c r="B99" s="1154" t="str">
        <f>CONCATENATE("Geactiveerd per 31-12-",Voorblad!E3-1)</f>
        <v>Geactiveerd per 31-12-2004</v>
      </c>
      <c r="C99" s="500"/>
      <c r="D99" s="501">
        <v>0</v>
      </c>
      <c r="E99" s="505">
        <f>C99-D99</f>
        <v>0</v>
      </c>
      <c r="F99" s="709">
        <v>1</v>
      </c>
      <c r="G99" s="484">
        <f>E99*F99</f>
        <v>0</v>
      </c>
    </row>
    <row r="100" spans="1:7" ht="12" customHeight="1">
      <c r="A100" s="761">
        <f aca="true" t="shared" si="7" ref="A100:A118">A99+1</f>
        <v>2602</v>
      </c>
      <c r="B100" s="674" t="str">
        <f>CONCATENATE("Geheel afgeschreven in ",Voorblad!E3-1)</f>
        <v>Geheel afgeschreven in 2004</v>
      </c>
      <c r="C100" s="501">
        <v>0</v>
      </c>
      <c r="D100" s="500"/>
      <c r="E100" s="502">
        <f>C100-D100</f>
        <v>0</v>
      </c>
      <c r="F100" s="709"/>
      <c r="G100" s="484"/>
    </row>
    <row r="101" spans="1:7" ht="12" customHeight="1">
      <c r="A101" s="761">
        <f t="shared" si="7"/>
        <v>2603</v>
      </c>
      <c r="B101" s="674" t="str">
        <f>CONCATENATE("Onderhanden werk per  31-12-",Voorblad!E3-1)</f>
        <v>Onderhanden werk per  31-12-2004</v>
      </c>
      <c r="C101" s="500"/>
      <c r="D101"/>
      <c r="E101" s="505">
        <f>C101</f>
        <v>0</v>
      </c>
      <c r="F101" s="709">
        <v>1</v>
      </c>
      <c r="G101" s="484">
        <f>E101*F101</f>
        <v>0</v>
      </c>
    </row>
    <row r="102" spans="1:7" ht="12" customHeight="1">
      <c r="A102" s="761">
        <f t="shared" si="7"/>
        <v>2604</v>
      </c>
      <c r="B102" s="674" t="s">
        <v>751</v>
      </c>
      <c r="C102" s="500"/>
      <c r="D102"/>
      <c r="E102" s="505">
        <f aca="true" t="shared" si="8" ref="E102:E112">C102</f>
        <v>0</v>
      </c>
      <c r="F102" s="943">
        <f>10.5/12</f>
        <v>0.875</v>
      </c>
      <c r="G102" s="484">
        <f aca="true" t="shared" si="9" ref="G102:G113">E102*F102</f>
        <v>0</v>
      </c>
    </row>
    <row r="103" spans="1:7" ht="12" customHeight="1">
      <c r="A103" s="761">
        <f t="shared" si="7"/>
        <v>2605</v>
      </c>
      <c r="B103" s="674" t="s">
        <v>752</v>
      </c>
      <c r="C103" s="500"/>
      <c r="D103"/>
      <c r="E103" s="505">
        <f t="shared" si="8"/>
        <v>0</v>
      </c>
      <c r="F103" s="943">
        <f>9.5/12</f>
        <v>0.7916666666666666</v>
      </c>
      <c r="G103" s="484">
        <f t="shared" si="9"/>
        <v>0</v>
      </c>
    </row>
    <row r="104" spans="1:7" ht="12" customHeight="1">
      <c r="A104" s="761">
        <f t="shared" si="7"/>
        <v>2606</v>
      </c>
      <c r="B104" s="674" t="s">
        <v>753</v>
      </c>
      <c r="C104" s="500"/>
      <c r="D104"/>
      <c r="E104" s="505">
        <f t="shared" si="8"/>
        <v>0</v>
      </c>
      <c r="F104" s="943">
        <f>8.5/12</f>
        <v>0.7083333333333334</v>
      </c>
      <c r="G104" s="484">
        <f t="shared" si="9"/>
        <v>0</v>
      </c>
    </row>
    <row r="105" spans="1:7" ht="12" customHeight="1">
      <c r="A105" s="761">
        <f t="shared" si="7"/>
        <v>2607</v>
      </c>
      <c r="B105" s="674" t="s">
        <v>754</v>
      </c>
      <c r="C105" s="500"/>
      <c r="D105"/>
      <c r="E105" s="505">
        <f t="shared" si="8"/>
        <v>0</v>
      </c>
      <c r="F105" s="943">
        <f>7.5/12</f>
        <v>0.625</v>
      </c>
      <c r="G105" s="484">
        <f t="shared" si="9"/>
        <v>0</v>
      </c>
    </row>
    <row r="106" spans="1:7" ht="12" customHeight="1">
      <c r="A106" s="761">
        <f t="shared" si="7"/>
        <v>2608</v>
      </c>
      <c r="B106" s="674" t="s">
        <v>755</v>
      </c>
      <c r="C106" s="500"/>
      <c r="D106"/>
      <c r="E106" s="505">
        <f t="shared" si="8"/>
        <v>0</v>
      </c>
      <c r="F106" s="943">
        <f>6.5/12</f>
        <v>0.5416666666666666</v>
      </c>
      <c r="G106" s="484">
        <f t="shared" si="9"/>
        <v>0</v>
      </c>
    </row>
    <row r="107" spans="1:7" ht="12" customHeight="1">
      <c r="A107" s="761">
        <f t="shared" si="7"/>
        <v>2609</v>
      </c>
      <c r="B107" s="674" t="s">
        <v>756</v>
      </c>
      <c r="C107" s="500"/>
      <c r="D107"/>
      <c r="E107" s="505">
        <f t="shared" si="8"/>
        <v>0</v>
      </c>
      <c r="F107" s="943">
        <f>5.5/12</f>
        <v>0.4583333333333333</v>
      </c>
      <c r="G107" s="484">
        <f t="shared" si="9"/>
        <v>0</v>
      </c>
    </row>
    <row r="108" spans="1:7" ht="12" customHeight="1">
      <c r="A108" s="761">
        <f t="shared" si="7"/>
        <v>2610</v>
      </c>
      <c r="B108" s="674" t="s">
        <v>757</v>
      </c>
      <c r="C108" s="500"/>
      <c r="D108"/>
      <c r="E108" s="505">
        <f t="shared" si="8"/>
        <v>0</v>
      </c>
      <c r="F108" s="943">
        <f>4.5/12</f>
        <v>0.375</v>
      </c>
      <c r="G108" s="484">
        <f t="shared" si="9"/>
        <v>0</v>
      </c>
    </row>
    <row r="109" spans="1:7" ht="12" customHeight="1">
      <c r="A109" s="761">
        <f t="shared" si="7"/>
        <v>2611</v>
      </c>
      <c r="B109" s="674" t="s">
        <v>758</v>
      </c>
      <c r="C109" s="500"/>
      <c r="D109"/>
      <c r="E109" s="505">
        <f t="shared" si="8"/>
        <v>0</v>
      </c>
      <c r="F109" s="943">
        <f>3.5/12</f>
        <v>0.2916666666666667</v>
      </c>
      <c r="G109" s="484">
        <f t="shared" si="9"/>
        <v>0</v>
      </c>
    </row>
    <row r="110" spans="1:7" ht="12" customHeight="1">
      <c r="A110" s="761">
        <f t="shared" si="7"/>
        <v>2612</v>
      </c>
      <c r="B110" s="674" t="s">
        <v>759</v>
      </c>
      <c r="C110" s="500"/>
      <c r="D110"/>
      <c r="E110" s="505">
        <f t="shared" si="8"/>
        <v>0</v>
      </c>
      <c r="F110" s="943">
        <f>2.5/12</f>
        <v>0.20833333333333334</v>
      </c>
      <c r="G110" s="484">
        <f t="shared" si="9"/>
        <v>0</v>
      </c>
    </row>
    <row r="111" spans="1:7" ht="12" customHeight="1">
      <c r="A111" s="761">
        <f t="shared" si="7"/>
        <v>2613</v>
      </c>
      <c r="B111" s="674" t="s">
        <v>760</v>
      </c>
      <c r="C111" s="500"/>
      <c r="D111"/>
      <c r="E111" s="505">
        <f t="shared" si="8"/>
        <v>0</v>
      </c>
      <c r="F111" s="943">
        <f>1.5/12</f>
        <v>0.125</v>
      </c>
      <c r="G111" s="484">
        <f t="shared" si="9"/>
        <v>0</v>
      </c>
    </row>
    <row r="112" spans="1:10" ht="12.75">
      <c r="A112" s="761">
        <f t="shared" si="7"/>
        <v>2614</v>
      </c>
      <c r="B112" s="674" t="s">
        <v>761</v>
      </c>
      <c r="C112" s="500"/>
      <c r="D112"/>
      <c r="E112" s="505">
        <f t="shared" si="8"/>
        <v>0</v>
      </c>
      <c r="F112" s="943">
        <f>0.5/12</f>
        <v>0.041666666666666664</v>
      </c>
      <c r="G112" s="484">
        <f t="shared" si="9"/>
        <v>0</v>
      </c>
      <c r="I112" s="451"/>
      <c r="J112" s="453"/>
    </row>
    <row r="113" spans="1:10" ht="12.75">
      <c r="A113" s="761">
        <f t="shared" si="7"/>
        <v>2615</v>
      </c>
      <c r="B113" s="674" t="s">
        <v>762</v>
      </c>
      <c r="C113" s="500"/>
      <c r="D113"/>
      <c r="E113" s="505">
        <f>C113</f>
        <v>0</v>
      </c>
      <c r="F113" s="944">
        <f>-0.5/12</f>
        <v>-0.041666666666666664</v>
      </c>
      <c r="G113" s="484">
        <f t="shared" si="9"/>
        <v>0</v>
      </c>
      <c r="I113" s="580"/>
      <c r="J113" s="580"/>
    </row>
    <row r="114" spans="1:10" ht="12.75">
      <c r="A114" s="761">
        <f t="shared" si="7"/>
        <v>2616</v>
      </c>
      <c r="B114" s="674" t="str">
        <f>CONCATENATE("Afschrijving ",Voorblad!E3)</f>
        <v>Afschrijving 2005</v>
      </c>
      <c r="C114"/>
      <c r="D114" s="501">
        <v>0</v>
      </c>
      <c r="E114" s="506">
        <f>D114</f>
        <v>0</v>
      </c>
      <c r="F114" s="709">
        <v>0.5</v>
      </c>
      <c r="G114" s="506">
        <f>E114*F114</f>
        <v>0</v>
      </c>
      <c r="I114" s="580"/>
      <c r="J114" s="580"/>
    </row>
    <row r="115" spans="1:10" ht="12.75">
      <c r="A115" s="761">
        <f t="shared" si="7"/>
        <v>2617</v>
      </c>
      <c r="B115" s="674" t="str">
        <f>CONCATENATE("Onderhanden werk per  31-12-",Voorblad!E3)</f>
        <v>Onderhanden werk per  31-12-2005</v>
      </c>
      <c r="C115" s="501">
        <v>0</v>
      </c>
      <c r="D115"/>
      <c r="E115" s="506">
        <f>C115</f>
        <v>0</v>
      </c>
      <c r="F115"/>
      <c r="G115"/>
      <c r="J115" s="508"/>
    </row>
    <row r="116" spans="1:10" ht="12.75">
      <c r="A116" s="761">
        <f t="shared" si="7"/>
        <v>2618</v>
      </c>
      <c r="B116" s="815" t="str">
        <f>CONCATENATE("Geactiveerd per 31-12-",Voorblad!E3," (",A99," t/m ",A115,")")</f>
        <v>Geactiveerd per 31-12-2005 (2601 t/m 2617)</v>
      </c>
      <c r="C116" s="786">
        <f>C99-C100+SUM(C101:C113)-C115</f>
        <v>0</v>
      </c>
      <c r="D116" s="801">
        <f>D99-D100+D114</f>
        <v>0</v>
      </c>
      <c r="E116" s="786">
        <f>E99+SUM(E101:E113)-E114-E115</f>
        <v>0</v>
      </c>
      <c r="F116"/>
      <c r="G116" s="786">
        <f>SUM(G99:G113)-G114</f>
        <v>0</v>
      </c>
      <c r="I116" s="456"/>
      <c r="J116" s="456"/>
    </row>
    <row r="117" spans="1:5" ht="12.75">
      <c r="A117" s="761">
        <f t="shared" si="7"/>
        <v>2619</v>
      </c>
      <c r="B117" s="858" t="str">
        <f>CONCATENATE("Overzicht afschrijvingen (regel ",Afschrijvingen!A31," en ",Afschrijvingen!A32,")")</f>
        <v>Overzicht afschrijvingen (regel 1318 en 1319)</v>
      </c>
      <c r="C117" s="859">
        <f>Afschrijvingen!G31+Afschrijvingen!G32</f>
        <v>0</v>
      </c>
      <c r="D117"/>
      <c r="E117" s="859">
        <f>Afschrijvingen!K31+Afschrijvingen!K32</f>
        <v>0</v>
      </c>
    </row>
    <row r="118" spans="1:6" ht="12" customHeight="1">
      <c r="A118" s="761">
        <f t="shared" si="7"/>
        <v>2620</v>
      </c>
      <c r="B118" s="815" t="s">
        <v>1235</v>
      </c>
      <c r="C118" s="860">
        <f>C116-C117</f>
        <v>0</v>
      </c>
      <c r="D118"/>
      <c r="E118" s="860">
        <f>E116-E117</f>
        <v>0</v>
      </c>
      <c r="F118" s="453"/>
    </row>
    <row r="119" spans="1:7" ht="12" customHeight="1">
      <c r="A119" s="905"/>
      <c r="B119" s="729"/>
      <c r="C119" s="574"/>
      <c r="D119" s="574"/>
      <c r="E119" s="574"/>
      <c r="F119" s="574"/>
      <c r="G119" s="729"/>
    </row>
    <row r="120" spans="1:6" ht="12" customHeight="1">
      <c r="A120" s="471" t="s">
        <v>796</v>
      </c>
      <c r="C120" s="453"/>
      <c r="D120" s="453"/>
      <c r="E120" s="453"/>
      <c r="F120" s="453"/>
    </row>
    <row r="121" spans="1:7" ht="12" customHeight="1">
      <c r="A121" s="729"/>
      <c r="B121" s="729"/>
      <c r="C121" s="729"/>
      <c r="D121" s="729"/>
      <c r="E121" s="729"/>
      <c r="F121" s="729"/>
      <c r="G121" s="729"/>
    </row>
    <row r="122" spans="1:7" ht="12" customHeight="1">
      <c r="A122" s="729"/>
      <c r="B122" s="729"/>
      <c r="C122" s="729"/>
      <c r="D122" s="729"/>
      <c r="E122" s="729"/>
      <c r="F122" s="729"/>
      <c r="G122" s="729"/>
    </row>
    <row r="123" spans="1:10" ht="12">
      <c r="A123" s="729"/>
      <c r="B123" s="729"/>
      <c r="C123" s="729"/>
      <c r="D123" s="729"/>
      <c r="E123" s="729"/>
      <c r="F123" s="730"/>
      <c r="G123" s="730"/>
      <c r="H123" s="588"/>
      <c r="I123" s="494"/>
      <c r="J123" s="453"/>
    </row>
    <row r="124" spans="1:10" ht="12">
      <c r="A124" s="729"/>
      <c r="B124" s="729"/>
      <c r="C124" s="729"/>
      <c r="D124" s="729"/>
      <c r="E124" s="729"/>
      <c r="F124" s="730"/>
      <c r="G124" s="730"/>
      <c r="H124" s="588"/>
      <c r="I124" s="494"/>
      <c r="J124" s="453"/>
    </row>
    <row r="125" spans="1:10" ht="12">
      <c r="A125" s="729"/>
      <c r="B125" s="729"/>
      <c r="C125" s="729"/>
      <c r="D125" s="729"/>
      <c r="E125" s="729"/>
      <c r="F125" s="574"/>
      <c r="G125" s="729"/>
      <c r="I125" s="451"/>
      <c r="J125" s="453"/>
    </row>
    <row r="126" spans="1:10" ht="12">
      <c r="A126" s="729"/>
      <c r="B126" s="729"/>
      <c r="C126" s="729"/>
      <c r="D126" s="729"/>
      <c r="E126" s="729"/>
      <c r="F126" s="574"/>
      <c r="G126" s="729"/>
      <c r="H126" s="456"/>
      <c r="I126" s="472"/>
      <c r="J126" s="456"/>
    </row>
    <row r="127" spans="1:10" ht="12">
      <c r="A127" s="729"/>
      <c r="B127" s="729"/>
      <c r="C127" s="729"/>
      <c r="D127" s="729"/>
      <c r="E127" s="729"/>
      <c r="F127" s="574"/>
      <c r="G127" s="729"/>
      <c r="H127" s="456"/>
      <c r="I127" s="472"/>
      <c r="J127" s="456"/>
    </row>
    <row r="128" spans="1:10" ht="12">
      <c r="A128" s="729"/>
      <c r="B128" s="729"/>
      <c r="C128" s="574"/>
      <c r="D128" s="574"/>
      <c r="E128" s="574"/>
      <c r="F128" s="574"/>
      <c r="G128" s="729"/>
      <c r="I128" s="451"/>
      <c r="J128" s="453"/>
    </row>
    <row r="129" spans="1:10" ht="11.25" customHeight="1">
      <c r="A129" s="905"/>
      <c r="B129" s="729"/>
      <c r="C129" s="574"/>
      <c r="D129" s="574"/>
      <c r="E129" s="574"/>
      <c r="F129" s="574"/>
      <c r="G129" s="729"/>
      <c r="I129" s="451"/>
      <c r="J129" s="453"/>
    </row>
    <row r="130" spans="1:7" ht="11.25" customHeight="1">
      <c r="A130" s="905"/>
      <c r="B130" s="729"/>
      <c r="C130" s="574"/>
      <c r="D130" s="574"/>
      <c r="E130" s="574"/>
      <c r="F130"/>
      <c r="G130" s="729"/>
    </row>
    <row r="131" spans="1:5" ht="12" customHeight="1">
      <c r="A131" s="671" t="s">
        <v>750</v>
      </c>
      <c r="B131" s="27" t="s">
        <v>1010</v>
      </c>
      <c r="C131" s="165"/>
      <c r="D131" s="163"/>
      <c r="E131" s="163"/>
    </row>
    <row r="132" spans="1:7" ht="12">
      <c r="A132" s="761">
        <f>A118+1</f>
        <v>2621</v>
      </c>
      <c r="B132" s="134" t="str">
        <f>CONCATENATE("Aanvaardbare kosten volgens laatste rekenstaat exclusief aanvullende inkomsten (regel ",Mutaties!A27,")")</f>
        <v>Aanvaardbare kosten volgens laatste rekenstaat exclusief aanvullende inkomsten (regel 2219)</v>
      </c>
      <c r="C132" s="710"/>
      <c r="D132" s="710"/>
      <c r="E132" s="351"/>
      <c r="F132" s="659"/>
      <c r="G132" s="480">
        <f>IF('Rentecalc.'!E28="ja",0,Mutaties!F27)</f>
        <v>0</v>
      </c>
    </row>
    <row r="133" spans="1:7" ht="12">
      <c r="A133" s="853">
        <f>A132+1</f>
        <v>2622</v>
      </c>
      <c r="B133" s="191" t="str">
        <f>CONCATENATE("Correctie budget geïntegreerde RIAGG's: bedrag ",Voorblad!E3-1," verhoogd met 1,13%")</f>
        <v>Correctie budget geïntegreerde RIAGG's: bedrag 2004 verhoogd met 1,13%</v>
      </c>
      <c r="C133" s="711"/>
      <c r="D133" s="711"/>
      <c r="E133" s="1011" t="str">
        <f>CONCATENATE("Regel 2422 van nacalculatieformulier ",Voorblad!E3-1,)</f>
        <v>Regel 2422 van nacalculatieformulier 2004</v>
      </c>
      <c r="F133" s="434"/>
      <c r="G133" s="506">
        <f>F133*1.0113</f>
        <v>0</v>
      </c>
    </row>
    <row r="134" spans="1:7" ht="12">
      <c r="A134" s="853">
        <f>A133+1</f>
        <v>2623</v>
      </c>
      <c r="B134" s="191" t="str">
        <f>CONCATENATE("Correctie budget geïntegreerde RIBW's: bedrag ",Voorblad!E3-1," verhoogd met 1,00%")</f>
        <v>Correctie budget geïntegreerde RIBW's: bedrag 2004 verhoogd met 1,00%</v>
      </c>
      <c r="C134" s="711"/>
      <c r="D134" s="711"/>
      <c r="E134" s="1011" t="str">
        <f>CONCATENATE("Regel 2423 van nacalculatieformulier ",Voorblad!E3-1,)</f>
        <v>Regel 2423 van nacalculatieformulier 2004</v>
      </c>
      <c r="F134" s="434"/>
      <c r="G134" s="506">
        <f>F134*1.01</f>
        <v>0</v>
      </c>
    </row>
    <row r="135" spans="1:7" ht="12">
      <c r="A135" s="853">
        <f>A134+1</f>
        <v>2624</v>
      </c>
      <c r="B135" s="191" t="s">
        <v>1077</v>
      </c>
      <c r="C135" s="711"/>
      <c r="D135" s="711"/>
      <c r="E135" s="712"/>
      <c r="F135" s="713"/>
      <c r="G135" s="764"/>
    </row>
    <row r="136" spans="1:7" ht="12">
      <c r="A136" s="853">
        <f>A135+1</f>
        <v>2625</v>
      </c>
      <c r="B136" s="854" t="str">
        <f>CONCATENATE("Normatief werkkapitaal ((-/- 7,7% van (regel ",A132," + regel ",A133," + regel ",A134,")) + regel ",A135,")")</f>
        <v>Normatief werkkapitaal ((-/- 7,7% van (regel 2621 + regel 2622 + regel 2623)) + regel 2624)</v>
      </c>
      <c r="C136" s="855"/>
      <c r="D136" s="855"/>
      <c r="E136" s="134"/>
      <c r="F136" s="121"/>
      <c r="G136" s="856">
        <f>(-0.077*(G132-G133-G134))+G135</f>
        <v>0</v>
      </c>
    </row>
    <row r="137" spans="1:6" ht="12">
      <c r="A137" s="453"/>
      <c r="C137" s="453"/>
      <c r="D137" s="453"/>
      <c r="E137" s="453"/>
      <c r="F137" s="453"/>
    </row>
    <row r="138" ht="12">
      <c r="A138" s="904"/>
    </row>
    <row r="139" ht="12">
      <c r="A139" s="904"/>
    </row>
    <row r="140" ht="12">
      <c r="A140" s="904"/>
    </row>
    <row r="141" ht="12">
      <c r="A141" s="904"/>
    </row>
    <row r="142" spans="1:6" ht="12">
      <c r="A142" s="453"/>
      <c r="C142" s="453"/>
      <c r="D142" s="453"/>
      <c r="E142" s="453"/>
      <c r="F142" s="453"/>
    </row>
    <row r="143" spans="1:6" ht="12">
      <c r="A143" s="453"/>
      <c r="C143" s="453"/>
      <c r="D143" s="453"/>
      <c r="E143" s="453"/>
      <c r="F143" s="453"/>
    </row>
    <row r="144" spans="1:6" ht="12">
      <c r="A144" s="453"/>
      <c r="C144" s="453"/>
      <c r="D144" s="453"/>
      <c r="E144" s="453"/>
      <c r="F144" s="453"/>
    </row>
    <row r="145" spans="1:6" ht="12">
      <c r="A145" s="453"/>
      <c r="C145" s="453"/>
      <c r="D145" s="453"/>
      <c r="E145" s="453"/>
      <c r="F145" s="453"/>
    </row>
    <row r="146" spans="1:6" ht="12">
      <c r="A146" s="453"/>
      <c r="C146" s="453"/>
      <c r="D146" s="453"/>
      <c r="E146" s="453"/>
      <c r="F146" s="453"/>
    </row>
    <row r="147" spans="1:6" ht="12">
      <c r="A147" s="453"/>
      <c r="C147" s="453"/>
      <c r="D147" s="453"/>
      <c r="E147" s="453"/>
      <c r="F147" s="453"/>
    </row>
    <row r="148" spans="1:6" ht="12">
      <c r="A148" s="453"/>
      <c r="C148" s="453"/>
      <c r="D148" s="453"/>
      <c r="E148" s="453"/>
      <c r="F148" s="453"/>
    </row>
    <row r="149" spans="1:6" ht="12">
      <c r="A149" s="453"/>
      <c r="C149" s="453"/>
      <c r="D149" s="453"/>
      <c r="E149" s="453"/>
      <c r="F149" s="453"/>
    </row>
    <row r="150" spans="1:6" ht="12">
      <c r="A150" s="453"/>
      <c r="C150" s="453"/>
      <c r="D150" s="453"/>
      <c r="E150" s="453"/>
      <c r="F150" s="453"/>
    </row>
    <row r="151" spans="1:6" ht="12">
      <c r="A151" s="453"/>
      <c r="C151" s="453"/>
      <c r="D151" s="453"/>
      <c r="E151" s="453"/>
      <c r="F151" s="453"/>
    </row>
    <row r="152" spans="1:6" ht="12">
      <c r="A152" s="453"/>
      <c r="C152" s="453"/>
      <c r="D152" s="453"/>
      <c r="E152" s="453"/>
      <c r="F152" s="453"/>
    </row>
    <row r="153" spans="1:6" ht="12">
      <c r="A153" s="453"/>
      <c r="C153" s="453"/>
      <c r="D153" s="453"/>
      <c r="E153" s="453"/>
      <c r="F153" s="453"/>
    </row>
    <row r="154" spans="1:6" ht="12">
      <c r="A154" s="453"/>
      <c r="C154" s="453"/>
      <c r="D154" s="453"/>
      <c r="E154" s="453"/>
      <c r="F154" s="453"/>
    </row>
    <row r="155" spans="1:6" ht="12">
      <c r="A155" s="453"/>
      <c r="C155" s="453"/>
      <c r="D155" s="453"/>
      <c r="E155" s="453"/>
      <c r="F155" s="453"/>
    </row>
    <row r="156" spans="1:6" ht="12">
      <c r="A156" s="453"/>
      <c r="C156" s="453"/>
      <c r="D156" s="453"/>
      <c r="E156" s="453"/>
      <c r="F156" s="453"/>
    </row>
    <row r="157" spans="1:6" ht="12">
      <c r="A157" s="453"/>
      <c r="C157" s="453"/>
      <c r="D157" s="453"/>
      <c r="E157" s="453"/>
      <c r="F157" s="453"/>
    </row>
    <row r="158" spans="1:6" ht="12">
      <c r="A158" s="453"/>
      <c r="C158" s="453"/>
      <c r="D158" s="453"/>
      <c r="E158" s="453"/>
      <c r="F158" s="453"/>
    </row>
    <row r="159" spans="1:6" ht="12">
      <c r="A159" s="453"/>
      <c r="C159" s="453"/>
      <c r="D159" s="453"/>
      <c r="E159" s="453"/>
      <c r="F159" s="453"/>
    </row>
    <row r="160" spans="1:6" ht="12">
      <c r="A160" s="453"/>
      <c r="C160" s="453"/>
      <c r="D160" s="453"/>
      <c r="E160" s="453"/>
      <c r="F160" s="453"/>
    </row>
    <row r="161" spans="1:6" ht="12">
      <c r="A161" s="453"/>
      <c r="C161" s="453"/>
      <c r="D161" s="453"/>
      <c r="E161" s="453"/>
      <c r="F161" s="453"/>
    </row>
    <row r="162" spans="1:6" ht="12">
      <c r="A162" s="453"/>
      <c r="C162" s="453"/>
      <c r="D162" s="453"/>
      <c r="E162" s="453"/>
      <c r="F162" s="453"/>
    </row>
    <row r="163" spans="1:6" ht="12">
      <c r="A163" s="453"/>
      <c r="C163" s="453"/>
      <c r="D163" s="453"/>
      <c r="E163" s="453"/>
      <c r="F163" s="453"/>
    </row>
    <row r="164" spans="1:6" ht="12">
      <c r="A164" s="453"/>
      <c r="C164" s="453"/>
      <c r="D164" s="453"/>
      <c r="E164" s="453"/>
      <c r="F164" s="453"/>
    </row>
    <row r="165" spans="1:6" ht="12">
      <c r="A165" s="453"/>
      <c r="C165" s="453"/>
      <c r="D165" s="453"/>
      <c r="E165" s="453"/>
      <c r="F165" s="453"/>
    </row>
    <row r="166" spans="1:6" ht="12">
      <c r="A166" s="453"/>
      <c r="C166" s="453"/>
      <c r="D166" s="453"/>
      <c r="E166" s="453"/>
      <c r="F166" s="453"/>
    </row>
  </sheetData>
  <sheetProtection password="958F" sheet="1" objects="1" scenarios="1"/>
  <mergeCells count="5">
    <mergeCell ref="F7:G7"/>
    <mergeCell ref="F97:G97"/>
    <mergeCell ref="E51:G52"/>
    <mergeCell ref="C51:C53"/>
    <mergeCell ref="D51:D53"/>
  </mergeCells>
  <conditionalFormatting sqref="C118 E118 C25 E25 C70:E70">
    <cfRule type="cellIs" priority="1" dxfId="5" operator="notEqual" stopIfTrue="1">
      <formula>0</formula>
    </cfRule>
  </conditionalFormatting>
  <conditionalFormatting sqref="C77:C86 C99:C113 C115 D99:D100 D114 F133:F134 G135 C54:C66 D55:D66 C9:D22">
    <cfRule type="expression" priority="2" dxfId="2" stopIfTrue="1">
      <formula>$E$2=TRUE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scale="95" r:id="rId2"/>
  <headerFooter alignWithMargins="0">
    <oddHeader xml:space="preserve">&amp;R&amp;9 </oddHeader>
  </headerFooter>
  <rowBreaks count="2" manualBreakCount="2">
    <brk id="46" max="255" man="1"/>
    <brk id="91" max="255" man="1"/>
  </rowBreaks>
  <drawing r:id="rId1"/>
</worksheet>
</file>

<file path=xl/worksheets/sheet14.xml><?xml version="1.0" encoding="utf-8"?>
<worksheet xmlns="http://schemas.openxmlformats.org/spreadsheetml/2006/main" xmlns:r="http://schemas.openxmlformats.org/officeDocument/2006/relationships">
  <sheetPr codeName="Blad14"/>
  <dimension ref="A1:AN87"/>
  <sheetViews>
    <sheetView showGridLines="0" zoomScale="86" zoomScaleNormal="86" workbookViewId="0" topLeftCell="A1">
      <selection activeCell="A2" sqref="A2"/>
    </sheetView>
  </sheetViews>
  <sheetFormatPr defaultColWidth="9.140625" defaultRowHeight="12.75"/>
  <cols>
    <col min="1" max="1" width="5.7109375" style="474" customWidth="1"/>
    <col min="2" max="2" width="18.28125" style="440" customWidth="1"/>
    <col min="3" max="3" width="9.7109375" style="440" customWidth="1"/>
    <col min="4" max="4" width="9.7109375" style="437" customWidth="1"/>
    <col min="5" max="7" width="5.8515625" style="440" customWidth="1"/>
    <col min="8" max="8" width="11.28125" style="436" customWidth="1"/>
    <col min="9" max="9" width="10.7109375" style="436" customWidth="1"/>
    <col min="10" max="10" width="3.7109375" style="436" customWidth="1"/>
    <col min="11" max="16" width="2.7109375" style="436" customWidth="1"/>
    <col min="17" max="18" width="11.28125" style="436" customWidth="1"/>
    <col min="19" max="19" width="10.28125" style="440" customWidth="1"/>
    <col min="20" max="20" width="12.140625" style="440" customWidth="1"/>
    <col min="21" max="21" width="9.00390625" style="440" hidden="1" customWidth="1"/>
    <col min="22" max="22" width="18.421875" style="440" hidden="1" customWidth="1"/>
    <col min="23" max="25" width="5.28125" style="440" hidden="1" customWidth="1"/>
    <col min="26" max="28" width="7.57421875" style="440" hidden="1" customWidth="1"/>
    <col min="29" max="29" width="7.57421875" style="440" customWidth="1"/>
    <col min="30" max="30" width="13.7109375" style="440" customWidth="1"/>
    <col min="31" max="31" width="12.8515625" style="440" customWidth="1"/>
    <col min="32" max="32" width="13.28125" style="440" customWidth="1"/>
    <col min="33" max="33" width="12.421875" style="440" customWidth="1"/>
    <col min="34" max="34" width="12.8515625" style="440" customWidth="1"/>
    <col min="35" max="35" width="11.8515625" style="440" customWidth="1"/>
    <col min="36" max="40" width="10.28125" style="440" customWidth="1"/>
    <col min="41" max="16384" width="9.140625" style="440" customWidth="1"/>
  </cols>
  <sheetData>
    <row r="1" spans="1:27" ht="15.75" customHeight="1">
      <c r="A1" s="717"/>
      <c r="B1" s="692"/>
      <c r="C1" s="692"/>
      <c r="D1" s="2"/>
      <c r="E1" s="2"/>
      <c r="F1" s="2"/>
      <c r="G1" s="2"/>
      <c r="H1" s="2"/>
      <c r="I1" s="2"/>
      <c r="J1" s="2"/>
      <c r="K1" s="2"/>
      <c r="L1" s="2"/>
      <c r="M1" s="2"/>
      <c r="N1" s="2"/>
      <c r="O1" s="2"/>
      <c r="P1" s="2"/>
      <c r="Q1" s="2"/>
      <c r="R1" s="2"/>
      <c r="S1" s="692"/>
      <c r="T1" s="692"/>
      <c r="U1" s="441"/>
      <c r="V1" s="442"/>
      <c r="W1" s="441"/>
      <c r="X1" s="441"/>
      <c r="Y1" s="441"/>
      <c r="Z1" s="441"/>
      <c r="AA1" s="441"/>
    </row>
    <row r="2" spans="1:27" s="446" customFormat="1" ht="15.75" customHeight="1">
      <c r="A2" s="6" t="str">
        <f>CONCATENATE("Bijlage ",LEFT(A4,1)," bij het nacalculatieformulier ",Voorblad!$E$3," ",Voorblad!$A$5)</f>
        <v>Bijlage F bij het nacalculatieformulier 2005 GGZ-instellingen</v>
      </c>
      <c r="B2" s="7"/>
      <c r="C2" s="7"/>
      <c r="D2" s="7"/>
      <c r="E2" s="7"/>
      <c r="F2" s="7"/>
      <c r="G2" s="7"/>
      <c r="H2" s="7"/>
      <c r="I2" s="443"/>
      <c r="J2" s="8"/>
      <c r="K2" s="8"/>
      <c r="L2" s="685"/>
      <c r="M2" s="685"/>
      <c r="N2" s="8"/>
      <c r="O2" s="685"/>
      <c r="P2" s="685"/>
      <c r="Q2" s="8" t="b">
        <f>Voorblad!E28</f>
        <v>1</v>
      </c>
      <c r="R2" s="685"/>
      <c r="S2" s="685"/>
      <c r="T2" s="1262">
        <f>'A-E'!G93+1</f>
        <v>27</v>
      </c>
      <c r="U2" s="447"/>
      <c r="V2" s="448"/>
      <c r="W2" s="447"/>
      <c r="X2" s="447"/>
      <c r="Y2" s="447"/>
      <c r="Z2" s="447"/>
      <c r="AA2" s="447"/>
    </row>
    <row r="3" spans="3:20" s="453" customFormat="1" ht="12.75" customHeight="1">
      <c r="C3" s="718"/>
      <c r="D3" s="167"/>
      <c r="E3" s="718"/>
      <c r="F3" s="718"/>
      <c r="G3" s="718"/>
      <c r="H3" s="168"/>
      <c r="I3" s="168"/>
      <c r="J3" s="168"/>
      <c r="K3" s="168"/>
      <c r="L3" s="168"/>
      <c r="M3" s="168"/>
      <c r="N3" s="168"/>
      <c r="O3" s="168"/>
      <c r="P3" s="168"/>
      <c r="Q3" s="168"/>
      <c r="R3" s="168"/>
      <c r="S3" s="603"/>
      <c r="T3" s="603"/>
    </row>
    <row r="4" spans="1:39" s="512" customFormat="1" ht="12.75" customHeight="1">
      <c r="A4" s="671" t="s">
        <v>1009</v>
      </c>
      <c r="B4" s="719" t="s">
        <v>1061</v>
      </c>
      <c r="G4" s="1547" t="s">
        <v>1321</v>
      </c>
      <c r="U4" s="613"/>
      <c r="V4" s="613"/>
      <c r="W4" s="613"/>
      <c r="X4" s="613"/>
      <c r="Y4" s="613"/>
      <c r="Z4" s="613"/>
      <c r="AA4" s="613"/>
      <c r="AB4" s="613"/>
      <c r="AC4" s="613"/>
      <c r="AD4" s="613"/>
      <c r="AE4" s="613"/>
      <c r="AF4" s="613"/>
      <c r="AG4" s="613"/>
      <c r="AH4" s="613"/>
      <c r="AI4" s="613"/>
      <c r="AJ4" s="613"/>
      <c r="AK4" s="613"/>
      <c r="AL4" s="613"/>
      <c r="AM4" s="613"/>
    </row>
    <row r="5" spans="1:20" s="513" customFormat="1" ht="12.75" customHeight="1">
      <c r="A5" s="169"/>
      <c r="B5" s="1176" t="s">
        <v>823</v>
      </c>
      <c r="C5" s="1556" t="s">
        <v>836</v>
      </c>
      <c r="D5" s="1176" t="s">
        <v>1254</v>
      </c>
      <c r="E5" s="1176" t="s">
        <v>849</v>
      </c>
      <c r="F5" s="1176" t="s">
        <v>812</v>
      </c>
      <c r="G5" s="1176" t="s">
        <v>1257</v>
      </c>
      <c r="H5" s="1176" t="s">
        <v>824</v>
      </c>
      <c r="I5" s="1822" t="str">
        <f>CONCATENATE("Storting/Aflossing ",Voorblad!E3)</f>
        <v>Storting/Aflossing 2005</v>
      </c>
      <c r="J5" s="1825"/>
      <c r="K5" s="1825"/>
      <c r="L5" s="1825"/>
      <c r="M5" s="1825"/>
      <c r="N5" s="1825"/>
      <c r="O5" s="1825"/>
      <c r="P5" s="1826"/>
      <c r="Q5" s="1559" t="s">
        <v>824</v>
      </c>
      <c r="R5" s="1176" t="s">
        <v>854</v>
      </c>
      <c r="S5" s="1176" t="s">
        <v>1351</v>
      </c>
      <c r="T5" s="1177" t="s">
        <v>1260</v>
      </c>
    </row>
    <row r="6" spans="2:20" s="453" customFormat="1" ht="12.75" customHeight="1">
      <c r="B6" s="1499"/>
      <c r="C6" s="1557" t="s">
        <v>1355</v>
      </c>
      <c r="D6" s="217" t="s">
        <v>1359</v>
      </c>
      <c r="E6" s="217" t="s">
        <v>1255</v>
      </c>
      <c r="F6" s="217" t="s">
        <v>1256</v>
      </c>
      <c r="G6" s="217" t="s">
        <v>1258</v>
      </c>
      <c r="H6" s="1558" t="str">
        <f>CONCATENATE("31-12-",Voorblad!E3-1," ")</f>
        <v>31-12-2004 </v>
      </c>
      <c r="I6" s="1557" t="s">
        <v>851</v>
      </c>
      <c r="J6" s="220" t="s">
        <v>844</v>
      </c>
      <c r="K6" s="1822" t="s">
        <v>845</v>
      </c>
      <c r="L6" s="1823"/>
      <c r="M6" s="1823"/>
      <c r="N6" s="1823"/>
      <c r="O6" s="1823"/>
      <c r="P6" s="1824"/>
      <c r="Q6" s="1558" t="str">
        <f>CONCATENATE("31-12-",Voorblad!E3," ")</f>
        <v>31-12-2005 </v>
      </c>
      <c r="R6" s="1178" t="s">
        <v>1356</v>
      </c>
      <c r="S6" s="1178" t="s">
        <v>1259</v>
      </c>
      <c r="T6" s="1178" t="s">
        <v>130</v>
      </c>
    </row>
    <row r="7" spans="1:39" s="453" customFormat="1" ht="12.75" customHeight="1">
      <c r="A7" s="761">
        <f>(100*T2)+1</f>
        <v>2701</v>
      </c>
      <c r="B7" s="1498"/>
      <c r="C7" s="568"/>
      <c r="D7" s="568"/>
      <c r="E7" s="521"/>
      <c r="F7" s="521"/>
      <c r="G7" s="980"/>
      <c r="H7" s="604"/>
      <c r="I7" s="604"/>
      <c r="J7" s="515"/>
      <c r="K7" s="515"/>
      <c r="L7" s="515"/>
      <c r="M7" s="515"/>
      <c r="N7" s="515"/>
      <c r="O7" s="515"/>
      <c r="P7" s="515"/>
      <c r="Q7" s="608">
        <f>H7-AB7</f>
        <v>0</v>
      </c>
      <c r="R7" s="607">
        <f>R51</f>
        <v>0</v>
      </c>
      <c r="S7" s="608">
        <f>R7*F7/100</f>
        <v>0</v>
      </c>
      <c r="T7" s="607">
        <f>IF(G7="n",S7,E7/100*R7)</f>
        <v>0</v>
      </c>
      <c r="U7" s="610">
        <f aca="true" t="shared" si="0" ref="U7:Z7">IF(K7&gt;0,1,0)</f>
        <v>0</v>
      </c>
      <c r="V7" s="610">
        <f t="shared" si="0"/>
        <v>0</v>
      </c>
      <c r="W7" s="610">
        <f t="shared" si="0"/>
        <v>0</v>
      </c>
      <c r="X7" s="610">
        <f t="shared" si="0"/>
        <v>0</v>
      </c>
      <c r="Y7" s="610">
        <f t="shared" si="0"/>
        <v>0</v>
      </c>
      <c r="Z7" s="610">
        <f t="shared" si="0"/>
        <v>0</v>
      </c>
      <c r="AA7" s="610">
        <f>SUM(U7:Z7)</f>
        <v>0</v>
      </c>
      <c r="AB7" s="610">
        <f>AA7*I7</f>
        <v>0</v>
      </c>
      <c r="AC7"/>
      <c r="AD7"/>
      <c r="AE7"/>
      <c r="AF7"/>
      <c r="AG7"/>
      <c r="AH7"/>
      <c r="AI7"/>
      <c r="AJ7" s="609"/>
      <c r="AK7" s="609"/>
      <c r="AL7" s="609"/>
      <c r="AM7" s="609"/>
    </row>
    <row r="8" spans="1:39" s="453" customFormat="1" ht="12.75" customHeight="1">
      <c r="A8" s="761">
        <f>A7+1</f>
        <v>2702</v>
      </c>
      <c r="B8" s="862"/>
      <c r="C8" s="568"/>
      <c r="D8" s="568"/>
      <c r="E8" s="521"/>
      <c r="F8" s="521"/>
      <c r="G8" s="980"/>
      <c r="H8" s="604"/>
      <c r="I8" s="604"/>
      <c r="J8" s="515"/>
      <c r="K8" s="515"/>
      <c r="L8" s="515"/>
      <c r="M8" s="515"/>
      <c r="N8" s="515"/>
      <c r="O8" s="515"/>
      <c r="P8" s="515"/>
      <c r="Q8" s="608">
        <f aca="true" t="shared" si="1" ref="Q8:Q34">H8-AB8</f>
        <v>0</v>
      </c>
      <c r="R8" s="607">
        <f>R52</f>
        <v>0</v>
      </c>
      <c r="S8" s="608">
        <f>R8*F8/100</f>
        <v>0</v>
      </c>
      <c r="T8" s="607">
        <f aca="true" t="shared" si="2" ref="T8:T34">IF(G8="n",S8,E8/100*R8)</f>
        <v>0</v>
      </c>
      <c r="U8" s="610">
        <f aca="true" t="shared" si="3" ref="U8:Z10">IF(K8&gt;0,1,0)</f>
        <v>0</v>
      </c>
      <c r="V8" s="610">
        <f t="shared" si="3"/>
        <v>0</v>
      </c>
      <c r="W8" s="610">
        <f t="shared" si="3"/>
        <v>0</v>
      </c>
      <c r="X8" s="610">
        <f t="shared" si="3"/>
        <v>0</v>
      </c>
      <c r="Y8" s="610">
        <f t="shared" si="3"/>
        <v>0</v>
      </c>
      <c r="Z8" s="610">
        <f t="shared" si="3"/>
        <v>0</v>
      </c>
      <c r="AA8" s="610">
        <f>SUM(U8:Z8)</f>
        <v>0</v>
      </c>
      <c r="AB8" s="610">
        <f>AA8*I8</f>
        <v>0</v>
      </c>
      <c r="AC8"/>
      <c r="AD8"/>
      <c r="AE8"/>
      <c r="AF8"/>
      <c r="AG8"/>
      <c r="AH8"/>
      <c r="AI8"/>
      <c r="AJ8" s="609"/>
      <c r="AK8" s="609"/>
      <c r="AL8" s="609"/>
      <c r="AM8" s="609"/>
    </row>
    <row r="9" spans="1:39" s="453" customFormat="1" ht="12.75" customHeight="1">
      <c r="A9" s="761">
        <f aca="true" t="shared" si="4" ref="A9:A39">A8+1</f>
        <v>2703</v>
      </c>
      <c r="B9" s="862"/>
      <c r="C9" s="568"/>
      <c r="D9" s="568"/>
      <c r="E9" s="521"/>
      <c r="F9" s="521"/>
      <c r="G9" s="980"/>
      <c r="H9" s="604"/>
      <c r="I9" s="604"/>
      <c r="J9" s="515"/>
      <c r="K9" s="515"/>
      <c r="L9" s="515"/>
      <c r="M9" s="515"/>
      <c r="N9" s="515"/>
      <c r="O9" s="515"/>
      <c r="P9" s="515"/>
      <c r="Q9" s="608">
        <f t="shared" si="1"/>
        <v>0</v>
      </c>
      <c r="R9" s="607">
        <f>R53</f>
        <v>0</v>
      </c>
      <c r="S9" s="608">
        <f aca="true" t="shared" si="5" ref="S9:S34">R9*F9/100</f>
        <v>0</v>
      </c>
      <c r="T9" s="607">
        <f t="shared" si="2"/>
        <v>0</v>
      </c>
      <c r="U9" s="610">
        <f t="shared" si="3"/>
        <v>0</v>
      </c>
      <c r="V9" s="610">
        <f t="shared" si="3"/>
        <v>0</v>
      </c>
      <c r="W9" s="610">
        <f t="shared" si="3"/>
        <v>0</v>
      </c>
      <c r="X9" s="610">
        <f t="shared" si="3"/>
        <v>0</v>
      </c>
      <c r="Y9" s="610">
        <f t="shared" si="3"/>
        <v>0</v>
      </c>
      <c r="Z9" s="610">
        <f t="shared" si="3"/>
        <v>0</v>
      </c>
      <c r="AA9" s="610">
        <f>SUM(U9:Z9)</f>
        <v>0</v>
      </c>
      <c r="AB9" s="610">
        <f>AA9*I9</f>
        <v>0</v>
      </c>
      <c r="AC9"/>
      <c r="AD9"/>
      <c r="AE9"/>
      <c r="AF9"/>
      <c r="AG9"/>
      <c r="AH9"/>
      <c r="AI9"/>
      <c r="AJ9" s="609"/>
      <c r="AK9" s="609"/>
      <c r="AL9" s="609"/>
      <c r="AM9" s="609"/>
    </row>
    <row r="10" spans="1:39" s="453" customFormat="1" ht="12.75" customHeight="1">
      <c r="A10" s="761">
        <f t="shared" si="4"/>
        <v>2704</v>
      </c>
      <c r="B10" s="862"/>
      <c r="C10" s="568"/>
      <c r="D10" s="568"/>
      <c r="E10" s="521"/>
      <c r="F10" s="521"/>
      <c r="G10" s="980"/>
      <c r="H10" s="604"/>
      <c r="I10" s="604"/>
      <c r="J10" s="515"/>
      <c r="K10" s="515"/>
      <c r="L10" s="515"/>
      <c r="M10" s="515"/>
      <c r="N10" s="515"/>
      <c r="O10" s="515"/>
      <c r="P10" s="515"/>
      <c r="Q10" s="608">
        <f t="shared" si="1"/>
        <v>0</v>
      </c>
      <c r="R10" s="607">
        <f>R54</f>
        <v>0</v>
      </c>
      <c r="S10" s="608">
        <f t="shared" si="5"/>
        <v>0</v>
      </c>
      <c r="T10" s="607">
        <f t="shared" si="2"/>
        <v>0</v>
      </c>
      <c r="U10" s="610">
        <f t="shared" si="3"/>
        <v>0</v>
      </c>
      <c r="V10" s="610">
        <f t="shared" si="3"/>
        <v>0</v>
      </c>
      <c r="W10" s="610">
        <f t="shared" si="3"/>
        <v>0</v>
      </c>
      <c r="X10" s="610">
        <f t="shared" si="3"/>
        <v>0</v>
      </c>
      <c r="Y10" s="610">
        <f t="shared" si="3"/>
        <v>0</v>
      </c>
      <c r="Z10" s="610">
        <f t="shared" si="3"/>
        <v>0</v>
      </c>
      <c r="AA10" s="610">
        <f>SUM(U10:Z10)</f>
        <v>0</v>
      </c>
      <c r="AB10" s="610">
        <f>AA10*I10</f>
        <v>0</v>
      </c>
      <c r="AC10"/>
      <c r="AD10"/>
      <c r="AE10"/>
      <c r="AF10"/>
      <c r="AG10"/>
      <c r="AH10"/>
      <c r="AI10"/>
      <c r="AJ10" s="609"/>
      <c r="AK10" s="609"/>
      <c r="AL10" s="609"/>
      <c r="AM10" s="609"/>
    </row>
    <row r="11" spans="1:39" s="453" customFormat="1" ht="12.75" customHeight="1">
      <c r="A11" s="761">
        <f t="shared" si="4"/>
        <v>2705</v>
      </c>
      <c r="B11" s="862"/>
      <c r="C11" s="568"/>
      <c r="D11" s="568"/>
      <c r="E11" s="521"/>
      <c r="F11" s="521"/>
      <c r="G11" s="980"/>
      <c r="H11" s="604"/>
      <c r="I11" s="604"/>
      <c r="J11" s="515"/>
      <c r="K11" s="515"/>
      <c r="L11" s="515"/>
      <c r="M11" s="515"/>
      <c r="N11" s="515"/>
      <c r="O11" s="515"/>
      <c r="P11" s="515"/>
      <c r="Q11" s="608">
        <f t="shared" si="1"/>
        <v>0</v>
      </c>
      <c r="R11" s="607">
        <f>R55</f>
        <v>0</v>
      </c>
      <c r="S11" s="608">
        <f t="shared" si="5"/>
        <v>0</v>
      </c>
      <c r="T11" s="607">
        <f t="shared" si="2"/>
        <v>0</v>
      </c>
      <c r="U11" s="610">
        <f aca="true" t="shared" si="6" ref="U11:U35">IF(K11&gt;0,1,0)</f>
        <v>0</v>
      </c>
      <c r="V11" s="610">
        <f aca="true" t="shared" si="7" ref="V11:V35">IF(L11&gt;0,1,0)</f>
        <v>0</v>
      </c>
      <c r="W11" s="610">
        <f aca="true" t="shared" si="8" ref="W11:W35">IF(M11&gt;0,1,0)</f>
        <v>0</v>
      </c>
      <c r="X11" s="610">
        <f aca="true" t="shared" si="9" ref="X11:X35">IF(N11&gt;0,1,0)</f>
        <v>0</v>
      </c>
      <c r="Y11" s="610">
        <f aca="true" t="shared" si="10" ref="Y11:Y35">IF(O11&gt;0,1,0)</f>
        <v>0</v>
      </c>
      <c r="Z11" s="610">
        <f aca="true" t="shared" si="11" ref="Z11:Z35">IF(P11&gt;0,1,0)</f>
        <v>0</v>
      </c>
      <c r="AA11" s="610">
        <f aca="true" t="shared" si="12" ref="AA11:AA35">SUM(U11:Z11)</f>
        <v>0</v>
      </c>
      <c r="AB11" s="610">
        <f aca="true" t="shared" si="13" ref="AB11:AB35">AA11*I11</f>
        <v>0</v>
      </c>
      <c r="AC11"/>
      <c r="AD11"/>
      <c r="AE11"/>
      <c r="AF11"/>
      <c r="AG11"/>
      <c r="AH11"/>
      <c r="AI11"/>
      <c r="AJ11" s="609"/>
      <c r="AK11" s="609"/>
      <c r="AL11" s="609"/>
      <c r="AM11" s="609"/>
    </row>
    <row r="12" spans="1:39" s="453" customFormat="1" ht="12.75" customHeight="1">
      <c r="A12" s="761">
        <f t="shared" si="4"/>
        <v>2706</v>
      </c>
      <c r="B12" s="862"/>
      <c r="C12" s="568"/>
      <c r="D12" s="568"/>
      <c r="E12" s="521"/>
      <c r="F12" s="521"/>
      <c r="G12" s="980"/>
      <c r="H12" s="604"/>
      <c r="I12" s="604"/>
      <c r="J12" s="515"/>
      <c r="K12" s="515"/>
      <c r="L12" s="515"/>
      <c r="M12" s="515"/>
      <c r="N12" s="515"/>
      <c r="O12" s="515"/>
      <c r="P12" s="515"/>
      <c r="Q12" s="608">
        <f t="shared" si="1"/>
        <v>0</v>
      </c>
      <c r="R12" s="607">
        <f aca="true" t="shared" si="14" ref="R12:R34">R56</f>
        <v>0</v>
      </c>
      <c r="S12" s="608">
        <f t="shared" si="5"/>
        <v>0</v>
      </c>
      <c r="T12" s="607">
        <f t="shared" si="2"/>
        <v>0</v>
      </c>
      <c r="U12" s="610">
        <f t="shared" si="6"/>
        <v>0</v>
      </c>
      <c r="V12" s="610">
        <f t="shared" si="7"/>
        <v>0</v>
      </c>
      <c r="W12" s="610">
        <f t="shared" si="8"/>
        <v>0</v>
      </c>
      <c r="X12" s="610">
        <f t="shared" si="9"/>
        <v>0</v>
      </c>
      <c r="Y12" s="610">
        <f t="shared" si="10"/>
        <v>0</v>
      </c>
      <c r="Z12" s="610">
        <f t="shared" si="11"/>
        <v>0</v>
      </c>
      <c r="AA12" s="610">
        <f t="shared" si="12"/>
        <v>0</v>
      </c>
      <c r="AB12" s="610">
        <f t="shared" si="13"/>
        <v>0</v>
      </c>
      <c r="AC12"/>
      <c r="AD12"/>
      <c r="AE12"/>
      <c r="AF12"/>
      <c r="AG12"/>
      <c r="AH12"/>
      <c r="AI12"/>
      <c r="AJ12" s="609"/>
      <c r="AK12" s="609"/>
      <c r="AL12" s="609"/>
      <c r="AM12" s="609"/>
    </row>
    <row r="13" spans="1:39" s="453" customFormat="1" ht="12.75" customHeight="1">
      <c r="A13" s="761">
        <f t="shared" si="4"/>
        <v>2707</v>
      </c>
      <c r="B13" s="862"/>
      <c r="C13" s="568"/>
      <c r="D13" s="568"/>
      <c r="E13" s="521"/>
      <c r="F13" s="521"/>
      <c r="G13" s="980"/>
      <c r="H13" s="604"/>
      <c r="I13" s="604"/>
      <c r="J13" s="515"/>
      <c r="K13" s="515"/>
      <c r="L13" s="515"/>
      <c r="M13" s="515"/>
      <c r="N13" s="515"/>
      <c r="O13" s="515"/>
      <c r="P13" s="515"/>
      <c r="Q13" s="608">
        <f t="shared" si="1"/>
        <v>0</v>
      </c>
      <c r="R13" s="607">
        <f t="shared" si="14"/>
        <v>0</v>
      </c>
      <c r="S13" s="608">
        <f t="shared" si="5"/>
        <v>0</v>
      </c>
      <c r="T13" s="607">
        <f t="shared" si="2"/>
        <v>0</v>
      </c>
      <c r="U13" s="610">
        <f t="shared" si="6"/>
        <v>0</v>
      </c>
      <c r="V13" s="610">
        <f t="shared" si="7"/>
        <v>0</v>
      </c>
      <c r="W13" s="610">
        <f t="shared" si="8"/>
        <v>0</v>
      </c>
      <c r="X13" s="610">
        <f t="shared" si="9"/>
        <v>0</v>
      </c>
      <c r="Y13" s="610">
        <f t="shared" si="10"/>
        <v>0</v>
      </c>
      <c r="Z13" s="610">
        <f t="shared" si="11"/>
        <v>0</v>
      </c>
      <c r="AA13" s="610">
        <f t="shared" si="12"/>
        <v>0</v>
      </c>
      <c r="AB13" s="610">
        <f t="shared" si="13"/>
        <v>0</v>
      </c>
      <c r="AC13"/>
      <c r="AD13"/>
      <c r="AE13"/>
      <c r="AF13"/>
      <c r="AG13"/>
      <c r="AH13"/>
      <c r="AI13"/>
      <c r="AJ13" s="609"/>
      <c r="AK13" s="609"/>
      <c r="AL13" s="609"/>
      <c r="AM13" s="609"/>
    </row>
    <row r="14" spans="1:39" s="453" customFormat="1" ht="12.75" customHeight="1">
      <c r="A14" s="761">
        <f t="shared" si="4"/>
        <v>2708</v>
      </c>
      <c r="B14" s="862"/>
      <c r="C14" s="568"/>
      <c r="D14" s="568"/>
      <c r="E14" s="521"/>
      <c r="F14" s="521"/>
      <c r="G14" s="980"/>
      <c r="H14" s="604"/>
      <c r="I14" s="604"/>
      <c r="J14" s="515"/>
      <c r="K14" s="515"/>
      <c r="L14" s="515"/>
      <c r="M14" s="515"/>
      <c r="N14" s="515"/>
      <c r="O14" s="515"/>
      <c r="P14" s="515"/>
      <c r="Q14" s="608">
        <f t="shared" si="1"/>
        <v>0</v>
      </c>
      <c r="R14" s="607">
        <f t="shared" si="14"/>
        <v>0</v>
      </c>
      <c r="S14" s="608">
        <f t="shared" si="5"/>
        <v>0</v>
      </c>
      <c r="T14" s="607">
        <f t="shared" si="2"/>
        <v>0</v>
      </c>
      <c r="U14" s="610">
        <f t="shared" si="6"/>
        <v>0</v>
      </c>
      <c r="V14" s="610">
        <f t="shared" si="7"/>
        <v>0</v>
      </c>
      <c r="W14" s="610">
        <f t="shared" si="8"/>
        <v>0</v>
      </c>
      <c r="X14" s="610">
        <f t="shared" si="9"/>
        <v>0</v>
      </c>
      <c r="Y14" s="610">
        <f t="shared" si="10"/>
        <v>0</v>
      </c>
      <c r="Z14" s="610">
        <f t="shared" si="11"/>
        <v>0</v>
      </c>
      <c r="AA14" s="610">
        <f t="shared" si="12"/>
        <v>0</v>
      </c>
      <c r="AB14" s="610">
        <f t="shared" si="13"/>
        <v>0</v>
      </c>
      <c r="AC14"/>
      <c r="AD14"/>
      <c r="AE14"/>
      <c r="AF14"/>
      <c r="AG14"/>
      <c r="AH14"/>
      <c r="AI14"/>
      <c r="AJ14" s="609"/>
      <c r="AK14" s="609"/>
      <c r="AL14" s="609"/>
      <c r="AM14" s="609"/>
    </row>
    <row r="15" spans="1:39" s="453" customFormat="1" ht="12.75" customHeight="1">
      <c r="A15" s="761">
        <f t="shared" si="4"/>
        <v>2709</v>
      </c>
      <c r="B15" s="862"/>
      <c r="C15" s="568"/>
      <c r="D15" s="568"/>
      <c r="E15" s="521"/>
      <c r="F15" s="521"/>
      <c r="G15" s="980"/>
      <c r="H15" s="604"/>
      <c r="I15" s="604"/>
      <c r="J15" s="515"/>
      <c r="K15" s="515"/>
      <c r="L15" s="515"/>
      <c r="M15" s="515"/>
      <c r="N15" s="515"/>
      <c r="O15" s="515"/>
      <c r="P15" s="515"/>
      <c r="Q15" s="608">
        <f t="shared" si="1"/>
        <v>0</v>
      </c>
      <c r="R15" s="607">
        <f t="shared" si="14"/>
        <v>0</v>
      </c>
      <c r="S15" s="608">
        <f t="shared" si="5"/>
        <v>0</v>
      </c>
      <c r="T15" s="607">
        <f t="shared" si="2"/>
        <v>0</v>
      </c>
      <c r="U15" s="610">
        <f t="shared" si="6"/>
        <v>0</v>
      </c>
      <c r="V15" s="610">
        <f t="shared" si="7"/>
        <v>0</v>
      </c>
      <c r="W15" s="610">
        <f t="shared" si="8"/>
        <v>0</v>
      </c>
      <c r="X15" s="610">
        <f t="shared" si="9"/>
        <v>0</v>
      </c>
      <c r="Y15" s="610">
        <f t="shared" si="10"/>
        <v>0</v>
      </c>
      <c r="Z15" s="610">
        <f t="shared" si="11"/>
        <v>0</v>
      </c>
      <c r="AA15" s="610">
        <f t="shared" si="12"/>
        <v>0</v>
      </c>
      <c r="AB15" s="610">
        <f t="shared" si="13"/>
        <v>0</v>
      </c>
      <c r="AC15"/>
      <c r="AD15"/>
      <c r="AE15"/>
      <c r="AF15"/>
      <c r="AG15"/>
      <c r="AH15"/>
      <c r="AI15"/>
      <c r="AJ15" s="609"/>
      <c r="AK15" s="609"/>
      <c r="AL15" s="609"/>
      <c r="AM15" s="609"/>
    </row>
    <row r="16" spans="1:39" s="453" customFormat="1" ht="12.75" customHeight="1">
      <c r="A16" s="761">
        <f t="shared" si="4"/>
        <v>2710</v>
      </c>
      <c r="B16" s="862"/>
      <c r="C16" s="568"/>
      <c r="D16" s="568"/>
      <c r="E16" s="521"/>
      <c r="F16" s="521"/>
      <c r="G16" s="980"/>
      <c r="H16" s="604"/>
      <c r="I16" s="604"/>
      <c r="J16" s="515"/>
      <c r="K16" s="515"/>
      <c r="L16" s="515"/>
      <c r="M16" s="515"/>
      <c r="N16" s="515"/>
      <c r="O16" s="515"/>
      <c r="P16" s="515"/>
      <c r="Q16" s="608">
        <f t="shared" si="1"/>
        <v>0</v>
      </c>
      <c r="R16" s="607">
        <f t="shared" si="14"/>
        <v>0</v>
      </c>
      <c r="S16" s="608">
        <f t="shared" si="5"/>
        <v>0</v>
      </c>
      <c r="T16" s="607">
        <f t="shared" si="2"/>
        <v>0</v>
      </c>
      <c r="U16" s="610">
        <f t="shared" si="6"/>
        <v>0</v>
      </c>
      <c r="V16" s="610">
        <f t="shared" si="7"/>
        <v>0</v>
      </c>
      <c r="W16" s="610">
        <f t="shared" si="8"/>
        <v>0</v>
      </c>
      <c r="X16" s="610">
        <f t="shared" si="9"/>
        <v>0</v>
      </c>
      <c r="Y16" s="610">
        <f t="shared" si="10"/>
        <v>0</v>
      </c>
      <c r="Z16" s="610">
        <f t="shared" si="11"/>
        <v>0</v>
      </c>
      <c r="AA16" s="610">
        <f t="shared" si="12"/>
        <v>0</v>
      </c>
      <c r="AB16" s="610">
        <f t="shared" si="13"/>
        <v>0</v>
      </c>
      <c r="AC16"/>
      <c r="AD16"/>
      <c r="AE16"/>
      <c r="AF16"/>
      <c r="AG16"/>
      <c r="AH16"/>
      <c r="AI16"/>
      <c r="AJ16" s="609"/>
      <c r="AK16" s="609"/>
      <c r="AL16" s="609"/>
      <c r="AM16" s="609"/>
    </row>
    <row r="17" spans="1:39" s="453" customFormat="1" ht="12.75" customHeight="1">
      <c r="A17" s="761">
        <f t="shared" si="4"/>
        <v>2711</v>
      </c>
      <c r="B17" s="862"/>
      <c r="C17" s="568"/>
      <c r="D17" s="568"/>
      <c r="E17" s="521"/>
      <c r="F17" s="521"/>
      <c r="G17" s="980"/>
      <c r="H17" s="604"/>
      <c r="I17" s="604"/>
      <c r="J17" s="515"/>
      <c r="K17" s="515"/>
      <c r="L17" s="515"/>
      <c r="M17" s="515"/>
      <c r="N17" s="515"/>
      <c r="O17" s="515"/>
      <c r="P17" s="515"/>
      <c r="Q17" s="608">
        <f t="shared" si="1"/>
        <v>0</v>
      </c>
      <c r="R17" s="607">
        <f t="shared" si="14"/>
        <v>0</v>
      </c>
      <c r="S17" s="608">
        <f t="shared" si="5"/>
        <v>0</v>
      </c>
      <c r="T17" s="607">
        <f t="shared" si="2"/>
        <v>0</v>
      </c>
      <c r="U17" s="610">
        <f t="shared" si="6"/>
        <v>0</v>
      </c>
      <c r="V17" s="610">
        <f t="shared" si="7"/>
        <v>0</v>
      </c>
      <c r="W17" s="610">
        <f t="shared" si="8"/>
        <v>0</v>
      </c>
      <c r="X17" s="610">
        <f t="shared" si="9"/>
        <v>0</v>
      </c>
      <c r="Y17" s="610">
        <f t="shared" si="10"/>
        <v>0</v>
      </c>
      <c r="Z17" s="610">
        <f t="shared" si="11"/>
        <v>0</v>
      </c>
      <c r="AA17" s="610">
        <f t="shared" si="12"/>
        <v>0</v>
      </c>
      <c r="AB17" s="610">
        <f t="shared" si="13"/>
        <v>0</v>
      </c>
      <c r="AC17"/>
      <c r="AD17"/>
      <c r="AE17"/>
      <c r="AF17"/>
      <c r="AG17"/>
      <c r="AH17"/>
      <c r="AI17"/>
      <c r="AJ17" s="609"/>
      <c r="AK17" s="609"/>
      <c r="AL17" s="609"/>
      <c r="AM17" s="609"/>
    </row>
    <row r="18" spans="1:39" s="453" customFormat="1" ht="12.75" customHeight="1">
      <c r="A18" s="761">
        <f t="shared" si="4"/>
        <v>2712</v>
      </c>
      <c r="B18" s="862"/>
      <c r="C18" s="568"/>
      <c r="D18" s="568"/>
      <c r="E18" s="521"/>
      <c r="F18" s="521"/>
      <c r="G18" s="980"/>
      <c r="H18" s="604"/>
      <c r="I18" s="604"/>
      <c r="J18" s="515"/>
      <c r="K18" s="515"/>
      <c r="L18" s="515"/>
      <c r="M18" s="515"/>
      <c r="N18" s="515"/>
      <c r="O18" s="515"/>
      <c r="P18" s="515"/>
      <c r="Q18" s="608">
        <f t="shared" si="1"/>
        <v>0</v>
      </c>
      <c r="R18" s="607">
        <f t="shared" si="14"/>
        <v>0</v>
      </c>
      <c r="S18" s="608">
        <f t="shared" si="5"/>
        <v>0</v>
      </c>
      <c r="T18" s="607">
        <f t="shared" si="2"/>
        <v>0</v>
      </c>
      <c r="U18" s="610">
        <f t="shared" si="6"/>
        <v>0</v>
      </c>
      <c r="V18" s="610">
        <f t="shared" si="7"/>
        <v>0</v>
      </c>
      <c r="W18" s="610">
        <f t="shared" si="8"/>
        <v>0</v>
      </c>
      <c r="X18" s="610">
        <f t="shared" si="9"/>
        <v>0</v>
      </c>
      <c r="Y18" s="610">
        <f t="shared" si="10"/>
        <v>0</v>
      </c>
      <c r="Z18" s="610">
        <f t="shared" si="11"/>
        <v>0</v>
      </c>
      <c r="AA18" s="610">
        <f t="shared" si="12"/>
        <v>0</v>
      </c>
      <c r="AB18" s="610">
        <f t="shared" si="13"/>
        <v>0</v>
      </c>
      <c r="AC18"/>
      <c r="AD18"/>
      <c r="AE18"/>
      <c r="AF18"/>
      <c r="AG18"/>
      <c r="AH18"/>
      <c r="AI18"/>
      <c r="AJ18" s="609"/>
      <c r="AK18" s="609"/>
      <c r="AL18" s="609"/>
      <c r="AM18" s="609"/>
    </row>
    <row r="19" spans="1:39" s="453" customFormat="1" ht="12.75" customHeight="1">
      <c r="A19" s="761">
        <f t="shared" si="4"/>
        <v>2713</v>
      </c>
      <c r="B19" s="862"/>
      <c r="C19" s="568"/>
      <c r="D19" s="568"/>
      <c r="E19" s="521"/>
      <c r="F19" s="521"/>
      <c r="G19" s="980"/>
      <c r="H19" s="604"/>
      <c r="I19" s="604"/>
      <c r="J19" s="515"/>
      <c r="K19" s="515"/>
      <c r="L19" s="515"/>
      <c r="M19" s="515"/>
      <c r="N19" s="515"/>
      <c r="O19" s="515"/>
      <c r="P19" s="515"/>
      <c r="Q19" s="608">
        <f t="shared" si="1"/>
        <v>0</v>
      </c>
      <c r="R19" s="607">
        <f t="shared" si="14"/>
        <v>0</v>
      </c>
      <c r="S19" s="608">
        <f t="shared" si="5"/>
        <v>0</v>
      </c>
      <c r="T19" s="607">
        <f t="shared" si="2"/>
        <v>0</v>
      </c>
      <c r="U19" s="610">
        <f t="shared" si="6"/>
        <v>0</v>
      </c>
      <c r="V19" s="610">
        <f t="shared" si="7"/>
        <v>0</v>
      </c>
      <c r="W19" s="610">
        <f t="shared" si="8"/>
        <v>0</v>
      </c>
      <c r="X19" s="610">
        <f t="shared" si="9"/>
        <v>0</v>
      </c>
      <c r="Y19" s="610">
        <f t="shared" si="10"/>
        <v>0</v>
      </c>
      <c r="Z19" s="610">
        <f t="shared" si="11"/>
        <v>0</v>
      </c>
      <c r="AA19" s="610">
        <f t="shared" si="12"/>
        <v>0</v>
      </c>
      <c r="AB19" s="610">
        <f t="shared" si="13"/>
        <v>0</v>
      </c>
      <c r="AC19"/>
      <c r="AD19"/>
      <c r="AE19"/>
      <c r="AF19"/>
      <c r="AG19"/>
      <c r="AH19"/>
      <c r="AI19"/>
      <c r="AJ19" s="609"/>
      <c r="AK19" s="609"/>
      <c r="AL19" s="609"/>
      <c r="AM19" s="609"/>
    </row>
    <row r="20" spans="1:39" s="453" customFormat="1" ht="12.75" customHeight="1">
      <c r="A20" s="761">
        <f t="shared" si="4"/>
        <v>2714</v>
      </c>
      <c r="B20" s="862"/>
      <c r="C20" s="568"/>
      <c r="D20" s="568"/>
      <c r="E20" s="521"/>
      <c r="F20" s="521"/>
      <c r="G20" s="980"/>
      <c r="H20" s="604"/>
      <c r="I20" s="604"/>
      <c r="J20" s="515"/>
      <c r="K20" s="515"/>
      <c r="L20" s="515"/>
      <c r="M20" s="515"/>
      <c r="N20" s="515"/>
      <c r="O20" s="515"/>
      <c r="P20" s="515"/>
      <c r="Q20" s="608">
        <f t="shared" si="1"/>
        <v>0</v>
      </c>
      <c r="R20" s="607">
        <f t="shared" si="14"/>
        <v>0</v>
      </c>
      <c r="S20" s="608">
        <f t="shared" si="5"/>
        <v>0</v>
      </c>
      <c r="T20" s="607">
        <f t="shared" si="2"/>
        <v>0</v>
      </c>
      <c r="U20" s="610">
        <f t="shared" si="6"/>
        <v>0</v>
      </c>
      <c r="V20" s="610">
        <f t="shared" si="7"/>
        <v>0</v>
      </c>
      <c r="W20" s="610">
        <f t="shared" si="8"/>
        <v>0</v>
      </c>
      <c r="X20" s="610">
        <f t="shared" si="9"/>
        <v>0</v>
      </c>
      <c r="Y20" s="610">
        <f t="shared" si="10"/>
        <v>0</v>
      </c>
      <c r="Z20" s="610">
        <f t="shared" si="11"/>
        <v>0</v>
      </c>
      <c r="AA20" s="610">
        <f t="shared" si="12"/>
        <v>0</v>
      </c>
      <c r="AB20" s="610">
        <f t="shared" si="13"/>
        <v>0</v>
      </c>
      <c r="AC20"/>
      <c r="AD20"/>
      <c r="AE20"/>
      <c r="AF20"/>
      <c r="AG20"/>
      <c r="AH20"/>
      <c r="AI20"/>
      <c r="AJ20" s="609"/>
      <c r="AK20" s="609"/>
      <c r="AL20" s="609"/>
      <c r="AM20" s="609"/>
    </row>
    <row r="21" spans="1:39" s="453" customFormat="1" ht="12.75" customHeight="1">
      <c r="A21" s="761">
        <f t="shared" si="4"/>
        <v>2715</v>
      </c>
      <c r="B21" s="862"/>
      <c r="C21" s="568"/>
      <c r="D21" s="568"/>
      <c r="E21" s="521"/>
      <c r="F21" s="521"/>
      <c r="G21" s="980"/>
      <c r="H21" s="604"/>
      <c r="I21" s="604"/>
      <c r="J21" s="515"/>
      <c r="K21" s="515"/>
      <c r="L21" s="515"/>
      <c r="M21" s="515"/>
      <c r="N21" s="515"/>
      <c r="O21" s="515"/>
      <c r="P21" s="515"/>
      <c r="Q21" s="608">
        <f>H21-AB21</f>
        <v>0</v>
      </c>
      <c r="R21" s="607">
        <f t="shared" si="14"/>
        <v>0</v>
      </c>
      <c r="S21" s="608">
        <f>R21*F21/100</f>
        <v>0</v>
      </c>
      <c r="T21" s="607">
        <f>IF(G21="n",S21,E21/100*R21)</f>
        <v>0</v>
      </c>
      <c r="U21" s="610">
        <f t="shared" si="6"/>
        <v>0</v>
      </c>
      <c r="V21" s="610">
        <f t="shared" si="7"/>
        <v>0</v>
      </c>
      <c r="W21" s="610">
        <f t="shared" si="8"/>
        <v>0</v>
      </c>
      <c r="X21" s="610">
        <f t="shared" si="9"/>
        <v>0</v>
      </c>
      <c r="Y21" s="610">
        <f t="shared" si="10"/>
        <v>0</v>
      </c>
      <c r="Z21" s="610">
        <f t="shared" si="11"/>
        <v>0</v>
      </c>
      <c r="AA21" s="610">
        <f t="shared" si="12"/>
        <v>0</v>
      </c>
      <c r="AB21" s="610">
        <f t="shared" si="13"/>
        <v>0</v>
      </c>
      <c r="AC21"/>
      <c r="AD21"/>
      <c r="AE21"/>
      <c r="AF21"/>
      <c r="AG21"/>
      <c r="AH21"/>
      <c r="AI21"/>
      <c r="AJ21" s="609"/>
      <c r="AK21" s="609"/>
      <c r="AL21" s="609"/>
      <c r="AM21" s="609"/>
    </row>
    <row r="22" spans="1:39" s="453" customFormat="1" ht="12.75" customHeight="1">
      <c r="A22" s="761">
        <f t="shared" si="4"/>
        <v>2716</v>
      </c>
      <c r="B22" s="862"/>
      <c r="C22" s="568"/>
      <c r="D22" s="568"/>
      <c r="E22" s="521"/>
      <c r="F22" s="521"/>
      <c r="G22" s="980"/>
      <c r="H22" s="604"/>
      <c r="I22" s="604"/>
      <c r="J22" s="515"/>
      <c r="K22" s="515"/>
      <c r="L22" s="515"/>
      <c r="M22" s="515"/>
      <c r="N22" s="515"/>
      <c r="O22" s="515"/>
      <c r="P22" s="515"/>
      <c r="Q22" s="608">
        <f>H22-AB22</f>
        <v>0</v>
      </c>
      <c r="R22" s="607">
        <f t="shared" si="14"/>
        <v>0</v>
      </c>
      <c r="S22" s="608">
        <f>R22*F22/100</f>
        <v>0</v>
      </c>
      <c r="T22" s="607">
        <f>IF(G22="n",S22,E22/100*R22)</f>
        <v>0</v>
      </c>
      <c r="U22" s="610">
        <f t="shared" si="6"/>
        <v>0</v>
      </c>
      <c r="V22" s="610">
        <f t="shared" si="7"/>
        <v>0</v>
      </c>
      <c r="W22" s="610">
        <f t="shared" si="8"/>
        <v>0</v>
      </c>
      <c r="X22" s="610">
        <f t="shared" si="9"/>
        <v>0</v>
      </c>
      <c r="Y22" s="610">
        <f t="shared" si="10"/>
        <v>0</v>
      </c>
      <c r="Z22" s="610">
        <f t="shared" si="11"/>
        <v>0</v>
      </c>
      <c r="AA22" s="610">
        <f t="shared" si="12"/>
        <v>0</v>
      </c>
      <c r="AB22" s="610">
        <f t="shared" si="13"/>
        <v>0</v>
      </c>
      <c r="AC22"/>
      <c r="AD22"/>
      <c r="AE22"/>
      <c r="AF22"/>
      <c r="AG22"/>
      <c r="AH22"/>
      <c r="AI22"/>
      <c r="AJ22" s="609"/>
      <c r="AK22" s="609"/>
      <c r="AL22" s="609"/>
      <c r="AM22" s="609"/>
    </row>
    <row r="23" spans="1:39" s="453" customFormat="1" ht="12.75" customHeight="1">
      <c r="A23" s="761">
        <f t="shared" si="4"/>
        <v>2717</v>
      </c>
      <c r="B23" s="862"/>
      <c r="C23" s="568"/>
      <c r="D23" s="568"/>
      <c r="E23" s="521"/>
      <c r="F23" s="521"/>
      <c r="G23" s="980"/>
      <c r="H23" s="604"/>
      <c r="I23" s="604"/>
      <c r="J23" s="515"/>
      <c r="K23" s="515"/>
      <c r="L23" s="515"/>
      <c r="M23" s="515"/>
      <c r="N23" s="515"/>
      <c r="O23" s="515"/>
      <c r="P23" s="515"/>
      <c r="Q23" s="608">
        <f>H23-AB23</f>
        <v>0</v>
      </c>
      <c r="R23" s="607">
        <f t="shared" si="14"/>
        <v>0</v>
      </c>
      <c r="S23" s="608">
        <f>R23*F23/100</f>
        <v>0</v>
      </c>
      <c r="T23" s="607">
        <f>IF(G23="n",S23,E23/100*R23)</f>
        <v>0</v>
      </c>
      <c r="U23" s="610">
        <f t="shared" si="6"/>
        <v>0</v>
      </c>
      <c r="V23" s="610">
        <f t="shared" si="7"/>
        <v>0</v>
      </c>
      <c r="W23" s="610">
        <f t="shared" si="8"/>
        <v>0</v>
      </c>
      <c r="X23" s="610">
        <f t="shared" si="9"/>
        <v>0</v>
      </c>
      <c r="Y23" s="610">
        <f t="shared" si="10"/>
        <v>0</v>
      </c>
      <c r="Z23" s="610">
        <f t="shared" si="11"/>
        <v>0</v>
      </c>
      <c r="AA23" s="610">
        <f t="shared" si="12"/>
        <v>0</v>
      </c>
      <c r="AB23" s="610">
        <f t="shared" si="13"/>
        <v>0</v>
      </c>
      <c r="AC23"/>
      <c r="AD23"/>
      <c r="AE23"/>
      <c r="AF23"/>
      <c r="AG23"/>
      <c r="AH23"/>
      <c r="AI23"/>
      <c r="AJ23" s="609"/>
      <c r="AK23" s="609"/>
      <c r="AL23" s="609"/>
      <c r="AM23" s="609"/>
    </row>
    <row r="24" spans="1:39" s="453" customFormat="1" ht="12.75" customHeight="1">
      <c r="A24" s="761">
        <f t="shared" si="4"/>
        <v>2718</v>
      </c>
      <c r="B24" s="862"/>
      <c r="C24" s="568"/>
      <c r="D24" s="568"/>
      <c r="E24" s="521"/>
      <c r="F24" s="521"/>
      <c r="G24" s="980"/>
      <c r="H24" s="604"/>
      <c r="I24" s="604"/>
      <c r="J24" s="515"/>
      <c r="K24" s="515"/>
      <c r="L24" s="515"/>
      <c r="M24" s="515"/>
      <c r="N24" s="515"/>
      <c r="O24" s="515"/>
      <c r="P24" s="515"/>
      <c r="Q24" s="608">
        <f>H24-AB24</f>
        <v>0</v>
      </c>
      <c r="R24" s="607">
        <f t="shared" si="14"/>
        <v>0</v>
      </c>
      <c r="S24" s="608">
        <f>R24*F24/100</f>
        <v>0</v>
      </c>
      <c r="T24" s="607">
        <f>IF(G24="n",S24,E24/100*R24)</f>
        <v>0</v>
      </c>
      <c r="U24" s="610">
        <f t="shared" si="6"/>
        <v>0</v>
      </c>
      <c r="V24" s="610">
        <f t="shared" si="7"/>
        <v>0</v>
      </c>
      <c r="W24" s="610">
        <f t="shared" si="8"/>
        <v>0</v>
      </c>
      <c r="X24" s="610">
        <f t="shared" si="9"/>
        <v>0</v>
      </c>
      <c r="Y24" s="610">
        <f t="shared" si="10"/>
        <v>0</v>
      </c>
      <c r="Z24" s="610">
        <f t="shared" si="11"/>
        <v>0</v>
      </c>
      <c r="AA24" s="610">
        <f t="shared" si="12"/>
        <v>0</v>
      </c>
      <c r="AB24" s="610">
        <f t="shared" si="13"/>
        <v>0</v>
      </c>
      <c r="AC24"/>
      <c r="AD24"/>
      <c r="AE24"/>
      <c r="AF24"/>
      <c r="AG24"/>
      <c r="AH24"/>
      <c r="AI24"/>
      <c r="AJ24" s="609"/>
      <c r="AK24" s="609"/>
      <c r="AL24" s="609"/>
      <c r="AM24" s="609"/>
    </row>
    <row r="25" spans="1:39" s="453" customFormat="1" ht="12.75" customHeight="1">
      <c r="A25" s="761">
        <f t="shared" si="4"/>
        <v>2719</v>
      </c>
      <c r="B25" s="862"/>
      <c r="C25" s="568"/>
      <c r="D25" s="568"/>
      <c r="E25" s="521"/>
      <c r="F25" s="521"/>
      <c r="G25" s="980"/>
      <c r="H25" s="604"/>
      <c r="I25" s="604"/>
      <c r="J25" s="515"/>
      <c r="K25" s="515"/>
      <c r="L25" s="515"/>
      <c r="M25" s="515"/>
      <c r="N25" s="515"/>
      <c r="O25" s="515"/>
      <c r="P25" s="515"/>
      <c r="Q25" s="608">
        <f>H25-AB25</f>
        <v>0</v>
      </c>
      <c r="R25" s="607">
        <f t="shared" si="14"/>
        <v>0</v>
      </c>
      <c r="S25" s="608">
        <f>R25*F25/100</f>
        <v>0</v>
      </c>
      <c r="T25" s="607">
        <f>IF(G25="n",S25,E25/100*R25)</f>
        <v>0</v>
      </c>
      <c r="U25" s="610">
        <f t="shared" si="6"/>
        <v>0</v>
      </c>
      <c r="V25" s="610">
        <f t="shared" si="7"/>
        <v>0</v>
      </c>
      <c r="W25" s="610">
        <f t="shared" si="8"/>
        <v>0</v>
      </c>
      <c r="X25" s="610">
        <f t="shared" si="9"/>
        <v>0</v>
      </c>
      <c r="Y25" s="610">
        <f t="shared" si="10"/>
        <v>0</v>
      </c>
      <c r="Z25" s="610">
        <f t="shared" si="11"/>
        <v>0</v>
      </c>
      <c r="AA25" s="610">
        <f t="shared" si="12"/>
        <v>0</v>
      </c>
      <c r="AB25" s="610">
        <f t="shared" si="13"/>
        <v>0</v>
      </c>
      <c r="AC25"/>
      <c r="AD25"/>
      <c r="AE25"/>
      <c r="AF25"/>
      <c r="AG25"/>
      <c r="AH25"/>
      <c r="AI25"/>
      <c r="AJ25" s="609"/>
      <c r="AK25" s="609"/>
      <c r="AL25" s="609"/>
      <c r="AM25" s="609"/>
    </row>
    <row r="26" spans="1:39" s="453" customFormat="1" ht="12.75" customHeight="1">
      <c r="A26" s="761">
        <f t="shared" si="4"/>
        <v>2720</v>
      </c>
      <c r="B26" s="862"/>
      <c r="C26" s="568"/>
      <c r="D26" s="568"/>
      <c r="E26" s="521"/>
      <c r="F26" s="521"/>
      <c r="G26" s="980"/>
      <c r="H26" s="604"/>
      <c r="I26" s="604"/>
      <c r="J26" s="515"/>
      <c r="K26" s="515"/>
      <c r="L26" s="515"/>
      <c r="M26" s="515"/>
      <c r="N26" s="515"/>
      <c r="O26" s="515"/>
      <c r="P26" s="515"/>
      <c r="Q26" s="608">
        <f t="shared" si="1"/>
        <v>0</v>
      </c>
      <c r="R26" s="607">
        <f t="shared" si="14"/>
        <v>0</v>
      </c>
      <c r="S26" s="608">
        <f t="shared" si="5"/>
        <v>0</v>
      </c>
      <c r="T26" s="607">
        <f t="shared" si="2"/>
        <v>0</v>
      </c>
      <c r="U26" s="610">
        <f t="shared" si="6"/>
        <v>0</v>
      </c>
      <c r="V26" s="610">
        <f t="shared" si="7"/>
        <v>0</v>
      </c>
      <c r="W26" s="610">
        <f t="shared" si="8"/>
        <v>0</v>
      </c>
      <c r="X26" s="610">
        <f t="shared" si="9"/>
        <v>0</v>
      </c>
      <c r="Y26" s="610">
        <f t="shared" si="10"/>
        <v>0</v>
      </c>
      <c r="Z26" s="610">
        <f t="shared" si="11"/>
        <v>0</v>
      </c>
      <c r="AA26" s="610">
        <f t="shared" si="12"/>
        <v>0</v>
      </c>
      <c r="AB26" s="610">
        <f t="shared" si="13"/>
        <v>0</v>
      </c>
      <c r="AC26"/>
      <c r="AD26"/>
      <c r="AE26"/>
      <c r="AF26"/>
      <c r="AG26"/>
      <c r="AH26"/>
      <c r="AI26"/>
      <c r="AJ26" s="609"/>
      <c r="AK26" s="609"/>
      <c r="AL26" s="609"/>
      <c r="AM26" s="609"/>
    </row>
    <row r="27" spans="1:39" s="453" customFormat="1" ht="12.75" customHeight="1">
      <c r="A27" s="761">
        <f t="shared" si="4"/>
        <v>2721</v>
      </c>
      <c r="B27" s="862"/>
      <c r="C27" s="568"/>
      <c r="D27" s="568"/>
      <c r="E27" s="521"/>
      <c r="F27" s="521"/>
      <c r="G27" s="980"/>
      <c r="H27" s="604"/>
      <c r="I27" s="604"/>
      <c r="J27" s="515"/>
      <c r="K27" s="515"/>
      <c r="L27" s="515"/>
      <c r="M27" s="515"/>
      <c r="N27" s="515"/>
      <c r="O27" s="515"/>
      <c r="P27" s="515"/>
      <c r="Q27" s="608">
        <f t="shared" si="1"/>
        <v>0</v>
      </c>
      <c r="R27" s="607">
        <f t="shared" si="14"/>
        <v>0</v>
      </c>
      <c r="S27" s="608">
        <f t="shared" si="5"/>
        <v>0</v>
      </c>
      <c r="T27" s="607">
        <f t="shared" si="2"/>
        <v>0</v>
      </c>
      <c r="U27" s="610">
        <f t="shared" si="6"/>
        <v>0</v>
      </c>
      <c r="V27" s="610">
        <f t="shared" si="7"/>
        <v>0</v>
      </c>
      <c r="W27" s="610">
        <f t="shared" si="8"/>
        <v>0</v>
      </c>
      <c r="X27" s="610">
        <f t="shared" si="9"/>
        <v>0</v>
      </c>
      <c r="Y27" s="610">
        <f t="shared" si="10"/>
        <v>0</v>
      </c>
      <c r="Z27" s="610">
        <f t="shared" si="11"/>
        <v>0</v>
      </c>
      <c r="AA27" s="610">
        <f t="shared" si="12"/>
        <v>0</v>
      </c>
      <c r="AB27" s="610">
        <f t="shared" si="13"/>
        <v>0</v>
      </c>
      <c r="AC27"/>
      <c r="AD27"/>
      <c r="AE27"/>
      <c r="AF27"/>
      <c r="AG27"/>
      <c r="AH27"/>
      <c r="AI27"/>
      <c r="AJ27" s="609"/>
      <c r="AK27" s="609"/>
      <c r="AL27" s="609"/>
      <c r="AM27" s="609"/>
    </row>
    <row r="28" spans="1:39" s="453" customFormat="1" ht="12.75" customHeight="1">
      <c r="A28" s="761">
        <f t="shared" si="4"/>
        <v>2722</v>
      </c>
      <c r="B28" s="862"/>
      <c r="C28" s="568"/>
      <c r="D28" s="568"/>
      <c r="E28" s="521"/>
      <c r="F28" s="521"/>
      <c r="G28" s="980"/>
      <c r="H28" s="604"/>
      <c r="I28" s="604"/>
      <c r="J28" s="515"/>
      <c r="K28" s="515"/>
      <c r="L28" s="515"/>
      <c r="M28" s="515"/>
      <c r="N28" s="515"/>
      <c r="O28" s="515"/>
      <c r="P28" s="515"/>
      <c r="Q28" s="608">
        <f t="shared" si="1"/>
        <v>0</v>
      </c>
      <c r="R28" s="607">
        <f t="shared" si="14"/>
        <v>0</v>
      </c>
      <c r="S28" s="608">
        <f t="shared" si="5"/>
        <v>0</v>
      </c>
      <c r="T28" s="607">
        <f t="shared" si="2"/>
        <v>0</v>
      </c>
      <c r="U28" s="610">
        <f t="shared" si="6"/>
        <v>0</v>
      </c>
      <c r="V28" s="610">
        <f t="shared" si="7"/>
        <v>0</v>
      </c>
      <c r="W28" s="610">
        <f t="shared" si="8"/>
        <v>0</v>
      </c>
      <c r="X28" s="610">
        <f t="shared" si="9"/>
        <v>0</v>
      </c>
      <c r="Y28" s="610">
        <f t="shared" si="10"/>
        <v>0</v>
      </c>
      <c r="Z28" s="610">
        <f t="shared" si="11"/>
        <v>0</v>
      </c>
      <c r="AA28" s="610">
        <f t="shared" si="12"/>
        <v>0</v>
      </c>
      <c r="AB28" s="610">
        <f t="shared" si="13"/>
        <v>0</v>
      </c>
      <c r="AC28"/>
      <c r="AD28"/>
      <c r="AE28"/>
      <c r="AF28"/>
      <c r="AG28"/>
      <c r="AH28"/>
      <c r="AI28"/>
      <c r="AJ28" s="609"/>
      <c r="AK28" s="609"/>
      <c r="AL28" s="609"/>
      <c r="AM28" s="609"/>
    </row>
    <row r="29" spans="1:39" s="453" customFormat="1" ht="12.75" customHeight="1">
      <c r="A29" s="761">
        <f t="shared" si="4"/>
        <v>2723</v>
      </c>
      <c r="B29" s="862"/>
      <c r="C29" s="568"/>
      <c r="D29" s="568"/>
      <c r="E29" s="521"/>
      <c r="F29" s="521"/>
      <c r="G29" s="980"/>
      <c r="H29" s="604"/>
      <c r="I29" s="604"/>
      <c r="J29" s="515"/>
      <c r="K29" s="515"/>
      <c r="L29" s="515"/>
      <c r="M29" s="515"/>
      <c r="N29" s="515"/>
      <c r="O29" s="515"/>
      <c r="P29" s="515"/>
      <c r="Q29" s="608">
        <f t="shared" si="1"/>
        <v>0</v>
      </c>
      <c r="R29" s="607">
        <f t="shared" si="14"/>
        <v>0</v>
      </c>
      <c r="S29" s="608">
        <f t="shared" si="5"/>
        <v>0</v>
      </c>
      <c r="T29" s="607">
        <f t="shared" si="2"/>
        <v>0</v>
      </c>
      <c r="U29" s="610">
        <f t="shared" si="6"/>
        <v>0</v>
      </c>
      <c r="V29" s="610">
        <f t="shared" si="7"/>
        <v>0</v>
      </c>
      <c r="W29" s="610">
        <f t="shared" si="8"/>
        <v>0</v>
      </c>
      <c r="X29" s="610">
        <f t="shared" si="9"/>
        <v>0</v>
      </c>
      <c r="Y29" s="610">
        <f t="shared" si="10"/>
        <v>0</v>
      </c>
      <c r="Z29" s="610">
        <f t="shared" si="11"/>
        <v>0</v>
      </c>
      <c r="AA29" s="610">
        <f t="shared" si="12"/>
        <v>0</v>
      </c>
      <c r="AB29" s="610">
        <f t="shared" si="13"/>
        <v>0</v>
      </c>
      <c r="AC29"/>
      <c r="AD29"/>
      <c r="AE29"/>
      <c r="AF29"/>
      <c r="AG29"/>
      <c r="AH29"/>
      <c r="AI29"/>
      <c r="AJ29" s="609"/>
      <c r="AK29" s="609"/>
      <c r="AL29" s="609"/>
      <c r="AM29" s="609"/>
    </row>
    <row r="30" spans="1:39" s="453" customFormat="1" ht="12.75" customHeight="1">
      <c r="A30" s="761">
        <f t="shared" si="4"/>
        <v>2724</v>
      </c>
      <c r="B30" s="862"/>
      <c r="C30" s="568"/>
      <c r="D30" s="568"/>
      <c r="E30" s="521"/>
      <c r="F30" s="521"/>
      <c r="G30" s="980"/>
      <c r="H30" s="604"/>
      <c r="I30" s="604"/>
      <c r="J30" s="515"/>
      <c r="K30" s="515"/>
      <c r="L30" s="515"/>
      <c r="M30" s="515"/>
      <c r="N30" s="515"/>
      <c r="O30" s="515"/>
      <c r="P30" s="515"/>
      <c r="Q30" s="608">
        <f t="shared" si="1"/>
        <v>0</v>
      </c>
      <c r="R30" s="607">
        <f t="shared" si="14"/>
        <v>0</v>
      </c>
      <c r="S30" s="608">
        <f t="shared" si="5"/>
        <v>0</v>
      </c>
      <c r="T30" s="607">
        <f t="shared" si="2"/>
        <v>0</v>
      </c>
      <c r="U30" s="610">
        <f t="shared" si="6"/>
        <v>0</v>
      </c>
      <c r="V30" s="610">
        <f t="shared" si="7"/>
        <v>0</v>
      </c>
      <c r="W30" s="610">
        <f t="shared" si="8"/>
        <v>0</v>
      </c>
      <c r="X30" s="610">
        <f t="shared" si="9"/>
        <v>0</v>
      </c>
      <c r="Y30" s="610">
        <f t="shared" si="10"/>
        <v>0</v>
      </c>
      <c r="Z30" s="610">
        <f t="shared" si="11"/>
        <v>0</v>
      </c>
      <c r="AA30" s="610">
        <f t="shared" si="12"/>
        <v>0</v>
      </c>
      <c r="AB30" s="610">
        <f t="shared" si="13"/>
        <v>0</v>
      </c>
      <c r="AC30"/>
      <c r="AD30"/>
      <c r="AE30"/>
      <c r="AF30"/>
      <c r="AG30"/>
      <c r="AH30"/>
      <c r="AI30"/>
      <c r="AJ30" s="609"/>
      <c r="AK30" s="609"/>
      <c r="AL30" s="609"/>
      <c r="AM30" s="609"/>
    </row>
    <row r="31" spans="1:39" s="453" customFormat="1" ht="12.75" customHeight="1">
      <c r="A31" s="761">
        <f t="shared" si="4"/>
        <v>2725</v>
      </c>
      <c r="B31" s="862"/>
      <c r="C31" s="568"/>
      <c r="D31" s="568"/>
      <c r="E31" s="521"/>
      <c r="F31" s="521"/>
      <c r="G31" s="980"/>
      <c r="H31" s="604"/>
      <c r="I31" s="604"/>
      <c r="J31" s="515"/>
      <c r="K31" s="515"/>
      <c r="L31" s="515"/>
      <c r="M31" s="515"/>
      <c r="N31" s="515"/>
      <c r="O31" s="515"/>
      <c r="P31" s="515"/>
      <c r="Q31" s="608">
        <f t="shared" si="1"/>
        <v>0</v>
      </c>
      <c r="R31" s="607">
        <f t="shared" si="14"/>
        <v>0</v>
      </c>
      <c r="S31" s="608">
        <f t="shared" si="5"/>
        <v>0</v>
      </c>
      <c r="T31" s="607">
        <f t="shared" si="2"/>
        <v>0</v>
      </c>
      <c r="U31" s="610">
        <f t="shared" si="6"/>
        <v>0</v>
      </c>
      <c r="V31" s="610">
        <f t="shared" si="7"/>
        <v>0</v>
      </c>
      <c r="W31" s="610">
        <f t="shared" si="8"/>
        <v>0</v>
      </c>
      <c r="X31" s="610">
        <f t="shared" si="9"/>
        <v>0</v>
      </c>
      <c r="Y31" s="610">
        <f t="shared" si="10"/>
        <v>0</v>
      </c>
      <c r="Z31" s="610">
        <f t="shared" si="11"/>
        <v>0</v>
      </c>
      <c r="AA31" s="610">
        <f t="shared" si="12"/>
        <v>0</v>
      </c>
      <c r="AB31" s="610">
        <f t="shared" si="13"/>
        <v>0</v>
      </c>
      <c r="AC31"/>
      <c r="AD31"/>
      <c r="AE31"/>
      <c r="AF31"/>
      <c r="AG31"/>
      <c r="AH31"/>
      <c r="AI31"/>
      <c r="AJ31" s="609"/>
      <c r="AK31" s="609"/>
      <c r="AL31" s="609"/>
      <c r="AM31" s="609"/>
    </row>
    <row r="32" spans="1:39" s="453" customFormat="1" ht="12.75" customHeight="1">
      <c r="A32" s="761">
        <f t="shared" si="4"/>
        <v>2726</v>
      </c>
      <c r="B32" s="862"/>
      <c r="C32" s="568"/>
      <c r="D32" s="568"/>
      <c r="E32" s="521"/>
      <c r="F32" s="521"/>
      <c r="G32" s="980"/>
      <c r="H32" s="604"/>
      <c r="I32" s="604"/>
      <c r="J32" s="515"/>
      <c r="K32" s="515"/>
      <c r="L32" s="515"/>
      <c r="M32" s="515"/>
      <c r="N32" s="515"/>
      <c r="O32" s="515"/>
      <c r="P32" s="515"/>
      <c r="Q32" s="608">
        <f t="shared" si="1"/>
        <v>0</v>
      </c>
      <c r="R32" s="607">
        <f t="shared" si="14"/>
        <v>0</v>
      </c>
      <c r="S32" s="608">
        <f t="shared" si="5"/>
        <v>0</v>
      </c>
      <c r="T32" s="607">
        <f t="shared" si="2"/>
        <v>0</v>
      </c>
      <c r="U32" s="610">
        <f t="shared" si="6"/>
        <v>0</v>
      </c>
      <c r="V32" s="610">
        <f t="shared" si="7"/>
        <v>0</v>
      </c>
      <c r="W32" s="610">
        <f t="shared" si="8"/>
        <v>0</v>
      </c>
      <c r="X32" s="610">
        <f t="shared" si="9"/>
        <v>0</v>
      </c>
      <c r="Y32" s="610">
        <f t="shared" si="10"/>
        <v>0</v>
      </c>
      <c r="Z32" s="610">
        <f t="shared" si="11"/>
        <v>0</v>
      </c>
      <c r="AA32" s="610">
        <f t="shared" si="12"/>
        <v>0</v>
      </c>
      <c r="AB32" s="610">
        <f t="shared" si="13"/>
        <v>0</v>
      </c>
      <c r="AC32"/>
      <c r="AD32"/>
      <c r="AE32"/>
      <c r="AF32"/>
      <c r="AG32"/>
      <c r="AH32"/>
      <c r="AI32"/>
      <c r="AJ32" s="609"/>
      <c r="AK32" s="609"/>
      <c r="AL32" s="609"/>
      <c r="AM32" s="609"/>
    </row>
    <row r="33" spans="1:39" s="453" customFormat="1" ht="12.75" customHeight="1">
      <c r="A33" s="761">
        <f t="shared" si="4"/>
        <v>2727</v>
      </c>
      <c r="B33" s="862"/>
      <c r="C33" s="568"/>
      <c r="D33" s="568"/>
      <c r="E33" s="521"/>
      <c r="F33" s="521"/>
      <c r="G33" s="980"/>
      <c r="H33" s="604"/>
      <c r="I33" s="604"/>
      <c r="J33" s="515"/>
      <c r="K33" s="515"/>
      <c r="L33" s="515"/>
      <c r="M33" s="515"/>
      <c r="N33" s="515"/>
      <c r="O33" s="515"/>
      <c r="P33" s="515"/>
      <c r="Q33" s="608">
        <f t="shared" si="1"/>
        <v>0</v>
      </c>
      <c r="R33" s="607">
        <f t="shared" si="14"/>
        <v>0</v>
      </c>
      <c r="S33" s="608">
        <f t="shared" si="5"/>
        <v>0</v>
      </c>
      <c r="T33" s="607">
        <f t="shared" si="2"/>
        <v>0</v>
      </c>
      <c r="U33" s="610">
        <f t="shared" si="6"/>
        <v>0</v>
      </c>
      <c r="V33" s="610">
        <f t="shared" si="7"/>
        <v>0</v>
      </c>
      <c r="W33" s="610">
        <f t="shared" si="8"/>
        <v>0</v>
      </c>
      <c r="X33" s="610">
        <f t="shared" si="9"/>
        <v>0</v>
      </c>
      <c r="Y33" s="610">
        <f t="shared" si="10"/>
        <v>0</v>
      </c>
      <c r="Z33" s="610">
        <f t="shared" si="11"/>
        <v>0</v>
      </c>
      <c r="AA33" s="610">
        <f t="shared" si="12"/>
        <v>0</v>
      </c>
      <c r="AB33" s="610">
        <f t="shared" si="13"/>
        <v>0</v>
      </c>
      <c r="AC33"/>
      <c r="AD33"/>
      <c r="AE33"/>
      <c r="AF33"/>
      <c r="AG33"/>
      <c r="AH33"/>
      <c r="AI33"/>
      <c r="AJ33" s="609"/>
      <c r="AK33" s="609"/>
      <c r="AL33" s="609"/>
      <c r="AM33" s="609"/>
    </row>
    <row r="34" spans="1:39" s="453" customFormat="1" ht="12.75" customHeight="1">
      <c r="A34" s="761">
        <f t="shared" si="4"/>
        <v>2728</v>
      </c>
      <c r="B34" s="862"/>
      <c r="C34" s="568"/>
      <c r="D34" s="568"/>
      <c r="E34" s="521"/>
      <c r="F34" s="521"/>
      <c r="G34" s="980"/>
      <c r="H34" s="604"/>
      <c r="I34" s="604"/>
      <c r="J34" s="515"/>
      <c r="K34" s="515"/>
      <c r="L34" s="515"/>
      <c r="M34" s="515"/>
      <c r="N34" s="515"/>
      <c r="O34" s="515"/>
      <c r="P34" s="515"/>
      <c r="Q34" s="608">
        <f t="shared" si="1"/>
        <v>0</v>
      </c>
      <c r="R34" s="607">
        <f t="shared" si="14"/>
        <v>0</v>
      </c>
      <c r="S34" s="608">
        <f t="shared" si="5"/>
        <v>0</v>
      </c>
      <c r="T34" s="607">
        <f t="shared" si="2"/>
        <v>0</v>
      </c>
      <c r="U34" s="610">
        <f t="shared" si="6"/>
        <v>0</v>
      </c>
      <c r="V34" s="610">
        <f t="shared" si="7"/>
        <v>0</v>
      </c>
      <c r="W34" s="610">
        <f t="shared" si="8"/>
        <v>0</v>
      </c>
      <c r="X34" s="610">
        <f t="shared" si="9"/>
        <v>0</v>
      </c>
      <c r="Y34" s="610">
        <f t="shared" si="10"/>
        <v>0</v>
      </c>
      <c r="Z34" s="610">
        <f t="shared" si="11"/>
        <v>0</v>
      </c>
      <c r="AA34" s="610">
        <f t="shared" si="12"/>
        <v>0</v>
      </c>
      <c r="AB34" s="610">
        <f t="shared" si="13"/>
        <v>0</v>
      </c>
      <c r="AC34"/>
      <c r="AD34"/>
      <c r="AE34"/>
      <c r="AF34"/>
      <c r="AG34"/>
      <c r="AH34"/>
      <c r="AI34"/>
      <c r="AJ34" s="609"/>
      <c r="AK34" s="609"/>
      <c r="AL34" s="609"/>
      <c r="AM34" s="609"/>
    </row>
    <row r="35" spans="1:39" s="453" customFormat="1" ht="12.75" customHeight="1">
      <c r="A35" s="761">
        <f t="shared" si="4"/>
        <v>2729</v>
      </c>
      <c r="B35" s="1037" t="s">
        <v>65</v>
      </c>
      <c r="C35" s="1038"/>
      <c r="D35" s="1038"/>
      <c r="E35" s="1039"/>
      <c r="F35" s="1040"/>
      <c r="G35" s="1041"/>
      <c r="H35" s="604"/>
      <c r="I35" s="604"/>
      <c r="J35" s="1042"/>
      <c r="K35" s="1043"/>
      <c r="L35" s="1043"/>
      <c r="M35" s="1043"/>
      <c r="N35" s="1043"/>
      <c r="O35" s="1043"/>
      <c r="P35" s="1044"/>
      <c r="Q35" s="607"/>
      <c r="R35" s="607"/>
      <c r="S35" s="607"/>
      <c r="T35" s="607"/>
      <c r="U35" s="610">
        <f t="shared" si="6"/>
        <v>0</v>
      </c>
      <c r="V35" s="610">
        <f t="shared" si="7"/>
        <v>0</v>
      </c>
      <c r="W35" s="610">
        <f t="shared" si="8"/>
        <v>0</v>
      </c>
      <c r="X35" s="610">
        <f t="shared" si="9"/>
        <v>0</v>
      </c>
      <c r="Y35" s="610">
        <f t="shared" si="10"/>
        <v>0</v>
      </c>
      <c r="Z35" s="610">
        <f t="shared" si="11"/>
        <v>0</v>
      </c>
      <c r="AA35" s="610">
        <f t="shared" si="12"/>
        <v>0</v>
      </c>
      <c r="AB35" s="610">
        <f t="shared" si="13"/>
        <v>0</v>
      </c>
      <c r="AC35"/>
      <c r="AD35"/>
      <c r="AE35"/>
      <c r="AF35"/>
      <c r="AG35"/>
      <c r="AH35"/>
      <c r="AI35"/>
      <c r="AJ35" s="609"/>
      <c r="AK35" s="609"/>
      <c r="AL35" s="609"/>
      <c r="AM35" s="609"/>
    </row>
    <row r="36" spans="1:39" s="453" customFormat="1" ht="12.75" customHeight="1">
      <c r="A36" s="761">
        <f t="shared" si="4"/>
        <v>2730</v>
      </c>
      <c r="B36" s="885" t="str">
        <f>CONCATENATE("Sub(totaal) regel ",A7," t/m ",A35," conform jaarrekening ")</f>
        <v>Sub(totaal) regel 2701 t/m 2729 conform jaarrekening </v>
      </c>
      <c r="C36" s="885"/>
      <c r="D36" s="900"/>
      <c r="E36" s="787"/>
      <c r="F36" s="898"/>
      <c r="G36" s="899"/>
      <c r="H36" s="886">
        <f>SUM(H7:H35)</f>
        <v>0</v>
      </c>
      <c r="I36" s="887">
        <f>AB36</f>
        <v>0</v>
      </c>
      <c r="J36" s="882"/>
      <c r="K36" s="883"/>
      <c r="L36" s="883"/>
      <c r="M36" s="883"/>
      <c r="N36" s="883"/>
      <c r="O36" s="883"/>
      <c r="P36" s="884"/>
      <c r="Q36" s="863">
        <f>SUM(Q7:Q35)</f>
        <v>0</v>
      </c>
      <c r="R36" s="863">
        <f>SUM(R7:R35)</f>
        <v>0</v>
      </c>
      <c r="S36" s="863">
        <f>SUM(S7:S35)</f>
        <v>0</v>
      </c>
      <c r="T36" s="863">
        <f>SUM(T7:T35)</f>
        <v>0</v>
      </c>
      <c r="U36" s="610"/>
      <c r="V36" s="610"/>
      <c r="W36" s="610"/>
      <c r="X36" s="610"/>
      <c r="Y36" s="610"/>
      <c r="Z36" s="610"/>
      <c r="AA36" s="610"/>
      <c r="AB36" s="938">
        <f>SUM(AB7:AB35)</f>
        <v>0</v>
      </c>
      <c r="AC36" s="610"/>
      <c r="AD36" s="609"/>
      <c r="AE36" s="609"/>
      <c r="AF36" s="609"/>
      <c r="AG36" s="609"/>
      <c r="AH36" s="609"/>
      <c r="AI36" s="609"/>
      <c r="AJ36" s="609"/>
      <c r="AK36" s="609"/>
      <c r="AL36" s="609"/>
      <c r="AM36" s="609"/>
    </row>
    <row r="37" spans="1:40" s="453" customFormat="1" ht="12.75" customHeight="1">
      <c r="A37" s="761">
        <f t="shared" si="4"/>
        <v>2731</v>
      </c>
      <c r="B37" s="888" t="s">
        <v>848</v>
      </c>
      <c r="C37" s="889"/>
      <c r="D37" s="889"/>
      <c r="E37" s="889"/>
      <c r="F37" s="889"/>
      <c r="G37" s="889"/>
      <c r="H37" s="890"/>
      <c r="I37" s="890"/>
      <c r="J37" s="890"/>
      <c r="K37" s="890"/>
      <c r="L37" s="890"/>
      <c r="M37" s="890"/>
      <c r="N37" s="890"/>
      <c r="O37" s="890"/>
      <c r="P37" s="891"/>
      <c r="Q37" s="864"/>
      <c r="R37" s="611">
        <v>0</v>
      </c>
      <c r="S37" s="610"/>
      <c r="T37" s="609"/>
      <c r="U37" s="610"/>
      <c r="V37" s="609"/>
      <c r="W37" s="609"/>
      <c r="X37" s="609"/>
      <c r="Y37" s="609"/>
      <c r="Z37" s="609"/>
      <c r="AA37" s="609"/>
      <c r="AB37" s="609"/>
      <c r="AC37" s="610"/>
      <c r="AD37" s="609"/>
      <c r="AE37" s="609"/>
      <c r="AF37" s="609"/>
      <c r="AG37" s="609"/>
      <c r="AH37" s="609"/>
      <c r="AI37" s="609"/>
      <c r="AJ37" s="609"/>
      <c r="AK37" s="609"/>
      <c r="AL37" s="609"/>
      <c r="AM37" s="609"/>
      <c r="AN37" s="609"/>
    </row>
    <row r="38" spans="1:40" s="453" customFormat="1" ht="12.75" customHeight="1">
      <c r="A38" s="761">
        <f t="shared" si="4"/>
        <v>2732</v>
      </c>
      <c r="B38" s="892" t="s">
        <v>77</v>
      </c>
      <c r="C38" s="784"/>
      <c r="D38" s="889"/>
      <c r="E38" s="784"/>
      <c r="F38" s="784"/>
      <c r="G38" s="784"/>
      <c r="H38" s="893"/>
      <c r="I38" s="893"/>
      <c r="J38" s="893"/>
      <c r="K38" s="893"/>
      <c r="L38" s="893"/>
      <c r="M38" s="893"/>
      <c r="N38" s="893"/>
      <c r="O38" s="893"/>
      <c r="P38" s="894"/>
      <c r="Q38" s="865"/>
      <c r="R38" s="607"/>
      <c r="S38" s="609"/>
      <c r="T38" s="609"/>
      <c r="U38" s="609"/>
      <c r="V38" s="609"/>
      <c r="W38" s="609"/>
      <c r="X38" s="609"/>
      <c r="Y38" s="609"/>
      <c r="Z38" s="609"/>
      <c r="AA38" s="609"/>
      <c r="AB38" s="609"/>
      <c r="AC38" s="609"/>
      <c r="AD38" s="609"/>
      <c r="AE38" s="609"/>
      <c r="AF38" s="609"/>
      <c r="AG38" s="609"/>
      <c r="AH38" s="609"/>
      <c r="AI38" s="609"/>
      <c r="AJ38" s="609"/>
      <c r="AK38" s="609"/>
      <c r="AL38" s="609"/>
      <c r="AM38" s="609"/>
      <c r="AN38" s="609"/>
    </row>
    <row r="39" spans="1:40" s="471" customFormat="1" ht="12.75" customHeight="1">
      <c r="A39" s="761">
        <f t="shared" si="4"/>
        <v>2733</v>
      </c>
      <c r="B39" s="852" t="str">
        <f>CONCATENATE("Totaal regel ",A36," -/- regel ",A37," + regel ",A38)</f>
        <v>Totaal regel 2730 -/- regel 2731 + regel 2732</v>
      </c>
      <c r="C39" s="842"/>
      <c r="D39" s="895"/>
      <c r="E39" s="895"/>
      <c r="F39" s="895"/>
      <c r="G39" s="895"/>
      <c r="H39" s="896"/>
      <c r="I39" s="896"/>
      <c r="J39" s="896"/>
      <c r="K39" s="896"/>
      <c r="L39" s="896"/>
      <c r="M39" s="896"/>
      <c r="N39" s="896"/>
      <c r="O39" s="896"/>
      <c r="P39" s="897"/>
      <c r="Q39" s="866"/>
      <c r="R39" s="863">
        <f>R36-R37+R38</f>
        <v>0</v>
      </c>
      <c r="S39" s="863">
        <f>S36-S37+S38</f>
        <v>0</v>
      </c>
      <c r="T39" s="863">
        <f>T36-T37+T38</f>
        <v>0</v>
      </c>
      <c r="U39" s="612"/>
      <c r="V39" s="612"/>
      <c r="W39" s="612"/>
      <c r="X39" s="612"/>
      <c r="Y39" s="612"/>
      <c r="Z39" s="612"/>
      <c r="AA39" s="612"/>
      <c r="AB39" s="612"/>
      <c r="AC39" s="612"/>
      <c r="AD39" s="612"/>
      <c r="AE39" s="612"/>
      <c r="AF39" s="612"/>
      <c r="AG39" s="612"/>
      <c r="AH39" s="612"/>
      <c r="AI39" s="612"/>
      <c r="AJ39" s="612"/>
      <c r="AK39" s="612"/>
      <c r="AL39" s="612"/>
      <c r="AM39" s="612"/>
      <c r="AN39" s="612"/>
    </row>
    <row r="40" spans="1:40" s="471" customFormat="1" ht="12.75" customHeight="1">
      <c r="A40" s="485" t="s">
        <v>659</v>
      </c>
      <c r="B40" s="1465"/>
      <c r="C40" s="1465"/>
      <c r="D40" s="1468"/>
      <c r="E40" s="1468"/>
      <c r="F40" s="1468"/>
      <c r="G40" s="1468"/>
      <c r="H40" s="1469"/>
      <c r="I40" s="1469"/>
      <c r="J40" s="1469"/>
      <c r="K40" s="1469"/>
      <c r="L40" s="1469"/>
      <c r="M40" s="1469"/>
      <c r="N40" s="1469"/>
      <c r="O40" s="1469"/>
      <c r="P40" s="1469"/>
      <c r="Q40" s="1470"/>
      <c r="R40" s="1471"/>
      <c r="S40" s="1471"/>
      <c r="T40" s="1471"/>
      <c r="U40" s="612"/>
      <c r="V40" s="612"/>
      <c r="W40" s="612"/>
      <c r="X40" s="612"/>
      <c r="Y40" s="612"/>
      <c r="Z40" s="612"/>
      <c r="AA40" s="612"/>
      <c r="AB40" s="612"/>
      <c r="AC40" s="612"/>
      <c r="AD40" s="612"/>
      <c r="AE40" s="612"/>
      <c r="AF40" s="612"/>
      <c r="AG40" s="612"/>
      <c r="AH40" s="612"/>
      <c r="AI40" s="612"/>
      <c r="AJ40" s="612"/>
      <c r="AK40" s="612"/>
      <c r="AL40" s="612"/>
      <c r="AM40" s="612"/>
      <c r="AN40" s="612"/>
    </row>
    <row r="41" spans="1:40" s="471" customFormat="1" ht="12.75" customHeight="1">
      <c r="A41" s="1829" t="s">
        <v>1059</v>
      </c>
      <c r="B41" s="1567"/>
      <c r="C41" s="1567"/>
      <c r="D41" s="1567"/>
      <c r="E41" s="1567"/>
      <c r="F41" s="1567"/>
      <c r="G41" s="1567"/>
      <c r="H41" s="1567"/>
      <c r="I41" s="1567"/>
      <c r="J41" s="1567"/>
      <c r="K41" s="1567"/>
      <c r="L41" s="1567"/>
      <c r="M41" s="1567"/>
      <c r="N41" s="1567"/>
      <c r="O41" s="1567"/>
      <c r="P41" s="1567"/>
      <c r="Q41" s="1567"/>
      <c r="R41" s="1567"/>
      <c r="S41" s="1567"/>
      <c r="T41" s="1567"/>
      <c r="U41" s="612"/>
      <c r="V41" s="612"/>
      <c r="W41" s="612"/>
      <c r="X41" s="612"/>
      <c r="Y41" s="612"/>
      <c r="Z41" s="612"/>
      <c r="AA41" s="612"/>
      <c r="AB41" s="612"/>
      <c r="AC41" s="612"/>
      <c r="AD41" s="612"/>
      <c r="AE41" s="612"/>
      <c r="AF41" s="612"/>
      <c r="AG41" s="612"/>
      <c r="AH41" s="612"/>
      <c r="AI41" s="612"/>
      <c r="AJ41" s="612"/>
      <c r="AK41" s="612"/>
      <c r="AL41" s="612"/>
      <c r="AM41" s="612"/>
      <c r="AN41" s="612"/>
    </row>
    <row r="42" spans="1:40" s="471" customFormat="1" ht="12.75" customHeight="1">
      <c r="A42" s="1567"/>
      <c r="B42" s="1567"/>
      <c r="C42" s="1567"/>
      <c r="D42" s="1567"/>
      <c r="E42" s="1567"/>
      <c r="F42" s="1567"/>
      <c r="G42" s="1567"/>
      <c r="H42" s="1567"/>
      <c r="I42" s="1567"/>
      <c r="J42" s="1567"/>
      <c r="K42" s="1567"/>
      <c r="L42" s="1567"/>
      <c r="M42" s="1567"/>
      <c r="N42" s="1567"/>
      <c r="O42" s="1567"/>
      <c r="P42" s="1567"/>
      <c r="Q42" s="1567"/>
      <c r="R42" s="1567"/>
      <c r="S42" s="1567"/>
      <c r="T42" s="1567"/>
      <c r="U42" s="612"/>
      <c r="V42" s="612"/>
      <c r="W42" s="612"/>
      <c r="X42" s="612"/>
      <c r="Y42" s="612"/>
      <c r="Z42" s="612"/>
      <c r="AA42" s="612"/>
      <c r="AB42" s="612"/>
      <c r="AC42" s="612"/>
      <c r="AD42" s="612"/>
      <c r="AE42" s="612"/>
      <c r="AF42" s="612"/>
      <c r="AG42" s="612"/>
      <c r="AH42" s="612"/>
      <c r="AI42" s="612"/>
      <c r="AJ42" s="612"/>
      <c r="AK42" s="612"/>
      <c r="AL42" s="612"/>
      <c r="AM42" s="612"/>
      <c r="AN42" s="612"/>
    </row>
    <row r="43" spans="1:40" s="471" customFormat="1" ht="12.75" customHeight="1">
      <c r="A43" s="1567"/>
      <c r="B43" s="1567"/>
      <c r="C43" s="1567"/>
      <c r="D43" s="1567"/>
      <c r="E43" s="1567"/>
      <c r="F43" s="1567"/>
      <c r="G43" s="1567"/>
      <c r="H43" s="1567"/>
      <c r="I43" s="1567"/>
      <c r="J43" s="1567"/>
      <c r="K43" s="1567"/>
      <c r="L43" s="1567"/>
      <c r="M43" s="1567"/>
      <c r="N43" s="1567"/>
      <c r="O43" s="1567"/>
      <c r="P43" s="1567"/>
      <c r="Q43" s="1567"/>
      <c r="R43" s="1567"/>
      <c r="S43" s="1567"/>
      <c r="T43" s="1567"/>
      <c r="U43" s="612"/>
      <c r="V43" s="612"/>
      <c r="W43" s="612"/>
      <c r="X43" s="612"/>
      <c r="Y43" s="612"/>
      <c r="Z43" s="612"/>
      <c r="AA43" s="612"/>
      <c r="AB43" s="612"/>
      <c r="AC43" s="612"/>
      <c r="AD43" s="612"/>
      <c r="AE43" s="612"/>
      <c r="AF43" s="612"/>
      <c r="AG43" s="612"/>
      <c r="AH43" s="612"/>
      <c r="AI43" s="612"/>
      <c r="AJ43" s="612"/>
      <c r="AK43" s="612"/>
      <c r="AL43" s="612"/>
      <c r="AM43" s="612"/>
      <c r="AN43" s="612"/>
    </row>
    <row r="44" spans="2:18" s="453" customFormat="1" ht="12.75" customHeight="1">
      <c r="B44" s="451"/>
      <c r="C44" s="451"/>
      <c r="D44" s="1508"/>
      <c r="E44" s="451"/>
      <c r="F44" s="451"/>
      <c r="G44" s="451"/>
      <c r="H44" s="516"/>
      <c r="I44" s="516"/>
      <c r="J44" s="516"/>
      <c r="K44" s="516"/>
      <c r="L44" s="516"/>
      <c r="M44" s="516"/>
      <c r="N44" s="516"/>
      <c r="O44" s="516"/>
      <c r="P44" s="516"/>
      <c r="Q44" s="516"/>
      <c r="R44" s="504"/>
    </row>
    <row r="45" spans="4:27" ht="15.75" customHeight="1">
      <c r="D45" s="436"/>
      <c r="E45" s="436"/>
      <c r="F45" s="436"/>
      <c r="G45" s="436"/>
      <c r="S45" s="436"/>
      <c r="U45" s="441"/>
      <c r="V45" s="442"/>
      <c r="W45" s="441"/>
      <c r="X45" s="441"/>
      <c r="Y45" s="441"/>
      <c r="Z45" s="441"/>
      <c r="AA45" s="441"/>
    </row>
    <row r="46" spans="1:27" s="446" customFormat="1" ht="15.75" customHeight="1">
      <c r="A46" s="6" t="str">
        <f>A2</f>
        <v>Bijlage F bij het nacalculatieformulier 2005 GGZ-instellingen</v>
      </c>
      <c r="B46" s="7"/>
      <c r="C46" s="7"/>
      <c r="D46" s="7"/>
      <c r="E46" s="7"/>
      <c r="F46" s="7"/>
      <c r="G46" s="7"/>
      <c r="H46" s="8"/>
      <c r="I46" s="685"/>
      <c r="J46" s="8"/>
      <c r="K46" s="8"/>
      <c r="L46" s="685"/>
      <c r="M46" s="685"/>
      <c r="N46" s="8"/>
      <c r="O46" s="685"/>
      <c r="P46" s="685"/>
      <c r="Q46" s="8"/>
      <c r="R46" s="443"/>
      <c r="S46" s="685"/>
      <c r="T46" s="1262">
        <f>T2+1</f>
        <v>28</v>
      </c>
      <c r="U46" s="447"/>
      <c r="V46" s="448"/>
      <c r="W46" s="447"/>
      <c r="X46" s="447"/>
      <c r="Y46" s="447"/>
      <c r="Z46" s="447"/>
      <c r="AA46" s="447"/>
    </row>
    <row r="47" spans="1:19" s="453" customFormat="1" ht="12.75" customHeight="1">
      <c r="A47" s="671"/>
      <c r="B47" s="718"/>
      <c r="C47" s="718"/>
      <c r="D47" s="167"/>
      <c r="E47" s="718"/>
      <c r="F47" s="718"/>
      <c r="G47" s="718"/>
      <c r="H47" s="168"/>
      <c r="I47" s="168"/>
      <c r="J47" s="168"/>
      <c r="K47" s="168"/>
      <c r="L47" s="168"/>
      <c r="M47" s="168"/>
      <c r="N47" s="168"/>
      <c r="O47" s="168"/>
      <c r="P47" s="168"/>
      <c r="Q47" s="168"/>
      <c r="R47" s="168"/>
      <c r="S47" s="603"/>
    </row>
    <row r="48" spans="1:2" s="453" customFormat="1" ht="12.75" customHeight="1">
      <c r="A48" s="703"/>
      <c r="B48" s="721" t="s">
        <v>1435</v>
      </c>
    </row>
    <row r="49" spans="1:19" s="453" customFormat="1" ht="12.75" customHeight="1">
      <c r="A49" s="703"/>
      <c r="B49" s="1181" t="s">
        <v>1354</v>
      </c>
      <c r="C49" s="681"/>
      <c r="D49" s="1182"/>
      <c r="E49" s="1183"/>
      <c r="F49" s="1184"/>
      <c r="G49" s="1184"/>
      <c r="H49" s="1185"/>
      <c r="I49" s="1185"/>
      <c r="J49" s="1185"/>
      <c r="K49" s="1185"/>
      <c r="L49" s="1185"/>
      <c r="M49" s="1185"/>
      <c r="N49" s="1185"/>
      <c r="O49" s="1185"/>
      <c r="P49" s="1185"/>
      <c r="Q49" s="1186"/>
      <c r="R49" s="1089" t="s">
        <v>974</v>
      </c>
      <c r="S49" s="1089" t="s">
        <v>1349</v>
      </c>
    </row>
    <row r="50" spans="1:19" s="517" customFormat="1" ht="12.75" customHeight="1">
      <c r="A50" s="174"/>
      <c r="B50" s="1187"/>
      <c r="C50" s="1188"/>
      <c r="D50" s="1189"/>
      <c r="E50" s="1190"/>
      <c r="F50" s="1191"/>
      <c r="G50" s="1191"/>
      <c r="H50" s="1190"/>
      <c r="I50" s="1827"/>
      <c r="J50" s="1828"/>
      <c r="K50" s="1827"/>
      <c r="L50" s="1828"/>
      <c r="M50" s="1828"/>
      <c r="N50" s="1828"/>
      <c r="O50" s="1828"/>
      <c r="P50" s="1828"/>
      <c r="Q50" s="1192"/>
      <c r="R50" s="1194"/>
      <c r="S50" s="1157" t="s">
        <v>1350</v>
      </c>
    </row>
    <row r="51" spans="1:28" s="517" customFormat="1" ht="12.75" customHeight="1">
      <c r="A51" s="867">
        <f aca="true" t="shared" si="15" ref="A51:A70">A7</f>
        <v>2701</v>
      </c>
      <c r="B51" s="1830">
        <f>IF(I7=0,H7,(((DATE(Voorblad!$E$3,K7,J7)-DATE(Voorblad!$E$3,1,1))*H7)/Voorblad!M$3))</f>
        <v>0</v>
      </c>
      <c r="C51" s="1830"/>
      <c r="D51" s="1821">
        <f>IF(K7=0,0,(IF(L7=0,((DATE(Voorblad!E$3+1,1,1)-DATE(Voorblad!$E$3,(K7),J7))*(H7-(1*I7)))/Voorblad!M$3,((DATE(Voorblad!$E$3,(L7),J7)-DATE(Voorblad!$E$3,(K7),J7))*(H7-(1*I7)))/Voorblad!M$3)))</f>
        <v>0</v>
      </c>
      <c r="E51" s="1821"/>
      <c r="F51" s="1821">
        <f>IF(L7=0,0,(IF(M7=0,((DATE(Voorblad!E$3+1,1,1)-DATE(Voorblad!$E$3,(L7),J7))*(H7-(2*I7)))/365,((DATE(Voorblad!$E$3,(M7),J7)-DATE(Voorblad!$E$3,(L7),J7))*(H7-(2*I7)))/Voorblad!M$3)))</f>
        <v>0</v>
      </c>
      <c r="G51" s="1821"/>
      <c r="H51" s="1179">
        <f>IF(M7=0,0,(IF(N7=0,((DATE(Voorblad!E$3+1,1,1)-DATE(Voorblad!$E$3,(M7),J7))*(H7-(3*I7)))/Voorblad!M$3,((DATE(Voorblad!$E$3,(N7),J7)-DATE(Voorblad!$E$3,(M7),J7))*(H7-(3*I7)))/Voorblad!M$3)))</f>
        <v>0</v>
      </c>
      <c r="I51" s="1821">
        <f>IF(N7=0,0,(IF(O7=0,((DATE(Voorblad!E$3+1,1,1)-DATE(Voorblad!$E$3,(N7),J7))*(H7-(4*I7)))/Voorblad!M$3,((DATE(Voorblad!$E$3,(O7),J7)-DATE(Voorblad!$E$3,(N7),J7))*(H7-(4*I7)))/Voorblad!M$3)))</f>
        <v>0</v>
      </c>
      <c r="J51" s="1821"/>
      <c r="K51" s="1821">
        <f>IF(O7=0,0,(IF(P7=0,((DATE(Voorblad!E$3+1,1,1)-DATE(Voorblad!$E$3,(O7),J7))*(H7-(5*I7)))/Voorblad!M$3,((DATE(Voorblad!$E$3,(P7),J7)-DATE(Voorblad!$E$3,(O7),J7))*(H7-(5*I7)))/Voorblad!M$3)))</f>
        <v>0</v>
      </c>
      <c r="L51" s="1821"/>
      <c r="M51" s="1821"/>
      <c r="N51" s="1821"/>
      <c r="O51" s="1821"/>
      <c r="P51" s="1821"/>
      <c r="Q51" s="1180">
        <f>IF(P7=0,0,((DATE(Voorblad!E$3+1,1,1)-DATE(Voorblad!$E$3,(P7),J7))*(H7-(6*I7)))/Voorblad!M$3)</f>
        <v>0</v>
      </c>
      <c r="R51" s="1193">
        <f aca="true" t="shared" si="16" ref="R51:R79">SUM(B51:Q51)</f>
        <v>0</v>
      </c>
      <c r="S51" s="1361">
        <f aca="true" t="shared" si="17" ref="S51:S79">IF(G7="n",R51*(F7/100),R51*(E7/100))</f>
        <v>0</v>
      </c>
      <c r="T51"/>
      <c r="U51"/>
      <c r="V51"/>
      <c r="W51"/>
      <c r="X51"/>
      <c r="Y51"/>
      <c r="Z51"/>
      <c r="AA51" s="518">
        <f aca="true" t="shared" si="18" ref="AA51:AA79">Q51</f>
        <v>0</v>
      </c>
      <c r="AB51" s="518">
        <f aca="true" t="shared" si="19" ref="AB51:AB79">L51</f>
        <v>0</v>
      </c>
    </row>
    <row r="52" spans="1:28" s="517" customFormat="1" ht="12.75" customHeight="1">
      <c r="A52" s="867">
        <f t="shared" si="15"/>
        <v>2702</v>
      </c>
      <c r="B52" s="1830">
        <f>IF(I8=0,H8,(((DATE(Voorblad!$E$3,K8,J8)-DATE(Voorblad!$E$3,1,1))*H8)/Voorblad!M$3))</f>
        <v>0</v>
      </c>
      <c r="C52" s="1830"/>
      <c r="D52" s="1821">
        <f>IF(K8=0,0,(IF(L8=0,((DATE(Voorblad!E$3+1,1,1)-DATE(Voorblad!$E$3,(K8),J8))*(H8-(1*I8)))/Voorblad!M$3,((DATE(Voorblad!$E$3,(L8),J8)-DATE(Voorblad!$E$3,(K8),J8))*(H8-(1*I8)))/Voorblad!M$3)))</f>
        <v>0</v>
      </c>
      <c r="E52" s="1821"/>
      <c r="F52" s="1821">
        <f>IF(L8=0,0,(IF(M8=0,((DATE(Voorblad!E$3+1,1,1)-DATE(Voorblad!$E$3,(L8),J8))*(H8-(2*I8)))/365,((DATE(Voorblad!$E$3,(M8),J8)-DATE(Voorblad!$E$3,(L8),J8))*(H8-(2*I8)))/Voorblad!M$3)))</f>
        <v>0</v>
      </c>
      <c r="G52" s="1821"/>
      <c r="H52" s="1179">
        <f>IF(M8=0,0,(IF(N8=0,((DATE(Voorblad!E$3+1,1,1)-DATE(Voorblad!$E$3,(M8),J8))*(H8-(3*I8)))/Voorblad!M$3,((DATE(Voorblad!$E$3,(N8),J8)-DATE(Voorblad!$E$3,(M8),J8))*(H8-(3*I8)))/Voorblad!M$3)))</f>
        <v>0</v>
      </c>
      <c r="I52" s="1821">
        <f>IF(N8=0,0,(IF(O8=0,((DATE(Voorblad!E$3+1,1,1)-DATE(Voorblad!$E$3,(N8),J8))*(H8-(4*I8)))/Voorblad!M$3,((DATE(Voorblad!$E$3,(O8),J8)-DATE(Voorblad!$E$3,(N8),J8))*(H8-(4*I8)))/Voorblad!M$3)))</f>
        <v>0</v>
      </c>
      <c r="J52" s="1821"/>
      <c r="K52" s="1821">
        <f>IF(O8=0,0,(IF(P8=0,((DATE(Voorblad!E$3+1,1,1)-DATE(Voorblad!$E$3,(O8),J8))*(H8-(5*I8)))/Voorblad!M$3,((DATE(Voorblad!$E$3,(P8),J8)-DATE(Voorblad!$E$3,(O8),J8))*(H8-(5*I8)))/Voorblad!M$3)))</f>
        <v>0</v>
      </c>
      <c r="L52" s="1821"/>
      <c r="M52" s="1821"/>
      <c r="N52" s="1821"/>
      <c r="O52" s="1821"/>
      <c r="P52" s="1821"/>
      <c r="Q52" s="1180">
        <f>IF(P8=0,0,((DATE(Voorblad!E$3+1,1,1)-DATE(Voorblad!$E$3,(P8),J8))*(H8-(6*I8)))/Voorblad!M$3)</f>
        <v>0</v>
      </c>
      <c r="R52" s="1193">
        <f t="shared" si="16"/>
        <v>0</v>
      </c>
      <c r="S52" s="1361">
        <f t="shared" si="17"/>
        <v>0</v>
      </c>
      <c r="T52"/>
      <c r="U52"/>
      <c r="V52"/>
      <c r="W52"/>
      <c r="X52"/>
      <c r="Y52"/>
      <c r="Z52"/>
      <c r="AA52" s="518">
        <f t="shared" si="18"/>
        <v>0</v>
      </c>
      <c r="AB52" s="518">
        <f t="shared" si="19"/>
        <v>0</v>
      </c>
    </row>
    <row r="53" spans="1:28" s="517" customFormat="1" ht="12.75" customHeight="1">
      <c r="A53" s="867">
        <f t="shared" si="15"/>
        <v>2703</v>
      </c>
      <c r="B53" s="1830">
        <f>IF(I9=0,H9,(((DATE(Voorblad!$E$3,K9,J9)-DATE(Voorblad!$E$3,1,1))*H9)/Voorblad!M$3))</f>
        <v>0</v>
      </c>
      <c r="C53" s="1830"/>
      <c r="D53" s="1821">
        <f>IF(K9=0,0,(IF(L9=0,((DATE(Voorblad!E$3+1,1,1)-DATE(Voorblad!$E$3,(K9),J9))*(H9-(1*I9)))/Voorblad!M$3,((DATE(Voorblad!$E$3,(L9),J9)-DATE(Voorblad!$E$3,(K9),J9))*(H9-(1*I9)))/Voorblad!M$3)))</f>
        <v>0</v>
      </c>
      <c r="E53" s="1821"/>
      <c r="F53" s="1821">
        <f>IF(L9=0,0,(IF(M9=0,((DATE(Voorblad!E$3+1,1,1)-DATE(Voorblad!$E$3,(L9),J9))*(H9-(2*I9)))/365,((DATE(Voorblad!$E$3,(M9),J9)-DATE(Voorblad!$E$3,(L9),J9))*(H9-(2*I9)))/Voorblad!M$3)))</f>
        <v>0</v>
      </c>
      <c r="G53" s="1821"/>
      <c r="H53" s="1179">
        <f>IF(M9=0,0,(IF(N9=0,((DATE(Voorblad!E$3+1,1,1)-DATE(Voorblad!$E$3,(M9),J9))*(H9-(3*I9)))/Voorblad!M$3,((DATE(Voorblad!$E$3,(N9),J9)-DATE(Voorblad!$E$3,(M9),J9))*(H9-(3*I9)))/Voorblad!M$3)))</f>
        <v>0</v>
      </c>
      <c r="I53" s="1821">
        <f>IF(N9=0,0,(IF(O9=0,((DATE(Voorblad!E$3+1,1,1)-DATE(Voorblad!$E$3,(N9),J9))*(H9-(4*I9)))/Voorblad!M$3,((DATE(Voorblad!$E$3,(O9),J9)-DATE(Voorblad!$E$3,(N9),J9))*(H9-(4*I9)))/Voorblad!M$3)))</f>
        <v>0</v>
      </c>
      <c r="J53" s="1821"/>
      <c r="K53" s="1821">
        <f>IF(O9=0,0,(IF(P9=0,((DATE(Voorblad!E$3+1,1,1)-DATE(Voorblad!$E$3,(O9),J9))*(H9-(5*I9)))/Voorblad!M$3,((DATE(Voorblad!$E$3,(P9),J9)-DATE(Voorblad!$E$3,(O9),J9))*(H9-(5*I9)))/Voorblad!M$3)))</f>
        <v>0</v>
      </c>
      <c r="L53" s="1821"/>
      <c r="M53" s="1821"/>
      <c r="N53" s="1821"/>
      <c r="O53" s="1821"/>
      <c r="P53" s="1821"/>
      <c r="Q53" s="1180">
        <f>IF(P9=0,0,((DATE(Voorblad!E$3+1,1,1)-DATE(Voorblad!$E$3,(P9),J9))*(H9-(6*I9)))/Voorblad!M$3)</f>
        <v>0</v>
      </c>
      <c r="R53" s="1193">
        <f t="shared" si="16"/>
        <v>0</v>
      </c>
      <c r="S53" s="1361">
        <f t="shared" si="17"/>
        <v>0</v>
      </c>
      <c r="T53"/>
      <c r="U53"/>
      <c r="V53"/>
      <c r="W53"/>
      <c r="X53"/>
      <c r="Y53"/>
      <c r="Z53"/>
      <c r="AA53" s="518">
        <f t="shared" si="18"/>
        <v>0</v>
      </c>
      <c r="AB53" s="518">
        <f t="shared" si="19"/>
        <v>0</v>
      </c>
    </row>
    <row r="54" spans="1:28" s="517" customFormat="1" ht="12.75" customHeight="1">
      <c r="A54" s="867">
        <f t="shared" si="15"/>
        <v>2704</v>
      </c>
      <c r="B54" s="1830">
        <f>IF(I10=0,H10,(((DATE(Voorblad!$E$3,K10,J10)-DATE(Voorblad!$E$3,1,1))*H10)/Voorblad!M$3))</f>
        <v>0</v>
      </c>
      <c r="C54" s="1830"/>
      <c r="D54" s="1821">
        <f>IF(K10=0,0,(IF(L10=0,((DATE(Voorblad!E$3+1,1,1)-DATE(Voorblad!$E$3,(K10),J10))*(H10-(1*I10)))/Voorblad!M$3,((DATE(Voorblad!$E$3,(L10),J10)-DATE(Voorblad!$E$3,(K10),J10))*(H10-(1*I10)))/Voorblad!M$3)))</f>
        <v>0</v>
      </c>
      <c r="E54" s="1821"/>
      <c r="F54" s="1821">
        <f>IF(L10=0,0,(IF(M10=0,((DATE(Voorblad!E$3+1,1,1)-DATE(Voorblad!$E$3,(L10),J10))*(H10-(2*I10)))/365,((DATE(Voorblad!$E$3,(M10),J10)-DATE(Voorblad!$E$3,(L10),J10))*(H10-(2*I10)))/Voorblad!M$3)))</f>
        <v>0</v>
      </c>
      <c r="G54" s="1821"/>
      <c r="H54" s="1179">
        <f>IF(M10=0,0,(IF(N10=0,((DATE(Voorblad!E$3+1,1,1)-DATE(Voorblad!$E$3,(M10),J10))*(H10-(3*I10)))/Voorblad!M$3,((DATE(Voorblad!$E$3,(N10),J10)-DATE(Voorblad!$E$3,(M10),J10))*(H10-(3*I10)))/Voorblad!M$3)))</f>
        <v>0</v>
      </c>
      <c r="I54" s="1821">
        <f>IF(N10=0,0,(IF(O10=0,((DATE(Voorblad!E$3+1,1,1)-DATE(Voorblad!$E$3,(N10),J10))*(H10-(4*I10)))/Voorblad!M$3,((DATE(Voorblad!$E$3,(O10),J10)-DATE(Voorblad!$E$3,(N10),J10))*(H10-(4*I10)))/Voorblad!M$3)))</f>
        <v>0</v>
      </c>
      <c r="J54" s="1821"/>
      <c r="K54" s="1821">
        <f>IF(O10=0,0,(IF(P10=0,((DATE(Voorblad!E$3+1,1,1)-DATE(Voorblad!$E$3,(O10),J10))*(H10-(5*I10)))/Voorblad!M$3,((DATE(Voorblad!$E$3,(P10),J10)-DATE(Voorblad!$E$3,(O10),J10))*(H10-(5*I10)))/Voorblad!M$3)))</f>
        <v>0</v>
      </c>
      <c r="L54" s="1821"/>
      <c r="M54" s="1821"/>
      <c r="N54" s="1821"/>
      <c r="O54" s="1821"/>
      <c r="P54" s="1821"/>
      <c r="Q54" s="1180">
        <f>IF(P10=0,0,((DATE(Voorblad!E$3+1,1,1)-DATE(Voorblad!$E$3,(P10),J10))*(H10-(6*I10)))/Voorblad!M$3)</f>
        <v>0</v>
      </c>
      <c r="R54" s="1193">
        <f t="shared" si="16"/>
        <v>0</v>
      </c>
      <c r="S54" s="1361">
        <f t="shared" si="17"/>
        <v>0</v>
      </c>
      <c r="T54"/>
      <c r="U54"/>
      <c r="V54"/>
      <c r="W54"/>
      <c r="X54"/>
      <c r="Y54"/>
      <c r="Z54"/>
      <c r="AA54" s="518">
        <f t="shared" si="18"/>
        <v>0</v>
      </c>
      <c r="AB54" s="518">
        <f t="shared" si="19"/>
        <v>0</v>
      </c>
    </row>
    <row r="55" spans="1:28" s="517" customFormat="1" ht="12.75" customHeight="1">
      <c r="A55" s="867">
        <f t="shared" si="15"/>
        <v>2705</v>
      </c>
      <c r="B55" s="1830">
        <f>IF(I11=0,H11,(((DATE(Voorblad!$E$3,K11,J11)-DATE(Voorblad!$E$3,1,1))*H11)/Voorblad!M$3))</f>
        <v>0</v>
      </c>
      <c r="C55" s="1830"/>
      <c r="D55" s="1821">
        <f>IF(K11=0,0,(IF(L11=0,((DATE(Voorblad!E$3+1,1,1)-DATE(Voorblad!$E$3,(K11),J11))*(H11-(1*I11)))/Voorblad!M$3,((DATE(Voorblad!$E$3,(L11),J11)-DATE(Voorblad!$E$3,(K11),J11))*(H11-(1*I11)))/Voorblad!M$3)))</f>
        <v>0</v>
      </c>
      <c r="E55" s="1821"/>
      <c r="F55" s="1821">
        <f>IF(L11=0,0,(IF(M11=0,((DATE(Voorblad!E$3+1,1,1)-DATE(Voorblad!$E$3,(L11),J11))*(H11-(2*I11)))/365,((DATE(Voorblad!$E$3,(M11),J11)-DATE(Voorblad!$E$3,(L11),J11))*(H11-(2*I11)))/Voorblad!M$3)))</f>
        <v>0</v>
      </c>
      <c r="G55" s="1821"/>
      <c r="H55" s="1179">
        <f>IF(M11=0,0,(IF(N11=0,((DATE(Voorblad!E$3+1,1,1)-DATE(Voorblad!$E$3,(M11),J11))*(H11-(3*I11)))/Voorblad!M$3,((DATE(Voorblad!$E$3,(N11),J11)-DATE(Voorblad!$E$3,(M11),J11))*(H11-(3*I11)))/Voorblad!M$3)))</f>
        <v>0</v>
      </c>
      <c r="I55" s="1821">
        <f>IF(N11=0,0,(IF(O11=0,((DATE(Voorblad!E$3+1,1,1)-DATE(Voorblad!$E$3,(N11),J11))*(H11-(4*I11)))/Voorblad!M$3,((DATE(Voorblad!$E$3,(O11),J11)-DATE(Voorblad!$E$3,(N11),J11))*(H11-(4*I11)))/Voorblad!M$3)))</f>
        <v>0</v>
      </c>
      <c r="J55" s="1821"/>
      <c r="K55" s="1821">
        <f>IF(O11=0,0,(IF(P11=0,((DATE(Voorblad!E$3+1,1,1)-DATE(Voorblad!$E$3,(O11),J11))*(H11-(5*I11)))/Voorblad!M$3,((DATE(Voorblad!$E$3,(P11),J11)-DATE(Voorblad!$E$3,(O11),J11))*(H11-(5*I11)))/Voorblad!M$3)))</f>
        <v>0</v>
      </c>
      <c r="L55" s="1821"/>
      <c r="M55" s="1821"/>
      <c r="N55" s="1821"/>
      <c r="O55" s="1821"/>
      <c r="P55" s="1821"/>
      <c r="Q55" s="1180">
        <f>IF(P11=0,0,((DATE(Voorblad!E$3+1,1,1)-DATE(Voorblad!$E$3,(P11),J11))*(H11-(6*I11)))/Voorblad!M$3)</f>
        <v>0</v>
      </c>
      <c r="R55" s="1193">
        <f t="shared" si="16"/>
        <v>0</v>
      </c>
      <c r="S55" s="1361">
        <f t="shared" si="17"/>
        <v>0</v>
      </c>
      <c r="T55"/>
      <c r="U55"/>
      <c r="V55"/>
      <c r="W55"/>
      <c r="X55"/>
      <c r="Y55"/>
      <c r="Z55"/>
      <c r="AA55" s="518">
        <f t="shared" si="18"/>
        <v>0</v>
      </c>
      <c r="AB55" s="518">
        <f t="shared" si="19"/>
        <v>0</v>
      </c>
    </row>
    <row r="56" spans="1:28" s="517" customFormat="1" ht="12.75" customHeight="1">
      <c r="A56" s="867">
        <f t="shared" si="15"/>
        <v>2706</v>
      </c>
      <c r="B56" s="1830">
        <f>IF(I12=0,H12,(((DATE(Voorblad!$E$3,K12,J12)-DATE(Voorblad!$E$3,1,1))*H12)/Voorblad!M$3))</f>
        <v>0</v>
      </c>
      <c r="C56" s="1830"/>
      <c r="D56" s="1821">
        <f>IF(K12=0,0,(IF(L12=0,((DATE(Voorblad!E$3+1,1,1)-DATE(Voorblad!$E$3,(K12),J12))*(H12-(1*I12)))/Voorblad!M$3,((DATE(Voorblad!$E$3,(L12),J12)-DATE(Voorblad!$E$3,(K12),J12))*(H12-(1*I12)))/Voorblad!M$3)))</f>
        <v>0</v>
      </c>
      <c r="E56" s="1821"/>
      <c r="F56" s="1821">
        <f>IF(L12=0,0,(IF(M12=0,((DATE(Voorblad!E$3+1,1,1)-DATE(Voorblad!$E$3,(L12),J12))*(H12-(2*I12)))/365,((DATE(Voorblad!$E$3,(M12),J12)-DATE(Voorblad!$E$3,(L12),J12))*(H12-(2*I12)))/Voorblad!M$3)))</f>
        <v>0</v>
      </c>
      <c r="G56" s="1821"/>
      <c r="H56" s="1179">
        <f>IF(M12=0,0,(IF(N12=0,((DATE(Voorblad!E$3+1,1,1)-DATE(Voorblad!$E$3,(M12),J12))*(H12-(3*I12)))/Voorblad!M$3,((DATE(Voorblad!$E$3,(N12),J12)-DATE(Voorblad!$E$3,(M12),J12))*(H12-(3*I12)))/Voorblad!M$3)))</f>
        <v>0</v>
      </c>
      <c r="I56" s="1821">
        <f>IF(N12=0,0,(IF(O12=0,((DATE(Voorblad!E$3+1,1,1)-DATE(Voorblad!$E$3,(N12),J12))*(H12-(4*I12)))/Voorblad!M$3,((DATE(Voorblad!$E$3,(O12),J12)-DATE(Voorblad!$E$3,(N12),J12))*(H12-(4*I12)))/Voorblad!M$3)))</f>
        <v>0</v>
      </c>
      <c r="J56" s="1821"/>
      <c r="K56" s="1821">
        <f>IF(O12=0,0,(IF(P12=0,((DATE(Voorblad!E$3+1,1,1)-DATE(Voorblad!$E$3,(O12),J12))*(H12-(5*I12)))/Voorblad!M$3,((DATE(Voorblad!$E$3,(P12),J12)-DATE(Voorblad!$E$3,(O12),J12))*(H12-(5*I12)))/Voorblad!M$3)))</f>
        <v>0</v>
      </c>
      <c r="L56" s="1821"/>
      <c r="M56" s="1821"/>
      <c r="N56" s="1821"/>
      <c r="O56" s="1821"/>
      <c r="P56" s="1821"/>
      <c r="Q56" s="1180">
        <f>IF(P12=0,0,((DATE(Voorblad!E$3+1,1,1)-DATE(Voorblad!$E$3,(P12),J12))*(H12-(6*I12)))/Voorblad!M$3)</f>
        <v>0</v>
      </c>
      <c r="R56" s="1193">
        <f t="shared" si="16"/>
        <v>0</v>
      </c>
      <c r="S56" s="1361">
        <f t="shared" si="17"/>
        <v>0</v>
      </c>
      <c r="T56"/>
      <c r="U56"/>
      <c r="V56"/>
      <c r="W56"/>
      <c r="X56"/>
      <c r="Y56"/>
      <c r="Z56"/>
      <c r="AA56" s="518">
        <f>Q56</f>
        <v>0</v>
      </c>
      <c r="AB56" s="518">
        <f>L56</f>
        <v>0</v>
      </c>
    </row>
    <row r="57" spans="1:28" s="517" customFormat="1" ht="12.75" customHeight="1">
      <c r="A57" s="867">
        <f t="shared" si="15"/>
        <v>2707</v>
      </c>
      <c r="B57" s="1830">
        <f>IF(I13=0,H13,(((DATE(Voorblad!$E$3,K13,J13)-DATE(Voorblad!$E$3,1,1))*H13)/Voorblad!M$3))</f>
        <v>0</v>
      </c>
      <c r="C57" s="1830"/>
      <c r="D57" s="1821">
        <f>IF(K13=0,0,(IF(L13=0,((DATE(Voorblad!E$3+1,1,1)-DATE(Voorblad!$E$3,(K13),J13))*(H13-(1*I13)))/Voorblad!M$3,((DATE(Voorblad!$E$3,(L13),J13)-DATE(Voorblad!$E$3,(K13),J13))*(H13-(1*I13)))/Voorblad!M$3)))</f>
        <v>0</v>
      </c>
      <c r="E57" s="1821"/>
      <c r="F57" s="1821">
        <f>IF(L13=0,0,(IF(M13=0,((DATE(Voorblad!E$3+1,1,1)-DATE(Voorblad!$E$3,(L13),J13))*(H13-(2*I13)))/365,((DATE(Voorblad!$E$3,(M13),J13)-DATE(Voorblad!$E$3,(L13),J13))*(H13-(2*I13)))/Voorblad!M$3)))</f>
        <v>0</v>
      </c>
      <c r="G57" s="1821"/>
      <c r="H57" s="1179">
        <f>IF(M13=0,0,(IF(N13=0,((DATE(Voorblad!E$3+1,1,1)-DATE(Voorblad!$E$3,(M13),J13))*(H13-(3*I13)))/Voorblad!M$3,((DATE(Voorblad!$E$3,(N13),J13)-DATE(Voorblad!$E$3,(M13),J13))*(H13-(3*I13)))/Voorblad!M$3)))</f>
        <v>0</v>
      </c>
      <c r="I57" s="1821">
        <f>IF(N13=0,0,(IF(O13=0,((DATE(Voorblad!E$3+1,1,1)-DATE(Voorblad!$E$3,(N13),J13))*(H13-(4*I13)))/Voorblad!M$3,((DATE(Voorblad!$E$3,(O13),J13)-DATE(Voorblad!$E$3,(N13),J13))*(H13-(4*I13)))/Voorblad!M$3)))</f>
        <v>0</v>
      </c>
      <c r="J57" s="1821"/>
      <c r="K57" s="1821">
        <f>IF(O13=0,0,(IF(P13=0,((DATE(Voorblad!E$3+1,1,1)-DATE(Voorblad!$E$3,(O13),J13))*(H13-(5*I13)))/Voorblad!M$3,((DATE(Voorblad!$E$3,(P13),J13)-DATE(Voorblad!$E$3,(O13),J13))*(H13-(5*I13)))/Voorblad!M$3)))</f>
        <v>0</v>
      </c>
      <c r="L57" s="1821"/>
      <c r="M57" s="1821"/>
      <c r="N57" s="1821"/>
      <c r="O57" s="1821"/>
      <c r="P57" s="1821"/>
      <c r="Q57" s="1180">
        <f>IF(P13=0,0,((DATE(Voorblad!E$3+1,1,1)-DATE(Voorblad!$E$3,(P13),J13))*(H13-(6*I13)))/Voorblad!M$3)</f>
        <v>0</v>
      </c>
      <c r="R57" s="1193">
        <f t="shared" si="16"/>
        <v>0</v>
      </c>
      <c r="S57" s="1361">
        <f t="shared" si="17"/>
        <v>0</v>
      </c>
      <c r="T57"/>
      <c r="U57"/>
      <c r="V57"/>
      <c r="W57"/>
      <c r="X57"/>
      <c r="Y57"/>
      <c r="Z57"/>
      <c r="AA57" s="518">
        <f>Q57</f>
        <v>0</v>
      </c>
      <c r="AB57" s="518">
        <f>L57</f>
        <v>0</v>
      </c>
    </row>
    <row r="58" spans="1:28" s="517" customFormat="1" ht="12.75" customHeight="1">
      <c r="A58" s="867">
        <f t="shared" si="15"/>
        <v>2708</v>
      </c>
      <c r="B58" s="1830">
        <f>IF(I14=0,H14,(((DATE(Voorblad!$E$3,K14,J14)-DATE(Voorblad!$E$3,1,1))*H14)/Voorblad!M$3))</f>
        <v>0</v>
      </c>
      <c r="C58" s="1830"/>
      <c r="D58" s="1821">
        <f>IF(K14=0,0,(IF(L14=0,((DATE(Voorblad!E$3+1,1,1)-DATE(Voorblad!$E$3,(K14),J14))*(H14-(1*I14)))/Voorblad!M$3,((DATE(Voorblad!$E$3,(L14),J14)-DATE(Voorblad!$E$3,(K14),J14))*(H14-(1*I14)))/Voorblad!M$3)))</f>
        <v>0</v>
      </c>
      <c r="E58" s="1821"/>
      <c r="F58" s="1821">
        <f>IF(L14=0,0,(IF(M14=0,((DATE(Voorblad!E$3+1,1,1)-DATE(Voorblad!$E$3,(L14),J14))*(H14-(2*I14)))/365,((DATE(Voorblad!$E$3,(M14),J14)-DATE(Voorblad!$E$3,(L14),J14))*(H14-(2*I14)))/Voorblad!M$3)))</f>
        <v>0</v>
      </c>
      <c r="G58" s="1821"/>
      <c r="H58" s="1179">
        <f>IF(M14=0,0,(IF(N14=0,((DATE(Voorblad!E$3+1,1,1)-DATE(Voorblad!$E$3,(M14),J14))*(H14-(3*I14)))/Voorblad!M$3,((DATE(Voorblad!$E$3,(N14),J14)-DATE(Voorblad!$E$3,(M14),J14))*(H14-(3*I14)))/Voorblad!M$3)))</f>
        <v>0</v>
      </c>
      <c r="I58" s="1821">
        <f>IF(N14=0,0,(IF(O14=0,((DATE(Voorblad!E$3+1,1,1)-DATE(Voorblad!$E$3,(N14),J14))*(H14-(4*I14)))/Voorblad!M$3,((DATE(Voorblad!$E$3,(O14),J14)-DATE(Voorblad!$E$3,(N14),J14))*(H14-(4*I14)))/Voorblad!M$3)))</f>
        <v>0</v>
      </c>
      <c r="J58" s="1821"/>
      <c r="K58" s="1821">
        <f>IF(O14=0,0,(IF(P14=0,((DATE(Voorblad!E$3+1,1,1)-DATE(Voorblad!$E$3,(O14),J14))*(H14-(5*I14)))/Voorblad!M$3,((DATE(Voorblad!$E$3,(P14),J14)-DATE(Voorblad!$E$3,(O14),J14))*(H14-(5*I14)))/Voorblad!M$3)))</f>
        <v>0</v>
      </c>
      <c r="L58" s="1821"/>
      <c r="M58" s="1821"/>
      <c r="N58" s="1821"/>
      <c r="O58" s="1821"/>
      <c r="P58" s="1821"/>
      <c r="Q58" s="1180">
        <f>IF(P14=0,0,((DATE(Voorblad!E$3+1,1,1)-DATE(Voorblad!$E$3,(P14),J14))*(H14-(6*I14)))/Voorblad!M$3)</f>
        <v>0</v>
      </c>
      <c r="R58" s="1193">
        <f t="shared" si="16"/>
        <v>0</v>
      </c>
      <c r="S58" s="1361">
        <f t="shared" si="17"/>
        <v>0</v>
      </c>
      <c r="T58"/>
      <c r="U58"/>
      <c r="V58"/>
      <c r="W58"/>
      <c r="X58"/>
      <c r="Y58"/>
      <c r="Z58"/>
      <c r="AA58" s="518">
        <f>Q58</f>
        <v>0</v>
      </c>
      <c r="AB58" s="518">
        <f>L58</f>
        <v>0</v>
      </c>
    </row>
    <row r="59" spans="1:28" s="517" customFormat="1" ht="12.75" customHeight="1">
      <c r="A59" s="867">
        <f t="shared" si="15"/>
        <v>2709</v>
      </c>
      <c r="B59" s="1830">
        <f>IF(I15=0,H15,(((DATE(Voorblad!$E$3,K15,J15)-DATE(Voorblad!$E$3,1,1))*H15)/Voorblad!M$3))</f>
        <v>0</v>
      </c>
      <c r="C59" s="1830"/>
      <c r="D59" s="1821">
        <f>IF(K15=0,0,(IF(L15=0,((DATE(Voorblad!E$3+1,1,1)-DATE(Voorblad!$E$3,(K15),J15))*(H15-(1*I15)))/Voorblad!M$3,((DATE(Voorblad!$E$3,(L15),J15)-DATE(Voorblad!$E$3,(K15),J15))*(H15-(1*I15)))/Voorblad!M$3)))</f>
        <v>0</v>
      </c>
      <c r="E59" s="1821"/>
      <c r="F59" s="1821">
        <f>IF(L15=0,0,(IF(M15=0,((DATE(Voorblad!E$3+1,1,1)-DATE(Voorblad!$E$3,(L15),J15))*(H15-(2*I15)))/365,((DATE(Voorblad!$E$3,(M15),J15)-DATE(Voorblad!$E$3,(L15),J15))*(H15-(2*I15)))/Voorblad!M$3)))</f>
        <v>0</v>
      </c>
      <c r="G59" s="1821"/>
      <c r="H59" s="1179">
        <f>IF(M15=0,0,(IF(N15=0,((DATE(Voorblad!E$3+1,1,1)-DATE(Voorblad!$E$3,(M15),J15))*(H15-(3*I15)))/Voorblad!M$3,((DATE(Voorblad!$E$3,(N15),J15)-DATE(Voorblad!$E$3,(M15),J15))*(H15-(3*I15)))/Voorblad!M$3)))</f>
        <v>0</v>
      </c>
      <c r="I59" s="1821">
        <f>IF(N15=0,0,(IF(O15=0,((DATE(Voorblad!E$3+1,1,1)-DATE(Voorblad!$E$3,(N15),J15))*(H15-(4*I15)))/Voorblad!M$3,((DATE(Voorblad!$E$3,(O15),J15)-DATE(Voorblad!$E$3,(N15),J15))*(H15-(4*I15)))/Voorblad!M$3)))</f>
        <v>0</v>
      </c>
      <c r="J59" s="1821"/>
      <c r="K59" s="1821">
        <f>IF(O15=0,0,(IF(P15=0,((DATE(Voorblad!E$3+1,1,1)-DATE(Voorblad!$E$3,(O15),J15))*(H15-(5*I15)))/Voorblad!M$3,((DATE(Voorblad!$E$3,(P15),J15)-DATE(Voorblad!$E$3,(O15),J15))*(H15-(5*I15)))/Voorblad!M$3)))</f>
        <v>0</v>
      </c>
      <c r="L59" s="1821"/>
      <c r="M59" s="1821"/>
      <c r="N59" s="1821"/>
      <c r="O59" s="1821"/>
      <c r="P59" s="1821"/>
      <c r="Q59" s="1180">
        <f>IF(P15=0,0,((DATE(Voorblad!E$3+1,1,1)-DATE(Voorblad!$E$3,(P15),J15))*(H15-(6*I15)))/Voorblad!M$3)</f>
        <v>0</v>
      </c>
      <c r="R59" s="1193">
        <f t="shared" si="16"/>
        <v>0</v>
      </c>
      <c r="S59" s="1361">
        <f t="shared" si="17"/>
        <v>0</v>
      </c>
      <c r="T59"/>
      <c r="U59"/>
      <c r="V59"/>
      <c r="W59"/>
      <c r="X59"/>
      <c r="Y59"/>
      <c r="Z59"/>
      <c r="AA59" s="518"/>
      <c r="AB59" s="518"/>
    </row>
    <row r="60" spans="1:28" s="517" customFormat="1" ht="12.75" customHeight="1">
      <c r="A60" s="867">
        <f t="shared" si="15"/>
        <v>2710</v>
      </c>
      <c r="B60" s="1830">
        <f>IF(I16=0,H16,(((DATE(Voorblad!$E$3,K16,J16)-DATE(Voorblad!$E$3,1,1))*H16)/Voorblad!M$3))</f>
        <v>0</v>
      </c>
      <c r="C60" s="1830"/>
      <c r="D60" s="1821">
        <f>IF(K16=0,0,(IF(L16=0,((DATE(Voorblad!E$3+1,1,1)-DATE(Voorblad!$E$3,(K16),J16))*(H16-(1*I16)))/Voorblad!M$3,((DATE(Voorblad!$E$3,(L16),J16)-DATE(Voorblad!$E$3,(K16),J16))*(H16-(1*I16)))/Voorblad!M$3)))</f>
        <v>0</v>
      </c>
      <c r="E60" s="1821"/>
      <c r="F60" s="1821">
        <f>IF(L16=0,0,(IF(M16=0,((DATE(Voorblad!E$3+1,1,1)-DATE(Voorblad!$E$3,(L16),J16))*(H16-(2*I16)))/365,((DATE(Voorblad!$E$3,(M16),J16)-DATE(Voorblad!$E$3,(L16),J16))*(H16-(2*I16)))/Voorblad!M$3)))</f>
        <v>0</v>
      </c>
      <c r="G60" s="1821"/>
      <c r="H60" s="1179">
        <f>IF(M16=0,0,(IF(N16=0,((DATE(Voorblad!E$3+1,1,1)-DATE(Voorblad!$E$3,(M16),J16))*(H16-(3*I16)))/Voorblad!M$3,((DATE(Voorblad!$E$3,(N16),J16)-DATE(Voorblad!$E$3,(M16),J16))*(H16-(3*I16)))/Voorblad!M$3)))</f>
        <v>0</v>
      </c>
      <c r="I60" s="1821">
        <f>IF(N16=0,0,(IF(O16=0,((DATE(Voorblad!E$3+1,1,1)-DATE(Voorblad!$E$3,(N16),J16))*(H16-(4*I16)))/Voorblad!M$3,((DATE(Voorblad!$E$3,(O16),J16)-DATE(Voorblad!$E$3,(N16),J16))*(H16-(4*I16)))/Voorblad!M$3)))</f>
        <v>0</v>
      </c>
      <c r="J60" s="1821"/>
      <c r="K60" s="1821">
        <f>IF(O16=0,0,(IF(P16=0,((DATE(Voorblad!E$3+1,1,1)-DATE(Voorblad!$E$3,(O16),J16))*(H16-(5*I16)))/Voorblad!M$3,((DATE(Voorblad!$E$3,(P16),J16)-DATE(Voorblad!$E$3,(O16),J16))*(H16-(5*I16)))/Voorblad!M$3)))</f>
        <v>0</v>
      </c>
      <c r="L60" s="1821"/>
      <c r="M60" s="1821"/>
      <c r="N60" s="1821"/>
      <c r="O60" s="1821"/>
      <c r="P60" s="1821"/>
      <c r="Q60" s="1180">
        <f>IF(P16=0,0,((DATE(Voorblad!E$3+1,1,1)-DATE(Voorblad!$E$3,(P16),J16))*(H16-(6*I16)))/Voorblad!M$3)</f>
        <v>0</v>
      </c>
      <c r="R60" s="1193">
        <f t="shared" si="16"/>
        <v>0</v>
      </c>
      <c r="S60" s="1361">
        <f t="shared" si="17"/>
        <v>0</v>
      </c>
      <c r="T60"/>
      <c r="U60"/>
      <c r="V60"/>
      <c r="W60"/>
      <c r="X60"/>
      <c r="Y60"/>
      <c r="Z60"/>
      <c r="AA60" s="518"/>
      <c r="AB60" s="518"/>
    </row>
    <row r="61" spans="1:28" s="517" customFormat="1" ht="12.75" customHeight="1">
      <c r="A61" s="867">
        <f t="shared" si="15"/>
        <v>2711</v>
      </c>
      <c r="B61" s="1830">
        <f>IF(I17=0,H17,(((DATE(Voorblad!$E$3,K17,J17)-DATE(Voorblad!$E$3,1,1))*H17)/Voorblad!M$3))</f>
        <v>0</v>
      </c>
      <c r="C61" s="1830"/>
      <c r="D61" s="1821">
        <f>IF(K17=0,0,(IF(L17=0,((DATE(Voorblad!E$3+1,1,1)-DATE(Voorblad!$E$3,(K17),J17))*(H17-(1*I17)))/Voorblad!M$3,((DATE(Voorblad!$E$3,(L17),J17)-DATE(Voorblad!$E$3,(K17),J17))*(H17-(1*I17)))/Voorblad!M$3)))</f>
        <v>0</v>
      </c>
      <c r="E61" s="1821"/>
      <c r="F61" s="1821">
        <f>IF(L17=0,0,(IF(M17=0,((DATE(Voorblad!E$3+1,1,1)-DATE(Voorblad!$E$3,(L17),J17))*(H17-(2*I17)))/365,((DATE(Voorblad!$E$3,(M17),J17)-DATE(Voorblad!$E$3,(L17),J17))*(H17-(2*I17)))/Voorblad!M$3)))</f>
        <v>0</v>
      </c>
      <c r="G61" s="1821"/>
      <c r="H61" s="1179">
        <f>IF(M17=0,0,(IF(N17=0,((DATE(Voorblad!E$3+1,1,1)-DATE(Voorblad!$E$3,(M17),J17))*(H17-(3*I17)))/Voorblad!M$3,((DATE(Voorblad!$E$3,(N17),J17)-DATE(Voorblad!$E$3,(M17),J17))*(H17-(3*I17)))/Voorblad!M$3)))</f>
        <v>0</v>
      </c>
      <c r="I61" s="1821">
        <f>IF(N17=0,0,(IF(O17=0,((DATE(Voorblad!E$3+1,1,1)-DATE(Voorblad!$E$3,(N17),J17))*(H17-(4*I17)))/Voorblad!M$3,((DATE(Voorblad!$E$3,(O17),J17)-DATE(Voorblad!$E$3,(N17),J17))*(H17-(4*I17)))/Voorblad!M$3)))</f>
        <v>0</v>
      </c>
      <c r="J61" s="1821"/>
      <c r="K61" s="1821">
        <f>IF(O17=0,0,(IF(P17=0,((DATE(Voorblad!E$3+1,1,1)-DATE(Voorblad!$E$3,(O17),J17))*(H17-(5*I17)))/Voorblad!M$3,((DATE(Voorblad!$E$3,(P17),J17)-DATE(Voorblad!$E$3,(O17),J17))*(H17-(5*I17)))/Voorblad!M$3)))</f>
        <v>0</v>
      </c>
      <c r="L61" s="1821"/>
      <c r="M61" s="1821"/>
      <c r="N61" s="1821"/>
      <c r="O61" s="1821"/>
      <c r="P61" s="1821"/>
      <c r="Q61" s="1180">
        <f>IF(P17=0,0,((DATE(Voorblad!E$3+1,1,1)-DATE(Voorblad!$E$3,(P17),J17))*(H17-(6*I17)))/Voorblad!M$3)</f>
        <v>0</v>
      </c>
      <c r="R61" s="1193">
        <f t="shared" si="16"/>
        <v>0</v>
      </c>
      <c r="S61" s="1361">
        <f t="shared" si="17"/>
        <v>0</v>
      </c>
      <c r="T61"/>
      <c r="U61"/>
      <c r="V61"/>
      <c r="W61"/>
      <c r="X61"/>
      <c r="Y61"/>
      <c r="Z61"/>
      <c r="AA61" s="518">
        <f t="shared" si="18"/>
        <v>0</v>
      </c>
      <c r="AB61" s="518">
        <f t="shared" si="19"/>
        <v>0</v>
      </c>
    </row>
    <row r="62" spans="1:28" s="517" customFormat="1" ht="12.75" customHeight="1">
      <c r="A62" s="867">
        <f t="shared" si="15"/>
        <v>2712</v>
      </c>
      <c r="B62" s="1830">
        <f>IF(I18=0,H18,(((DATE(Voorblad!$E$3,K18,J18)-DATE(Voorblad!$E$3,1,1))*H18)/Voorblad!M$3))</f>
        <v>0</v>
      </c>
      <c r="C62" s="1830"/>
      <c r="D62" s="1821">
        <f>IF(K18=0,0,(IF(L18=0,((DATE(Voorblad!E$3+1,1,1)-DATE(Voorblad!$E$3,(K18),J18))*(H18-(1*I18)))/Voorblad!M$3,((DATE(Voorblad!$E$3,(L18),J18)-DATE(Voorblad!$E$3,(K18),J18))*(H18-(1*I18)))/Voorblad!M$3)))</f>
        <v>0</v>
      </c>
      <c r="E62" s="1821"/>
      <c r="F62" s="1821">
        <f>IF(L18=0,0,(IF(M18=0,((DATE(Voorblad!E$3+1,1,1)-DATE(Voorblad!$E$3,(L18),J18))*(H18-(2*I18)))/365,((DATE(Voorblad!$E$3,(M18),J18)-DATE(Voorblad!$E$3,(L18),J18))*(H18-(2*I18)))/Voorblad!M$3)))</f>
        <v>0</v>
      </c>
      <c r="G62" s="1821"/>
      <c r="H62" s="1179">
        <f>IF(M18=0,0,(IF(N18=0,((DATE(Voorblad!E$3+1,1,1)-DATE(Voorblad!$E$3,(M18),J18))*(H18-(3*I18)))/Voorblad!M$3,((DATE(Voorblad!$E$3,(N18),J18)-DATE(Voorblad!$E$3,(M18),J18))*(H18-(3*I18)))/Voorblad!M$3)))</f>
        <v>0</v>
      </c>
      <c r="I62" s="1821">
        <f>IF(N18=0,0,(IF(O18=0,((DATE(Voorblad!E$3+1,1,1)-DATE(Voorblad!$E$3,(N18),J18))*(H18-(4*I18)))/Voorblad!M$3,((DATE(Voorblad!$E$3,(O18),J18)-DATE(Voorblad!$E$3,(N18),J18))*(H18-(4*I18)))/Voorblad!M$3)))</f>
        <v>0</v>
      </c>
      <c r="J62" s="1821"/>
      <c r="K62" s="1821">
        <f>IF(O18=0,0,(IF(P18=0,((DATE(Voorblad!E$3+1,1,1)-DATE(Voorblad!$E$3,(O18),J18))*(H18-(5*I18)))/Voorblad!M$3,((DATE(Voorblad!$E$3,(P18),J18)-DATE(Voorblad!$E$3,(O18),J18))*(H18-(5*I18)))/Voorblad!M$3)))</f>
        <v>0</v>
      </c>
      <c r="L62" s="1821"/>
      <c r="M62" s="1821"/>
      <c r="N62" s="1821"/>
      <c r="O62" s="1821"/>
      <c r="P62" s="1821"/>
      <c r="Q62" s="1180">
        <f>IF(P18=0,0,((DATE(Voorblad!E$3+1,1,1)-DATE(Voorblad!$E$3,(P18),J18))*(H18-(6*I18)))/Voorblad!M$3)</f>
        <v>0</v>
      </c>
      <c r="R62" s="1193">
        <f t="shared" si="16"/>
        <v>0</v>
      </c>
      <c r="S62" s="1361">
        <f t="shared" si="17"/>
        <v>0</v>
      </c>
      <c r="T62"/>
      <c r="U62"/>
      <c r="V62"/>
      <c r="W62"/>
      <c r="X62"/>
      <c r="Y62"/>
      <c r="Z62"/>
      <c r="AA62" s="518">
        <f t="shared" si="18"/>
        <v>0</v>
      </c>
      <c r="AB62" s="518">
        <f t="shared" si="19"/>
        <v>0</v>
      </c>
    </row>
    <row r="63" spans="1:28" s="517" customFormat="1" ht="12.75" customHeight="1">
      <c r="A63" s="867">
        <f t="shared" si="15"/>
        <v>2713</v>
      </c>
      <c r="B63" s="1830">
        <f>IF(I19=0,H19,(((DATE(Voorblad!$E$3,K19,J19)-DATE(Voorblad!$E$3,1,1))*H19)/Voorblad!M$3))</f>
        <v>0</v>
      </c>
      <c r="C63" s="1830"/>
      <c r="D63" s="1821">
        <f>IF(K19=0,0,(IF(L19=0,((DATE(Voorblad!E$3+1,1,1)-DATE(Voorblad!$E$3,(K19),J19))*(H19-(1*I19)))/Voorblad!M$3,((DATE(Voorblad!$E$3,(L19),J19)-DATE(Voorblad!$E$3,(K19),J19))*(H19-(1*I19)))/Voorblad!M$3)))</f>
        <v>0</v>
      </c>
      <c r="E63" s="1821"/>
      <c r="F63" s="1821">
        <f>IF(L19=0,0,(IF(M19=0,((DATE(Voorblad!E$3+1,1,1)-DATE(Voorblad!$E$3,(L19),J19))*(H19-(2*I19)))/365,((DATE(Voorblad!$E$3,(M19),J19)-DATE(Voorblad!$E$3,(L19),J19))*(H19-(2*I19)))/Voorblad!M$3)))</f>
        <v>0</v>
      </c>
      <c r="G63" s="1821"/>
      <c r="H63" s="1179">
        <f>IF(M19=0,0,(IF(N19=0,((DATE(Voorblad!E$3+1,1,1)-DATE(Voorblad!$E$3,(M19),J19))*(H19-(3*I19)))/Voorblad!M$3,((DATE(Voorblad!$E$3,(N19),J19)-DATE(Voorblad!$E$3,(M19),J19))*(H19-(3*I19)))/Voorblad!M$3)))</f>
        <v>0</v>
      </c>
      <c r="I63" s="1821">
        <f>IF(N19=0,0,(IF(O19=0,((DATE(Voorblad!E$3+1,1,1)-DATE(Voorblad!$E$3,(N19),J19))*(H19-(4*I19)))/Voorblad!M$3,((DATE(Voorblad!$E$3,(O19),J19)-DATE(Voorblad!$E$3,(N19),J19))*(H19-(4*I19)))/Voorblad!M$3)))</f>
        <v>0</v>
      </c>
      <c r="J63" s="1821"/>
      <c r="K63" s="1821">
        <f>IF(O19=0,0,(IF(P19=0,((DATE(Voorblad!E$3+1,1,1)-DATE(Voorblad!$E$3,(O19),J19))*(H19-(5*I19)))/Voorblad!M$3,((DATE(Voorblad!$E$3,(P19),J19)-DATE(Voorblad!$E$3,(O19),J19))*(H19-(5*I19)))/Voorblad!M$3)))</f>
        <v>0</v>
      </c>
      <c r="L63" s="1821"/>
      <c r="M63" s="1821"/>
      <c r="N63" s="1821"/>
      <c r="O63" s="1821"/>
      <c r="P63" s="1821"/>
      <c r="Q63" s="1180">
        <f>IF(P19=0,0,((DATE(Voorblad!E$3+1,1,1)-DATE(Voorblad!$E$3,(P19),J19))*(H19-(6*I19)))/Voorblad!M$3)</f>
        <v>0</v>
      </c>
      <c r="R63" s="1193">
        <f t="shared" si="16"/>
        <v>0</v>
      </c>
      <c r="S63" s="1361">
        <f t="shared" si="17"/>
        <v>0</v>
      </c>
      <c r="T63"/>
      <c r="U63"/>
      <c r="V63"/>
      <c r="W63"/>
      <c r="X63"/>
      <c r="Y63"/>
      <c r="Z63"/>
      <c r="AA63" s="518">
        <f t="shared" si="18"/>
        <v>0</v>
      </c>
      <c r="AB63" s="518">
        <f t="shared" si="19"/>
        <v>0</v>
      </c>
    </row>
    <row r="64" spans="1:28" s="517" customFormat="1" ht="12.75" customHeight="1">
      <c r="A64" s="867">
        <f t="shared" si="15"/>
        <v>2714</v>
      </c>
      <c r="B64" s="1830">
        <f>IF(I20=0,H20,(((DATE(Voorblad!$E$3,K20,J20)-DATE(Voorblad!$E$3,1,1))*H20)/Voorblad!M$3))</f>
        <v>0</v>
      </c>
      <c r="C64" s="1830"/>
      <c r="D64" s="1821">
        <f>IF(K20=0,0,(IF(L20=0,((DATE(Voorblad!E$3+1,1,1)-DATE(Voorblad!$E$3,(K20),J20))*(H20-(1*I20)))/Voorblad!M$3,((DATE(Voorblad!$E$3,(L20),J20)-DATE(Voorblad!$E$3,(K20),J20))*(H20-(1*I20)))/Voorblad!M$3)))</f>
        <v>0</v>
      </c>
      <c r="E64" s="1821"/>
      <c r="F64" s="1821">
        <f>IF(L20=0,0,(IF(M20=0,((DATE(Voorblad!E$3+1,1,1)-DATE(Voorblad!$E$3,(L20),J20))*(H20-(2*I20)))/365,((DATE(Voorblad!$E$3,(M20),J20)-DATE(Voorblad!$E$3,(L20),J20))*(H20-(2*I20)))/Voorblad!M$3)))</f>
        <v>0</v>
      </c>
      <c r="G64" s="1821"/>
      <c r="H64" s="1179">
        <f>IF(M20=0,0,(IF(N20=0,((DATE(Voorblad!E$3+1,1,1)-DATE(Voorblad!$E$3,(M20),J20))*(H20-(3*I20)))/Voorblad!M$3,((DATE(Voorblad!$E$3,(N20),J20)-DATE(Voorblad!$E$3,(M20),J20))*(H20-(3*I20)))/Voorblad!M$3)))</f>
        <v>0</v>
      </c>
      <c r="I64" s="1821">
        <f>IF(N20=0,0,(IF(O20=0,((DATE(Voorblad!E$3+1,1,1)-DATE(Voorblad!$E$3,(N20),J20))*(H20-(4*I20)))/Voorblad!M$3,((DATE(Voorblad!$E$3,(O20),J20)-DATE(Voorblad!$E$3,(N20),J20))*(H20-(4*I20)))/Voorblad!M$3)))</f>
        <v>0</v>
      </c>
      <c r="J64" s="1821"/>
      <c r="K64" s="1821">
        <f>IF(O20=0,0,(IF(P20=0,((DATE(Voorblad!E$3+1,1,1)-DATE(Voorblad!$E$3,(O20),J20))*(H20-(5*I20)))/Voorblad!M$3,((DATE(Voorblad!$E$3,(P20),J20)-DATE(Voorblad!$E$3,(O20),J20))*(H20-(5*I20)))/Voorblad!M$3)))</f>
        <v>0</v>
      </c>
      <c r="L64" s="1821"/>
      <c r="M64" s="1821"/>
      <c r="N64" s="1821"/>
      <c r="O64" s="1821"/>
      <c r="P64" s="1821"/>
      <c r="Q64" s="1180">
        <f>IF(P20=0,0,((DATE(Voorblad!E$3+1,1,1)-DATE(Voorblad!$E$3,(P20),J20))*(H20-(6*I20)))/Voorblad!M$3)</f>
        <v>0</v>
      </c>
      <c r="R64" s="1193">
        <f t="shared" si="16"/>
        <v>0</v>
      </c>
      <c r="S64" s="1361">
        <f t="shared" si="17"/>
        <v>0</v>
      </c>
      <c r="T64"/>
      <c r="U64"/>
      <c r="V64"/>
      <c r="W64"/>
      <c r="X64"/>
      <c r="Y64"/>
      <c r="Z64"/>
      <c r="AA64" s="518"/>
      <c r="AB64" s="518"/>
    </row>
    <row r="65" spans="1:28" s="517" customFormat="1" ht="12.75" customHeight="1">
      <c r="A65" s="867">
        <f t="shared" si="15"/>
        <v>2715</v>
      </c>
      <c r="B65" s="1830">
        <f>IF(I21=0,H21,(((DATE(Voorblad!$E$3,K21,J21)-DATE(Voorblad!$E$3,1,1))*H21)/Voorblad!M$3))</f>
        <v>0</v>
      </c>
      <c r="C65" s="1830"/>
      <c r="D65" s="1821">
        <f>IF(K21=0,0,(IF(L21=0,((DATE(Voorblad!E$3+1,1,1)-DATE(Voorblad!$E$3,(K21),J21))*(H21-(1*I21)))/Voorblad!M$3,((DATE(Voorblad!$E$3,(L21),J21)-DATE(Voorblad!$E$3,(K21),J21))*(H21-(1*I21)))/Voorblad!M$3)))</f>
        <v>0</v>
      </c>
      <c r="E65" s="1821"/>
      <c r="F65" s="1821">
        <f>IF(L21=0,0,(IF(M21=0,((DATE(Voorblad!E$3+1,1,1)-DATE(Voorblad!$E$3,(L21),J21))*(H21-(2*I21)))/365,((DATE(Voorblad!$E$3,(M21),J21)-DATE(Voorblad!$E$3,(L21),J21))*(H21-(2*I21)))/Voorblad!M$3)))</f>
        <v>0</v>
      </c>
      <c r="G65" s="1821"/>
      <c r="H65" s="1179">
        <f>IF(M21=0,0,(IF(N21=0,((DATE(Voorblad!E$3+1,1,1)-DATE(Voorblad!$E$3,(M21),J21))*(H21-(3*I21)))/Voorblad!M$3,((DATE(Voorblad!$E$3,(N21),J21)-DATE(Voorblad!$E$3,(M21),J21))*(H21-(3*I21)))/Voorblad!M$3)))</f>
        <v>0</v>
      </c>
      <c r="I65" s="1821">
        <f>IF(N21=0,0,(IF(O21=0,((DATE(Voorblad!E$3+1,1,1)-DATE(Voorblad!$E$3,(N21),J21))*(H21-(4*I21)))/Voorblad!M$3,((DATE(Voorblad!$E$3,(O21),J21)-DATE(Voorblad!$E$3,(N21),J21))*(H21-(4*I21)))/Voorblad!M$3)))</f>
        <v>0</v>
      </c>
      <c r="J65" s="1821"/>
      <c r="K65" s="1821">
        <f>IF(O21=0,0,(IF(P21=0,((DATE(Voorblad!E$3+1,1,1)-DATE(Voorblad!$E$3,(O21),J21))*(H21-(5*I21)))/Voorblad!M$3,((DATE(Voorblad!$E$3,(P21),J21)-DATE(Voorblad!$E$3,(O21),J21))*(H21-(5*I21)))/Voorblad!M$3)))</f>
        <v>0</v>
      </c>
      <c r="L65" s="1821"/>
      <c r="M65" s="1821"/>
      <c r="N65" s="1821"/>
      <c r="O65" s="1821"/>
      <c r="P65" s="1821"/>
      <c r="Q65" s="1180">
        <f>IF(P21=0,0,((DATE(Voorblad!E$3+1,1,1)-DATE(Voorblad!$E$3,(P21),J21))*(H21-(6*I21)))/Voorblad!M$3)</f>
        <v>0</v>
      </c>
      <c r="R65" s="1193">
        <f t="shared" si="16"/>
        <v>0</v>
      </c>
      <c r="S65" s="1361">
        <f t="shared" si="17"/>
        <v>0</v>
      </c>
      <c r="T65"/>
      <c r="U65"/>
      <c r="V65"/>
      <c r="W65"/>
      <c r="X65"/>
      <c r="Y65"/>
      <c r="Z65"/>
      <c r="AA65" s="518"/>
      <c r="AB65" s="518"/>
    </row>
    <row r="66" spans="1:28" s="517" customFormat="1" ht="12.75" customHeight="1">
      <c r="A66" s="867">
        <f t="shared" si="15"/>
        <v>2716</v>
      </c>
      <c r="B66" s="1830">
        <f>IF(I22=0,H22,(((DATE(Voorblad!$E$3,K22,J22)-DATE(Voorblad!$E$3,1,1))*H22)/Voorblad!M$3))</f>
        <v>0</v>
      </c>
      <c r="C66" s="1830"/>
      <c r="D66" s="1821">
        <f>IF(K22=0,0,(IF(L22=0,((DATE(Voorblad!E$3+1,1,1)-DATE(Voorblad!$E$3,(K22),J22))*(H22-(1*I22)))/Voorblad!M$3,((DATE(Voorblad!$E$3,(L22),J22)-DATE(Voorblad!$E$3,(K22),J22))*(H22-(1*I22)))/Voorblad!M$3)))</f>
        <v>0</v>
      </c>
      <c r="E66" s="1821"/>
      <c r="F66" s="1821">
        <f>IF(L22=0,0,(IF(M22=0,((DATE(Voorblad!E$3+1,1,1)-DATE(Voorblad!$E$3,(L22),J22))*(H22-(2*I22)))/365,((DATE(Voorblad!$E$3,(M22),J22)-DATE(Voorblad!$E$3,(L22),J22))*(H22-(2*I22)))/Voorblad!M$3)))</f>
        <v>0</v>
      </c>
      <c r="G66" s="1821"/>
      <c r="H66" s="1179">
        <f>IF(M22=0,0,(IF(N22=0,((DATE(Voorblad!E$3+1,1,1)-DATE(Voorblad!$E$3,(M22),J22))*(H22-(3*I22)))/Voorblad!M$3,((DATE(Voorblad!$E$3,(N22),J22)-DATE(Voorblad!$E$3,(M22),J22))*(H22-(3*I22)))/Voorblad!M$3)))</f>
        <v>0</v>
      </c>
      <c r="I66" s="1821">
        <f>IF(N22=0,0,(IF(O22=0,((DATE(Voorblad!E$3+1,1,1)-DATE(Voorblad!$E$3,(N22),J22))*(H22-(4*I22)))/Voorblad!M$3,((DATE(Voorblad!$E$3,(O22),J22)-DATE(Voorblad!$E$3,(N22),J22))*(H22-(4*I22)))/Voorblad!M$3)))</f>
        <v>0</v>
      </c>
      <c r="J66" s="1821"/>
      <c r="K66" s="1821">
        <f>IF(O22=0,0,(IF(P22=0,((DATE(Voorblad!E$3+1,1,1)-DATE(Voorblad!$E$3,(O22),J22))*(H22-(5*I22)))/Voorblad!M$3,((DATE(Voorblad!$E$3,(P22),J22)-DATE(Voorblad!$E$3,(O22),J22))*(H22-(5*I22)))/Voorblad!M$3)))</f>
        <v>0</v>
      </c>
      <c r="L66" s="1821"/>
      <c r="M66" s="1821"/>
      <c r="N66" s="1821"/>
      <c r="O66" s="1821"/>
      <c r="P66" s="1821"/>
      <c r="Q66" s="1180">
        <f>IF(P22=0,0,((DATE(Voorblad!E$3+1,1,1)-DATE(Voorblad!$E$3,(P22),J22))*(H22-(6*I22)))/Voorblad!M$3)</f>
        <v>0</v>
      </c>
      <c r="R66" s="1193">
        <f t="shared" si="16"/>
        <v>0</v>
      </c>
      <c r="S66" s="1361">
        <f t="shared" si="17"/>
        <v>0</v>
      </c>
      <c r="T66"/>
      <c r="U66"/>
      <c r="V66"/>
      <c r="W66"/>
      <c r="X66"/>
      <c r="Y66"/>
      <c r="Z66"/>
      <c r="AA66" s="518"/>
      <c r="AB66" s="518"/>
    </row>
    <row r="67" spans="1:28" s="517" customFormat="1" ht="12.75" customHeight="1">
      <c r="A67" s="867">
        <f t="shared" si="15"/>
        <v>2717</v>
      </c>
      <c r="B67" s="1830">
        <f>IF(I23=0,H23,(((DATE(Voorblad!$E$3,K23,J23)-DATE(Voorblad!$E$3,1,1))*H23)/Voorblad!M$3))</f>
        <v>0</v>
      </c>
      <c r="C67" s="1830"/>
      <c r="D67" s="1821">
        <f>IF(K23=0,0,(IF(L23=0,((DATE(Voorblad!E$3+1,1,1)-DATE(Voorblad!$E$3,(K23),J23))*(H23-(1*I23)))/Voorblad!M$3,((DATE(Voorblad!$E$3,(L23),J23)-DATE(Voorblad!$E$3,(K23),J23))*(H23-(1*I23)))/Voorblad!M$3)))</f>
        <v>0</v>
      </c>
      <c r="E67" s="1821"/>
      <c r="F67" s="1821">
        <f>IF(L23=0,0,(IF(M23=0,((DATE(Voorblad!E$3+1,1,1)-DATE(Voorblad!$E$3,(L23),J23))*(H23-(2*I23)))/365,((DATE(Voorblad!$E$3,(M23),J23)-DATE(Voorblad!$E$3,(L23),J23))*(H23-(2*I23)))/Voorblad!M$3)))</f>
        <v>0</v>
      </c>
      <c r="G67" s="1821"/>
      <c r="H67" s="1179">
        <f>IF(M23=0,0,(IF(N23=0,((DATE(Voorblad!E$3+1,1,1)-DATE(Voorblad!$E$3,(M23),J23))*(H23-(3*I23)))/Voorblad!M$3,((DATE(Voorblad!$E$3,(N23),J23)-DATE(Voorblad!$E$3,(M23),J23))*(H23-(3*I23)))/Voorblad!M$3)))</f>
        <v>0</v>
      </c>
      <c r="I67" s="1821">
        <f>IF(N23=0,0,(IF(O23=0,((DATE(Voorblad!E$3+1,1,1)-DATE(Voorblad!$E$3,(N23),J23))*(H23-(4*I23)))/Voorblad!M$3,((DATE(Voorblad!$E$3,(O23),J23)-DATE(Voorblad!$E$3,(N23),J23))*(H23-(4*I23)))/Voorblad!M$3)))</f>
        <v>0</v>
      </c>
      <c r="J67" s="1821"/>
      <c r="K67" s="1821">
        <f>IF(O23=0,0,(IF(P23=0,((DATE(Voorblad!E$3+1,1,1)-DATE(Voorblad!$E$3,(O23),J23))*(H23-(5*I23)))/Voorblad!M$3,((DATE(Voorblad!$E$3,(P23),J23)-DATE(Voorblad!$E$3,(O23),J23))*(H23-(5*I23)))/Voorblad!M$3)))</f>
        <v>0</v>
      </c>
      <c r="L67" s="1821"/>
      <c r="M67" s="1821"/>
      <c r="N67" s="1821"/>
      <c r="O67" s="1821"/>
      <c r="P67" s="1821"/>
      <c r="Q67" s="1180">
        <f>IF(P23=0,0,((DATE(Voorblad!E$3+1,1,1)-DATE(Voorblad!$E$3,(P23),J23))*(H23-(6*I23)))/Voorblad!M$3)</f>
        <v>0</v>
      </c>
      <c r="R67" s="1193">
        <f t="shared" si="16"/>
        <v>0</v>
      </c>
      <c r="S67" s="1361">
        <f t="shared" si="17"/>
        <v>0</v>
      </c>
      <c r="T67"/>
      <c r="U67"/>
      <c r="V67"/>
      <c r="W67"/>
      <c r="X67"/>
      <c r="Y67"/>
      <c r="Z67"/>
      <c r="AA67" s="518"/>
      <c r="AB67" s="518"/>
    </row>
    <row r="68" spans="1:28" s="517" customFormat="1" ht="12.75" customHeight="1">
      <c r="A68" s="867">
        <f t="shared" si="15"/>
        <v>2718</v>
      </c>
      <c r="B68" s="1830">
        <f>IF(I24=0,H24,(((DATE(Voorblad!$E$3,K24,J24)-DATE(Voorblad!$E$3,1,1))*H24)/Voorblad!M$3))</f>
        <v>0</v>
      </c>
      <c r="C68" s="1830"/>
      <c r="D68" s="1821">
        <f>IF(K24=0,0,(IF(L24=0,((DATE(Voorblad!E$3+1,1,1)-DATE(Voorblad!$E$3,(K24),J24))*(H24-(1*I24)))/Voorblad!M$3,((DATE(Voorblad!$E$3,(L24),J24)-DATE(Voorblad!$E$3,(K24),J24))*(H24-(1*I24)))/Voorblad!M$3)))</f>
        <v>0</v>
      </c>
      <c r="E68" s="1821"/>
      <c r="F68" s="1821">
        <f>IF(L24=0,0,(IF(M24=0,((DATE(Voorblad!E$3+1,1,1)-DATE(Voorblad!$E$3,(L24),J24))*(H24-(2*I24)))/365,((DATE(Voorblad!$E$3,(M24),J24)-DATE(Voorblad!$E$3,(L24),J24))*(H24-(2*I24)))/Voorblad!M$3)))</f>
        <v>0</v>
      </c>
      <c r="G68" s="1821"/>
      <c r="H68" s="1179">
        <f>IF(M24=0,0,(IF(N24=0,((DATE(Voorblad!E$3+1,1,1)-DATE(Voorblad!$E$3,(M24),J24))*(H24-(3*I24)))/Voorblad!M$3,((DATE(Voorblad!$E$3,(N24),J24)-DATE(Voorblad!$E$3,(M24),J24))*(H24-(3*I24)))/Voorblad!M$3)))</f>
        <v>0</v>
      </c>
      <c r="I68" s="1821">
        <f>IF(N24=0,0,(IF(O24=0,((DATE(Voorblad!E$3+1,1,1)-DATE(Voorblad!$E$3,(N24),J24))*(H24-(4*I24)))/Voorblad!M$3,((DATE(Voorblad!$E$3,(O24),J24)-DATE(Voorblad!$E$3,(N24),J24))*(H24-(4*I24)))/Voorblad!M$3)))</f>
        <v>0</v>
      </c>
      <c r="J68" s="1821"/>
      <c r="K68" s="1821">
        <f>IF(O24=0,0,(IF(P24=0,((DATE(Voorblad!E$3+1,1,1)-DATE(Voorblad!$E$3,(O24),J24))*(H24-(5*I24)))/Voorblad!M$3,((DATE(Voorblad!$E$3,(P24),J24)-DATE(Voorblad!$E$3,(O24),J24))*(H24-(5*I24)))/Voorblad!M$3)))</f>
        <v>0</v>
      </c>
      <c r="L68" s="1821"/>
      <c r="M68" s="1821"/>
      <c r="N68" s="1821"/>
      <c r="O68" s="1821"/>
      <c r="P68" s="1821"/>
      <c r="Q68" s="1180">
        <f>IF(P24=0,0,((DATE(Voorblad!E$3+1,1,1)-DATE(Voorblad!$E$3,(P24),J24))*(H24-(6*I24)))/Voorblad!M$3)</f>
        <v>0</v>
      </c>
      <c r="R68" s="1193">
        <f t="shared" si="16"/>
        <v>0</v>
      </c>
      <c r="S68" s="1361">
        <f t="shared" si="17"/>
        <v>0</v>
      </c>
      <c r="T68"/>
      <c r="U68"/>
      <c r="V68"/>
      <c r="W68"/>
      <c r="X68"/>
      <c r="Y68"/>
      <c r="Z68"/>
      <c r="AA68" s="518"/>
      <c r="AB68" s="518"/>
    </row>
    <row r="69" spans="1:28" s="517" customFormat="1" ht="12.75" customHeight="1">
      <c r="A69" s="867">
        <f t="shared" si="15"/>
        <v>2719</v>
      </c>
      <c r="B69" s="1830">
        <f>IF(I25=0,H25,(((DATE(Voorblad!$E$3,K25,J25)-DATE(Voorblad!$E$3,1,1))*H25)/Voorblad!M$3))</f>
        <v>0</v>
      </c>
      <c r="C69" s="1830"/>
      <c r="D69" s="1821">
        <f>IF(K25=0,0,(IF(L25=0,((DATE(Voorblad!E$3+1,1,1)-DATE(Voorblad!$E$3,(K25),J25))*(H25-(1*I25)))/Voorblad!M$3,((DATE(Voorblad!$E$3,(L25),J25)-DATE(Voorblad!$E$3,(K25),J25))*(H25-(1*I25)))/Voorblad!M$3)))</f>
        <v>0</v>
      </c>
      <c r="E69" s="1821"/>
      <c r="F69" s="1821">
        <f>IF(L25=0,0,(IF(M25=0,((DATE(Voorblad!E$3+1,1,1)-DATE(Voorblad!$E$3,(L25),J25))*(H25-(2*I25)))/365,((DATE(Voorblad!$E$3,(M25),J25)-DATE(Voorblad!$E$3,(L25),J25))*(H25-(2*I25)))/Voorblad!M$3)))</f>
        <v>0</v>
      </c>
      <c r="G69" s="1821"/>
      <c r="H69" s="1179">
        <f>IF(M25=0,0,(IF(N25=0,((DATE(Voorblad!E$3+1,1,1)-DATE(Voorblad!$E$3,(M25),J25))*(H25-(3*I25)))/Voorblad!M$3,((DATE(Voorblad!$E$3,(N25),J25)-DATE(Voorblad!$E$3,(M25),J25))*(H25-(3*I25)))/Voorblad!M$3)))</f>
        <v>0</v>
      </c>
      <c r="I69" s="1821">
        <f>IF(N25=0,0,(IF(O25=0,((DATE(Voorblad!E$3+1,1,1)-DATE(Voorblad!$E$3,(N25),J25))*(H25-(4*I25)))/Voorblad!M$3,((DATE(Voorblad!$E$3,(O25),J25)-DATE(Voorblad!$E$3,(N25),J25))*(H25-(4*I25)))/Voorblad!M$3)))</f>
        <v>0</v>
      </c>
      <c r="J69" s="1821"/>
      <c r="K69" s="1821">
        <f>IF(O25=0,0,(IF(P25=0,((DATE(Voorblad!E$3+1,1,1)-DATE(Voorblad!$E$3,(O25),J25))*(H25-(5*I25)))/Voorblad!M$3,((DATE(Voorblad!$E$3,(P25),J25)-DATE(Voorblad!$E$3,(O25),J25))*(H25-(5*I25)))/Voorblad!M$3)))</f>
        <v>0</v>
      </c>
      <c r="L69" s="1821"/>
      <c r="M69" s="1821"/>
      <c r="N69" s="1821"/>
      <c r="O69" s="1821"/>
      <c r="P69" s="1821"/>
      <c r="Q69" s="1180">
        <f>IF(P25=0,0,((DATE(Voorblad!E$3+1,1,1)-DATE(Voorblad!$E$3,(P25),J25))*(H25-(6*I25)))/Voorblad!M$3)</f>
        <v>0</v>
      </c>
      <c r="R69" s="1193">
        <f t="shared" si="16"/>
        <v>0</v>
      </c>
      <c r="S69" s="1361">
        <f t="shared" si="17"/>
        <v>0</v>
      </c>
      <c r="T69"/>
      <c r="U69"/>
      <c r="V69"/>
      <c r="W69"/>
      <c r="X69"/>
      <c r="Y69"/>
      <c r="Z69"/>
      <c r="AA69" s="518"/>
      <c r="AB69" s="518"/>
    </row>
    <row r="70" spans="1:28" s="517" customFormat="1" ht="12.75" customHeight="1">
      <c r="A70" s="867">
        <f t="shared" si="15"/>
        <v>2720</v>
      </c>
      <c r="B70" s="1830">
        <f>IF(I26=0,H26,(((DATE(Voorblad!$E$3,K26,J26)-DATE(Voorblad!$E$3,1,1))*H26)/Voorblad!M$3))</f>
        <v>0</v>
      </c>
      <c r="C70" s="1830"/>
      <c r="D70" s="1821">
        <f>IF(K26=0,0,(IF(L26=0,((DATE(Voorblad!E$3+1,1,1)-DATE(Voorblad!$E$3,(K26),J26))*(H26-(1*I26)))/Voorblad!M$3,((DATE(Voorblad!$E$3,(L26),J26)-DATE(Voorblad!$E$3,(K26),J26))*(H26-(1*I26)))/Voorblad!M$3)))</f>
        <v>0</v>
      </c>
      <c r="E70" s="1821"/>
      <c r="F70" s="1821">
        <f>IF(L26=0,0,(IF(M26=0,((DATE(Voorblad!E$3+1,1,1)-DATE(Voorblad!$E$3,(L26),J26))*(H26-(2*I26)))/365,((DATE(Voorblad!$E$3,(M26),J26)-DATE(Voorblad!$E$3,(L26),J26))*(H26-(2*I26)))/Voorblad!M$3)))</f>
        <v>0</v>
      </c>
      <c r="G70" s="1821"/>
      <c r="H70" s="1179">
        <f>IF(M26=0,0,(IF(N26=0,((DATE(Voorblad!E$3+1,1,1)-DATE(Voorblad!$E$3,(M26),J26))*(H26-(3*I26)))/Voorblad!M$3,((DATE(Voorblad!$E$3,(N26),J26)-DATE(Voorblad!$E$3,(M26),J26))*(H26-(3*I26)))/Voorblad!M$3)))</f>
        <v>0</v>
      </c>
      <c r="I70" s="1821">
        <f>IF(N26=0,0,(IF(O26=0,((DATE(Voorblad!E$3+1,1,1)-DATE(Voorblad!$E$3,(N26),J26))*(H26-(4*I26)))/Voorblad!M$3,((DATE(Voorblad!$E$3,(O26),J26)-DATE(Voorblad!$E$3,(N26),J26))*(H26-(4*I26)))/Voorblad!M$3)))</f>
        <v>0</v>
      </c>
      <c r="J70" s="1821"/>
      <c r="K70" s="1821">
        <f>IF(O26=0,0,(IF(P26=0,((DATE(Voorblad!E$3+1,1,1)-DATE(Voorblad!$E$3,(O26),J26))*(H26-(5*I26)))/Voorblad!M$3,((DATE(Voorblad!$E$3,(P26),J26)-DATE(Voorblad!$E$3,(O26),J26))*(H26-(5*I26)))/Voorblad!M$3)))</f>
        <v>0</v>
      </c>
      <c r="L70" s="1821"/>
      <c r="M70" s="1821"/>
      <c r="N70" s="1821"/>
      <c r="O70" s="1821"/>
      <c r="P70" s="1821"/>
      <c r="Q70" s="1180">
        <f>IF(P26=0,0,((DATE(Voorblad!E$3+1,1,1)-DATE(Voorblad!$E$3,(P26),J26))*(H26-(6*I26)))/Voorblad!M$3)</f>
        <v>0</v>
      </c>
      <c r="R70" s="1193">
        <f t="shared" si="16"/>
        <v>0</v>
      </c>
      <c r="S70" s="1361">
        <f t="shared" si="17"/>
        <v>0</v>
      </c>
      <c r="T70"/>
      <c r="U70"/>
      <c r="V70"/>
      <c r="W70"/>
      <c r="X70"/>
      <c r="Y70"/>
      <c r="Z70"/>
      <c r="AA70" s="518"/>
      <c r="AB70" s="518"/>
    </row>
    <row r="71" spans="1:28" s="517" customFormat="1" ht="12.75" customHeight="1">
      <c r="A71" s="867">
        <f aca="true" t="shared" si="20" ref="A71:A80">A27</f>
        <v>2721</v>
      </c>
      <c r="B71" s="1830">
        <f>IF(I27=0,H27,(((DATE(Voorblad!$E$3,K27,J27)-DATE(Voorblad!$E$3,1,1))*H27)/Voorblad!M$3))</f>
        <v>0</v>
      </c>
      <c r="C71" s="1830"/>
      <c r="D71" s="1821">
        <f>IF(K27=0,0,(IF(L27=0,((DATE(Voorblad!E$3+1,1,1)-DATE(Voorblad!$E$3,(K27),J27))*(H27-(1*I27)))/Voorblad!M$3,((DATE(Voorblad!$E$3,(L27),J27)-DATE(Voorblad!$E$3,(K27),J27))*(H27-(1*I27)))/Voorblad!M$3)))</f>
        <v>0</v>
      </c>
      <c r="E71" s="1821"/>
      <c r="F71" s="1821">
        <f>IF(L27=0,0,(IF(M27=0,((DATE(Voorblad!E$3+1,1,1)-DATE(Voorblad!$E$3,(L27),J27))*(H27-(2*I27)))/365,((DATE(Voorblad!$E$3,(M27),J27)-DATE(Voorblad!$E$3,(L27),J27))*(H27-(2*I27)))/Voorblad!M$3)))</f>
        <v>0</v>
      </c>
      <c r="G71" s="1821"/>
      <c r="H71" s="1179">
        <f>IF(M27=0,0,(IF(N27=0,((DATE(Voorblad!E$3+1,1,1)-DATE(Voorblad!$E$3,(M27),J27))*(H27-(3*I27)))/Voorblad!M$3,((DATE(Voorblad!$E$3,(N27),J27)-DATE(Voorblad!$E$3,(M27),J27))*(H27-(3*I27)))/Voorblad!M$3)))</f>
        <v>0</v>
      </c>
      <c r="I71" s="1821">
        <f>IF(N27=0,0,(IF(O27=0,((DATE(Voorblad!E$3+1,1,1)-DATE(Voorblad!$E$3,(N27),J27))*(H27-(4*I27)))/Voorblad!M$3,((DATE(Voorblad!$E$3,(O27),J27)-DATE(Voorblad!$E$3,(N27),J27))*(H27-(4*I27)))/Voorblad!M$3)))</f>
        <v>0</v>
      </c>
      <c r="J71" s="1821"/>
      <c r="K71" s="1821">
        <f>IF(O27=0,0,(IF(P27=0,((DATE(Voorblad!E$3+1,1,1)-DATE(Voorblad!$E$3,(O27),J27))*(H27-(5*I27)))/Voorblad!M$3,((DATE(Voorblad!$E$3,(P27),J27)-DATE(Voorblad!$E$3,(O27),J27))*(H27-(5*I27)))/Voorblad!M$3)))</f>
        <v>0</v>
      </c>
      <c r="L71" s="1821"/>
      <c r="M71" s="1821"/>
      <c r="N71" s="1821"/>
      <c r="O71" s="1821"/>
      <c r="P71" s="1821"/>
      <c r="Q71" s="1180">
        <f>IF(P27=0,0,((DATE(Voorblad!E$3+1,1,1)-DATE(Voorblad!$E$3,(P27),J27))*(H27-(6*I27)))/Voorblad!M$3)</f>
        <v>0</v>
      </c>
      <c r="R71" s="1193">
        <f t="shared" si="16"/>
        <v>0</v>
      </c>
      <c r="S71" s="1361">
        <f t="shared" si="17"/>
        <v>0</v>
      </c>
      <c r="T71"/>
      <c r="U71"/>
      <c r="V71"/>
      <c r="W71"/>
      <c r="X71"/>
      <c r="Y71"/>
      <c r="Z71"/>
      <c r="AA71" s="518"/>
      <c r="AB71" s="518"/>
    </row>
    <row r="72" spans="1:28" s="517" customFormat="1" ht="12.75" customHeight="1">
      <c r="A72" s="867">
        <f t="shared" si="20"/>
        <v>2722</v>
      </c>
      <c r="B72" s="1830">
        <f>IF(I28=0,H28,(((DATE(Voorblad!$E$3,K28,J28)-DATE(Voorblad!$E$3,1,1))*H28)/Voorblad!M$3))</f>
        <v>0</v>
      </c>
      <c r="C72" s="1830"/>
      <c r="D72" s="1821">
        <f>IF(K28=0,0,(IF(L28=0,((DATE(Voorblad!E$3+1,1,1)-DATE(Voorblad!$E$3,(K28),J28))*(H28-(1*I28)))/Voorblad!M$3,((DATE(Voorblad!$E$3,(L28),J28)-DATE(Voorblad!$E$3,(K28),J28))*(H28-(1*I28)))/Voorblad!M$3)))</f>
        <v>0</v>
      </c>
      <c r="E72" s="1821"/>
      <c r="F72" s="1821">
        <f>IF(L28=0,0,(IF(M28=0,((DATE(Voorblad!E$3+1,1,1)-DATE(Voorblad!$E$3,(L28),J28))*(H28-(2*I28)))/365,((DATE(Voorblad!$E$3,(M28),J28)-DATE(Voorblad!$E$3,(L28),J28))*(H28-(2*I28)))/Voorblad!M$3)))</f>
        <v>0</v>
      </c>
      <c r="G72" s="1821"/>
      <c r="H72" s="1179">
        <f>IF(M28=0,0,(IF(N28=0,((DATE(Voorblad!E$3+1,1,1)-DATE(Voorblad!$E$3,(M28),J28))*(H28-(3*I28)))/Voorblad!M$3,((DATE(Voorblad!$E$3,(N28),J28)-DATE(Voorblad!$E$3,(M28),J28))*(H28-(3*I28)))/Voorblad!M$3)))</f>
        <v>0</v>
      </c>
      <c r="I72" s="1821">
        <f>IF(N28=0,0,(IF(O28=0,((DATE(Voorblad!E$3+1,1,1)-DATE(Voorblad!$E$3,(N28),J28))*(H28-(4*I28)))/Voorblad!M$3,((DATE(Voorblad!$E$3,(O28),J28)-DATE(Voorblad!$E$3,(N28),J28))*(H28-(4*I28)))/Voorblad!M$3)))</f>
        <v>0</v>
      </c>
      <c r="J72" s="1821"/>
      <c r="K72" s="1821">
        <f>IF(O28=0,0,(IF(P28=0,((DATE(Voorblad!E$3+1,1,1)-DATE(Voorblad!$E$3,(O28),J28))*(H28-(5*I28)))/Voorblad!M$3,((DATE(Voorblad!$E$3,(P28),J28)-DATE(Voorblad!$E$3,(O28),J28))*(H28-(5*I28)))/Voorblad!M$3)))</f>
        <v>0</v>
      </c>
      <c r="L72" s="1821"/>
      <c r="M72" s="1821"/>
      <c r="N72" s="1821"/>
      <c r="O72" s="1821"/>
      <c r="P72" s="1821"/>
      <c r="Q72" s="1180">
        <f>IF(P28=0,0,((DATE(Voorblad!E$3+1,1,1)-DATE(Voorblad!$E$3,(P28),J28))*(H28-(6*I28)))/Voorblad!M$3)</f>
        <v>0</v>
      </c>
      <c r="R72" s="1193">
        <f t="shared" si="16"/>
        <v>0</v>
      </c>
      <c r="S72" s="1361">
        <f t="shared" si="17"/>
        <v>0</v>
      </c>
      <c r="T72"/>
      <c r="U72"/>
      <c r="V72"/>
      <c r="W72"/>
      <c r="X72"/>
      <c r="Y72"/>
      <c r="Z72"/>
      <c r="AA72" s="518"/>
      <c r="AB72" s="518"/>
    </row>
    <row r="73" spans="1:28" s="517" customFormat="1" ht="12.75" customHeight="1">
      <c r="A73" s="867">
        <f t="shared" si="20"/>
        <v>2723</v>
      </c>
      <c r="B73" s="1830">
        <f>IF(I29=0,H29,(((DATE(Voorblad!$E$3,K29,J29)-DATE(Voorblad!$E$3,1,1))*H29)/Voorblad!M$3))</f>
        <v>0</v>
      </c>
      <c r="C73" s="1830"/>
      <c r="D73" s="1821">
        <f>IF(K29=0,0,(IF(L29=0,((DATE(Voorblad!E$3+1,1,1)-DATE(Voorblad!$E$3,(K29),J29))*(H29-(1*I29)))/Voorblad!M$3,((DATE(Voorblad!$E$3,(L29),J29)-DATE(Voorblad!$E$3,(K29),J29))*(H29-(1*I29)))/Voorblad!M$3)))</f>
        <v>0</v>
      </c>
      <c r="E73" s="1821"/>
      <c r="F73" s="1821">
        <f>IF(L29=0,0,(IF(M29=0,((DATE(Voorblad!E$3+1,1,1)-DATE(Voorblad!$E$3,(L29),J29))*(H29-(2*I29)))/365,((DATE(Voorblad!$E$3,(M29),J29)-DATE(Voorblad!$E$3,(L29),J29))*(H29-(2*I29)))/Voorblad!M$3)))</f>
        <v>0</v>
      </c>
      <c r="G73" s="1821"/>
      <c r="H73" s="1179">
        <f>IF(M29=0,0,(IF(N29=0,((DATE(Voorblad!E$3+1,1,1)-DATE(Voorblad!$E$3,(M29),J29))*(H29-(3*I29)))/Voorblad!M$3,((DATE(Voorblad!$E$3,(N29),J29)-DATE(Voorblad!$E$3,(M29),J29))*(H29-(3*I29)))/Voorblad!M$3)))</f>
        <v>0</v>
      </c>
      <c r="I73" s="1821">
        <f>IF(N29=0,0,(IF(O29=0,((DATE(Voorblad!E$3+1,1,1)-DATE(Voorblad!$E$3,(N29),J29))*(H29-(4*I29)))/Voorblad!M$3,((DATE(Voorblad!$E$3,(O29),J29)-DATE(Voorblad!$E$3,(N29),J29))*(H29-(4*I29)))/Voorblad!M$3)))</f>
        <v>0</v>
      </c>
      <c r="J73" s="1821"/>
      <c r="K73" s="1821">
        <f>IF(O29=0,0,(IF(P29=0,((DATE(Voorblad!E$3+1,1,1)-DATE(Voorblad!$E$3,(O29),J29))*(H29-(5*I29)))/Voorblad!M$3,((DATE(Voorblad!$E$3,(P29),J29)-DATE(Voorblad!$E$3,(O29),J29))*(H29-(5*I29)))/Voorblad!M$3)))</f>
        <v>0</v>
      </c>
      <c r="L73" s="1821"/>
      <c r="M73" s="1821"/>
      <c r="N73" s="1821"/>
      <c r="O73" s="1821"/>
      <c r="P73" s="1821"/>
      <c r="Q73" s="1180">
        <f>IF(P29=0,0,((DATE(Voorblad!E$3+1,1,1)-DATE(Voorblad!$E$3,(P29),J29))*(H29-(6*I29)))/Voorblad!M$3)</f>
        <v>0</v>
      </c>
      <c r="R73" s="1193">
        <f t="shared" si="16"/>
        <v>0</v>
      </c>
      <c r="S73" s="1361">
        <f t="shared" si="17"/>
        <v>0</v>
      </c>
      <c r="T73"/>
      <c r="U73"/>
      <c r="V73"/>
      <c r="W73"/>
      <c r="X73"/>
      <c r="Y73"/>
      <c r="Z73"/>
      <c r="AA73" s="518"/>
      <c r="AB73" s="518"/>
    </row>
    <row r="74" spans="1:28" s="517" customFormat="1" ht="12.75" customHeight="1">
      <c r="A74" s="867">
        <f t="shared" si="20"/>
        <v>2724</v>
      </c>
      <c r="B74" s="1830">
        <f>IF(I30=0,H30,(((DATE(Voorblad!$E$3,K30,J30)-DATE(Voorblad!$E$3,1,1))*H30)/Voorblad!M$3))</f>
        <v>0</v>
      </c>
      <c r="C74" s="1830"/>
      <c r="D74" s="1821">
        <f>IF(K30=0,0,(IF(L30=0,((DATE(Voorblad!E$3+1,1,1)-DATE(Voorblad!$E$3,(K30),J30))*(H30-(1*I30)))/Voorblad!M$3,((DATE(Voorblad!$E$3,(L30),J30)-DATE(Voorblad!$E$3,(K30),J30))*(H30-(1*I30)))/Voorblad!M$3)))</f>
        <v>0</v>
      </c>
      <c r="E74" s="1821"/>
      <c r="F74" s="1821">
        <f>IF(L30=0,0,(IF(M30=0,((DATE(Voorblad!E$3+1,1,1)-DATE(Voorblad!$E$3,(L30),J30))*(H30-(2*I30)))/365,((DATE(Voorblad!$E$3,(M30),J30)-DATE(Voorblad!$E$3,(L30),J30))*(H30-(2*I30)))/Voorblad!M$3)))</f>
        <v>0</v>
      </c>
      <c r="G74" s="1821"/>
      <c r="H74" s="1179">
        <f>IF(M30=0,0,(IF(N30=0,((DATE(Voorblad!E$3+1,1,1)-DATE(Voorblad!$E$3,(M30),J30))*(H30-(3*I30)))/Voorblad!M$3,((DATE(Voorblad!$E$3,(N30),J30)-DATE(Voorblad!$E$3,(M30),J30))*(H30-(3*I30)))/Voorblad!M$3)))</f>
        <v>0</v>
      </c>
      <c r="I74" s="1821">
        <f>IF(N30=0,0,(IF(O30=0,((DATE(Voorblad!E$3+1,1,1)-DATE(Voorblad!$E$3,(N30),J30))*(H30-(4*I30)))/Voorblad!M$3,((DATE(Voorblad!$E$3,(O30),J30)-DATE(Voorblad!$E$3,(N30),J30))*(H30-(4*I30)))/Voorblad!M$3)))</f>
        <v>0</v>
      </c>
      <c r="J74" s="1821"/>
      <c r="K74" s="1821">
        <f>IF(O30=0,0,(IF(P30=0,((DATE(Voorblad!E$3+1,1,1)-DATE(Voorblad!$E$3,(O30),J30))*(H30-(5*I30)))/Voorblad!M$3,((DATE(Voorblad!$E$3,(P30),J30)-DATE(Voorblad!$E$3,(O30),J30))*(H30-(5*I30)))/Voorblad!M$3)))</f>
        <v>0</v>
      </c>
      <c r="L74" s="1821"/>
      <c r="M74" s="1821"/>
      <c r="N74" s="1821"/>
      <c r="O74" s="1821"/>
      <c r="P74" s="1821"/>
      <c r="Q74" s="1180">
        <f>IF(P30=0,0,((DATE(Voorblad!E$3+1,1,1)-DATE(Voorblad!$E$3,(P30),J30))*(H30-(6*I30)))/Voorblad!M$3)</f>
        <v>0</v>
      </c>
      <c r="R74" s="1193">
        <f t="shared" si="16"/>
        <v>0</v>
      </c>
      <c r="S74" s="1361">
        <f t="shared" si="17"/>
        <v>0</v>
      </c>
      <c r="T74"/>
      <c r="U74"/>
      <c r="V74"/>
      <c r="W74"/>
      <c r="X74"/>
      <c r="Y74"/>
      <c r="Z74"/>
      <c r="AA74" s="518">
        <f t="shared" si="18"/>
        <v>0</v>
      </c>
      <c r="AB74" s="518">
        <f t="shared" si="19"/>
        <v>0</v>
      </c>
    </row>
    <row r="75" spans="1:28" s="517" customFormat="1" ht="12.75" customHeight="1">
      <c r="A75" s="867">
        <f t="shared" si="20"/>
        <v>2725</v>
      </c>
      <c r="B75" s="1830">
        <f>IF(I31=0,H31,(((DATE(Voorblad!$E$3,K31,J31)-DATE(Voorblad!$E$3,1,1))*H31)/Voorblad!M$3))</f>
        <v>0</v>
      </c>
      <c r="C75" s="1830"/>
      <c r="D75" s="1821">
        <f>IF(K31=0,0,(IF(L31=0,((DATE(Voorblad!E$3+1,1,1)-DATE(Voorblad!$E$3,(K31),J31))*(H31-(1*I31)))/Voorblad!M$3,((DATE(Voorblad!$E$3,(L31),J31)-DATE(Voorblad!$E$3,(K31),J31))*(H31-(1*I31)))/Voorblad!M$3)))</f>
        <v>0</v>
      </c>
      <c r="E75" s="1821"/>
      <c r="F75" s="1821">
        <f>IF(L31=0,0,(IF(M31=0,((DATE(Voorblad!E$3+1,1,1)-DATE(Voorblad!$E$3,(L31),J31))*(H31-(2*I31)))/365,((DATE(Voorblad!$E$3,(M31),J31)-DATE(Voorblad!$E$3,(L31),J31))*(H31-(2*I31)))/Voorblad!M$3)))</f>
        <v>0</v>
      </c>
      <c r="G75" s="1821"/>
      <c r="H75" s="1179">
        <f>IF(M31=0,0,(IF(N31=0,((DATE(Voorblad!E$3+1,1,1)-DATE(Voorblad!$E$3,(M31),J31))*(H31-(3*I31)))/Voorblad!M$3,((DATE(Voorblad!$E$3,(N31),J31)-DATE(Voorblad!$E$3,(M31),J31))*(H31-(3*I31)))/Voorblad!M$3)))</f>
        <v>0</v>
      </c>
      <c r="I75" s="1821">
        <f>IF(N31=0,0,(IF(O31=0,((DATE(Voorblad!E$3+1,1,1)-DATE(Voorblad!$E$3,(N31),J31))*(H31-(4*I31)))/Voorblad!M$3,((DATE(Voorblad!$E$3,(O31),J31)-DATE(Voorblad!$E$3,(N31),J31))*(H31-(4*I31)))/Voorblad!M$3)))</f>
        <v>0</v>
      </c>
      <c r="J75" s="1821"/>
      <c r="K75" s="1821">
        <f>IF(O31=0,0,(IF(P31=0,((DATE(Voorblad!E$3+1,1,1)-DATE(Voorblad!$E$3,(O31),J31))*(H31-(5*I31)))/Voorblad!M$3,((DATE(Voorblad!$E$3,(P31),J31)-DATE(Voorblad!$E$3,(O31),J31))*(H31-(5*I31)))/Voorblad!M$3)))</f>
        <v>0</v>
      </c>
      <c r="L75" s="1821"/>
      <c r="M75" s="1821"/>
      <c r="N75" s="1821"/>
      <c r="O75" s="1821"/>
      <c r="P75" s="1821"/>
      <c r="Q75" s="1180">
        <f>IF(P31=0,0,((DATE(Voorblad!E$3+1,1,1)-DATE(Voorblad!$E$3,(P31),J31))*(H31-(6*I31)))/Voorblad!M$3)</f>
        <v>0</v>
      </c>
      <c r="R75" s="1193">
        <f t="shared" si="16"/>
        <v>0</v>
      </c>
      <c r="S75" s="1361">
        <f t="shared" si="17"/>
        <v>0</v>
      </c>
      <c r="T75"/>
      <c r="U75"/>
      <c r="V75"/>
      <c r="W75"/>
      <c r="X75"/>
      <c r="Y75"/>
      <c r="Z75"/>
      <c r="AA75" s="518">
        <f t="shared" si="18"/>
        <v>0</v>
      </c>
      <c r="AB75" s="518">
        <f t="shared" si="19"/>
        <v>0</v>
      </c>
    </row>
    <row r="76" spans="1:28" s="517" customFormat="1" ht="12.75" customHeight="1">
      <c r="A76" s="867">
        <f t="shared" si="20"/>
        <v>2726</v>
      </c>
      <c r="B76" s="1830">
        <f>IF(I32=0,H32,(((DATE(Voorblad!$E$3,K32,J32)-DATE(Voorblad!$E$3,1,1))*H32)/Voorblad!M$3))</f>
        <v>0</v>
      </c>
      <c r="C76" s="1830"/>
      <c r="D76" s="1821">
        <f>IF(K32=0,0,(IF(L32=0,((DATE(Voorblad!E$3+1,1,1)-DATE(Voorblad!$E$3,(K32),J32))*(H32-(1*I32)))/Voorblad!M$3,((DATE(Voorblad!$E$3,(L32),J32)-DATE(Voorblad!$E$3,(K32),J32))*(H32-(1*I32)))/Voorblad!M$3)))</f>
        <v>0</v>
      </c>
      <c r="E76" s="1821"/>
      <c r="F76" s="1821">
        <f>IF(L32=0,0,(IF(M32=0,((DATE(Voorblad!E$3+1,1,1)-DATE(Voorblad!$E$3,(L32),J32))*(H32-(2*I32)))/365,((DATE(Voorblad!$E$3,(M32),J32)-DATE(Voorblad!$E$3,(L32),J32))*(H32-(2*I32)))/Voorblad!M$3)))</f>
        <v>0</v>
      </c>
      <c r="G76" s="1821"/>
      <c r="H76" s="1179">
        <f>IF(M32=0,0,(IF(N32=0,((DATE(Voorblad!E$3+1,1,1)-DATE(Voorblad!$E$3,(M32),J32))*(H32-(3*I32)))/Voorblad!M$3,((DATE(Voorblad!$E$3,(N32),J32)-DATE(Voorblad!$E$3,(M32),J32))*(H32-(3*I32)))/Voorblad!M$3)))</f>
        <v>0</v>
      </c>
      <c r="I76" s="1821">
        <f>IF(N32=0,0,(IF(O32=0,((DATE(Voorblad!E$3+1,1,1)-DATE(Voorblad!$E$3,(N32),J32))*(H32-(4*I32)))/Voorblad!M$3,((DATE(Voorblad!$E$3,(O32),J32)-DATE(Voorblad!$E$3,(N32),J32))*(H32-(4*I32)))/Voorblad!M$3)))</f>
        <v>0</v>
      </c>
      <c r="J76" s="1821"/>
      <c r="K76" s="1821">
        <f>IF(O32=0,0,(IF(P32=0,((DATE(Voorblad!E$3+1,1,1)-DATE(Voorblad!$E$3,(O32),J32))*(H32-(5*I32)))/Voorblad!M$3,((DATE(Voorblad!$E$3,(P32),J32)-DATE(Voorblad!$E$3,(O32),J32))*(H32-(5*I32)))/Voorblad!M$3)))</f>
        <v>0</v>
      </c>
      <c r="L76" s="1821"/>
      <c r="M76" s="1821"/>
      <c r="N76" s="1821"/>
      <c r="O76" s="1821"/>
      <c r="P76" s="1821"/>
      <c r="Q76" s="1180">
        <f>IF(P32=0,0,((DATE(Voorblad!E$3+1,1,1)-DATE(Voorblad!$E$3,(P32),J32))*(H32-(6*I32)))/Voorblad!M$3)</f>
        <v>0</v>
      </c>
      <c r="R76" s="1193">
        <f t="shared" si="16"/>
        <v>0</v>
      </c>
      <c r="S76" s="1361">
        <f t="shared" si="17"/>
        <v>0</v>
      </c>
      <c r="T76"/>
      <c r="U76"/>
      <c r="V76"/>
      <c r="W76"/>
      <c r="X76"/>
      <c r="Y76"/>
      <c r="Z76"/>
      <c r="AA76" s="518">
        <f t="shared" si="18"/>
        <v>0</v>
      </c>
      <c r="AB76" s="518">
        <f t="shared" si="19"/>
        <v>0</v>
      </c>
    </row>
    <row r="77" spans="1:28" s="517" customFormat="1" ht="12.75" customHeight="1">
      <c r="A77" s="867">
        <f t="shared" si="20"/>
        <v>2727</v>
      </c>
      <c r="B77" s="1830">
        <f>IF(I33=0,H33,(((DATE(Voorblad!$E$3,K33,J33)-DATE(Voorblad!$E$3,1,1))*H33)/Voorblad!M$3))</f>
        <v>0</v>
      </c>
      <c r="C77" s="1830"/>
      <c r="D77" s="1821">
        <f>IF(K33=0,0,(IF(L33=0,((DATE(Voorblad!E$3+1,1,1)-DATE(Voorblad!$E$3,(K33),J33))*(H33-(1*I33)))/Voorblad!M$3,((DATE(Voorblad!$E$3,(L33),J33)-DATE(Voorblad!$E$3,(K33),J33))*(H33-(1*I33)))/Voorblad!M$3)))</f>
        <v>0</v>
      </c>
      <c r="E77" s="1821"/>
      <c r="F77" s="1821">
        <f>IF(L33=0,0,(IF(M33=0,((DATE(Voorblad!E$3+1,1,1)-DATE(Voorblad!$E$3,(L33),J33))*(H33-(2*I33)))/365,((DATE(Voorblad!$E$3,(M33),J33)-DATE(Voorblad!$E$3,(L33),J33))*(H33-(2*I33)))/Voorblad!M$3)))</f>
        <v>0</v>
      </c>
      <c r="G77" s="1821"/>
      <c r="H77" s="1179">
        <f>IF(M33=0,0,(IF(N33=0,((DATE(Voorblad!E$3+1,1,1)-DATE(Voorblad!$E$3,(M33),J33))*(H33-(3*I33)))/Voorblad!M$3,((DATE(Voorblad!$E$3,(N33),J33)-DATE(Voorblad!$E$3,(M33),J33))*(H33-(3*I33)))/Voorblad!M$3)))</f>
        <v>0</v>
      </c>
      <c r="I77" s="1821">
        <f>IF(N33=0,0,(IF(O33=0,((DATE(Voorblad!E$3+1,1,1)-DATE(Voorblad!$E$3,(N33),J33))*(H33-(4*I33)))/Voorblad!M$3,((DATE(Voorblad!$E$3,(O33),J33)-DATE(Voorblad!$E$3,(N33),J33))*(H33-(4*I33)))/Voorblad!M$3)))</f>
        <v>0</v>
      </c>
      <c r="J77" s="1821"/>
      <c r="K77" s="1821">
        <f>IF(O33=0,0,(IF(P33=0,((DATE(Voorblad!E$3+1,1,1)-DATE(Voorblad!$E$3,(O33),J33))*(H33-(5*I33)))/Voorblad!M$3,((DATE(Voorblad!$E$3,(P33),J33)-DATE(Voorblad!$E$3,(O33),J33))*(H33-(5*I33)))/Voorblad!M$3)))</f>
        <v>0</v>
      </c>
      <c r="L77" s="1821"/>
      <c r="M77" s="1821"/>
      <c r="N77" s="1821"/>
      <c r="O77" s="1821"/>
      <c r="P77" s="1821"/>
      <c r="Q77" s="1180">
        <f>IF(P33=0,0,((DATE(Voorblad!E$3+1,1,1)-DATE(Voorblad!$E$3,(P33),J33))*(H33-(6*I33)))/Voorblad!M$3)</f>
        <v>0</v>
      </c>
      <c r="R77" s="1193">
        <f t="shared" si="16"/>
        <v>0</v>
      </c>
      <c r="S77" s="1361">
        <f t="shared" si="17"/>
        <v>0</v>
      </c>
      <c r="T77"/>
      <c r="U77"/>
      <c r="V77"/>
      <c r="W77"/>
      <c r="X77"/>
      <c r="Y77"/>
      <c r="Z77"/>
      <c r="AA77" s="518">
        <f t="shared" si="18"/>
        <v>0</v>
      </c>
      <c r="AB77" s="518">
        <f t="shared" si="19"/>
        <v>0</v>
      </c>
    </row>
    <row r="78" spans="1:28" s="517" customFormat="1" ht="12.75" customHeight="1">
      <c r="A78" s="867">
        <f t="shared" si="20"/>
        <v>2728</v>
      </c>
      <c r="B78" s="1830">
        <f>IF(I34=0,H34,(((DATE(Voorblad!$E$3,K34,J34)-DATE(Voorblad!$E$3,1,1))*H34)/Voorblad!M$3))</f>
        <v>0</v>
      </c>
      <c r="C78" s="1830"/>
      <c r="D78" s="1821">
        <f>IF(K34=0,0,(IF(L34=0,((DATE(Voorblad!E$3+1,1,1)-DATE(Voorblad!$E$3,(K34),J34))*(H34-(1*I34)))/Voorblad!M$3,((DATE(Voorblad!$E$3,(L34),J34)-DATE(Voorblad!$E$3,(K34),J34))*(H34-(1*I34)))/Voorblad!M$3)))</f>
        <v>0</v>
      </c>
      <c r="E78" s="1821"/>
      <c r="F78" s="1821">
        <f>IF(L34=0,0,(IF(M34=0,((DATE(Voorblad!E$3+1,1,1)-DATE(Voorblad!$E$3,(L34),J34))*(H34-(2*I34)))/365,((DATE(Voorblad!$E$3,(M34),J34)-DATE(Voorblad!$E$3,(L34),J34))*(H34-(2*I34)))/Voorblad!M$3)))</f>
        <v>0</v>
      </c>
      <c r="G78" s="1821"/>
      <c r="H78" s="1179">
        <f>IF(M34=0,0,(IF(N34=0,((DATE(Voorblad!E$3+1,1,1)-DATE(Voorblad!$E$3,(M34),J34))*(H34-(3*I34)))/Voorblad!M$3,((DATE(Voorblad!$E$3,(N34),J34)-DATE(Voorblad!$E$3,(M34),J34))*(H34-(3*I34)))/Voorblad!M$3)))</f>
        <v>0</v>
      </c>
      <c r="I78" s="1821">
        <f>IF(N34=0,0,(IF(O34=0,((DATE(Voorblad!E$3+1,1,1)-DATE(Voorblad!$E$3,(N34),J34))*(H34-(4*I34)))/Voorblad!M$3,((DATE(Voorblad!$E$3,(O34),J34)-DATE(Voorblad!$E$3,(N34),J34))*(H34-(4*I34)))/Voorblad!M$3)))</f>
        <v>0</v>
      </c>
      <c r="J78" s="1821"/>
      <c r="K78" s="1821">
        <f>IF(O34=0,0,(IF(P34=0,((DATE(Voorblad!E$3+1,1,1)-DATE(Voorblad!$E$3,(O34),J34))*(H34-(5*I34)))/Voorblad!M$3,((DATE(Voorblad!$E$3,(P34),J34)-DATE(Voorblad!$E$3,(O34),J34))*(H34-(5*I34)))/Voorblad!M$3)))</f>
        <v>0</v>
      </c>
      <c r="L78" s="1821"/>
      <c r="M78" s="1821"/>
      <c r="N78" s="1821"/>
      <c r="O78" s="1821"/>
      <c r="P78" s="1821"/>
      <c r="Q78" s="1180">
        <f>IF(P34=0,0,((DATE(Voorblad!E$3+1,1,1)-DATE(Voorblad!$E$3,(P34),J34))*(H34-(6*I34)))/Voorblad!M$3)</f>
        <v>0</v>
      </c>
      <c r="R78" s="1193">
        <f t="shared" si="16"/>
        <v>0</v>
      </c>
      <c r="S78" s="1361">
        <f t="shared" si="17"/>
        <v>0</v>
      </c>
      <c r="T78"/>
      <c r="U78"/>
      <c r="V78"/>
      <c r="W78"/>
      <c r="X78"/>
      <c r="Y78"/>
      <c r="Z78"/>
      <c r="AA78" s="518">
        <f t="shared" si="18"/>
        <v>0</v>
      </c>
      <c r="AB78" s="518">
        <f t="shared" si="19"/>
        <v>0</v>
      </c>
    </row>
    <row r="79" spans="1:28" s="517" customFormat="1" ht="12.75" customHeight="1">
      <c r="A79" s="867">
        <f t="shared" si="20"/>
        <v>2729</v>
      </c>
      <c r="B79" s="1830">
        <f>IF(I35=0,H35,(((DATE(Voorblad!$E$3,K35,J35)-DATE(Voorblad!$E$3,1,1))*H35)/Voorblad!M$3))</f>
        <v>0</v>
      </c>
      <c r="C79" s="1830"/>
      <c r="D79" s="1821">
        <f>IF(K35=0,0,(IF(L35=0,((DATE(Voorblad!E$3+1,1,1)-DATE(Voorblad!$E$3,(K35),J35))*(H35-(1*I35)))/Voorblad!M$3,((DATE(Voorblad!$E$3,(L35),J35)-DATE(Voorblad!$E$3,(K35),J35))*(H35-(1*I35)))/Voorblad!M$3)))</f>
        <v>0</v>
      </c>
      <c r="E79" s="1821"/>
      <c r="F79" s="1821">
        <f>IF(L35=0,0,(IF(M35=0,((DATE(Voorblad!E$3+1,1,1)-DATE(Voorblad!$E$3,(L35),J35))*(H35-(2*I35)))/365,((DATE(Voorblad!$E$3,(M35),J35)-DATE(Voorblad!$E$3,(L35),J35))*(H35-(2*I35)))/Voorblad!M$3)))</f>
        <v>0</v>
      </c>
      <c r="G79" s="1821"/>
      <c r="H79" s="1179">
        <f>IF(M35=0,0,(IF(N35=0,((DATE(Voorblad!E$3+1,1,1)-DATE(Voorblad!$E$3,(M35),J35))*(H35-(3*I35)))/Voorblad!M$3,((DATE(Voorblad!$E$3,(N35),J35)-DATE(Voorblad!$E$3,(M35),J35))*(H35-(3*I35)))/Voorblad!M$3)))</f>
        <v>0</v>
      </c>
      <c r="I79" s="1821">
        <f>IF(N35=0,0,(IF(O35=0,((DATE(Voorblad!E$3+1,1,1)-DATE(Voorblad!$E$3,(N35),J35))*(H35-(4*I35)))/Voorblad!M$3,((DATE(Voorblad!$E$3,(O35),J35)-DATE(Voorblad!$E$3,(N35),J35))*(H35-(4*I35)))/Voorblad!M$3)))</f>
        <v>0</v>
      </c>
      <c r="J79" s="1821"/>
      <c r="K79" s="1821">
        <f>IF(O35=0,0,(IF(P35=0,((DATE(Voorblad!E$3+1,1,1)-DATE(Voorblad!$E$3,(O35),J35))*(H35-(5*I35)))/Voorblad!M$3,((DATE(Voorblad!$E$3,(P35),J35)-DATE(Voorblad!$E$3,(O35),J35))*(H35-(5*I35)))/Voorblad!M$3)))</f>
        <v>0</v>
      </c>
      <c r="L79" s="1821"/>
      <c r="M79" s="1821"/>
      <c r="N79" s="1821"/>
      <c r="O79" s="1821"/>
      <c r="P79" s="1821"/>
      <c r="Q79" s="1180">
        <f>IF(P35=0,0,((DATE(Voorblad!E$3+1,1,1)-DATE(Voorblad!$E$3,(P35),J35))*(H35-(6*I35)))/Voorblad!M$3)</f>
        <v>0</v>
      </c>
      <c r="R79" s="1193">
        <f t="shared" si="16"/>
        <v>0</v>
      </c>
      <c r="S79" s="1361">
        <f t="shared" si="17"/>
        <v>0</v>
      </c>
      <c r="T79"/>
      <c r="U79"/>
      <c r="V79"/>
      <c r="W79"/>
      <c r="X79"/>
      <c r="Y79"/>
      <c r="Z79"/>
      <c r="AA79" s="518">
        <f t="shared" si="18"/>
        <v>0</v>
      </c>
      <c r="AB79" s="518">
        <f t="shared" si="19"/>
        <v>0</v>
      </c>
    </row>
    <row r="80" spans="1:28" s="517" customFormat="1" ht="12.75" customHeight="1">
      <c r="A80" s="867">
        <f t="shared" si="20"/>
        <v>2730</v>
      </c>
      <c r="B80" s="868"/>
      <c r="C80" s="869"/>
      <c r="D80" s="869"/>
      <c r="E80" s="869"/>
      <c r="F80" s="869"/>
      <c r="G80" s="869"/>
      <c r="H80" s="869"/>
      <c r="I80" s="869"/>
      <c r="J80" s="869"/>
      <c r="K80" s="869"/>
      <c r="L80" s="869"/>
      <c r="M80" s="869"/>
      <c r="N80" s="869"/>
      <c r="O80" s="869"/>
      <c r="P80" s="869"/>
      <c r="Q80" s="870"/>
      <c r="R80" s="1362">
        <f>SUM(R51:R79)</f>
        <v>0</v>
      </c>
      <c r="S80" s="1362">
        <f>SUM(S51:S79)</f>
        <v>0</v>
      </c>
      <c r="T80"/>
      <c r="U80"/>
      <c r="V80"/>
      <c r="W80"/>
      <c r="X80"/>
      <c r="Y80"/>
      <c r="Z80"/>
      <c r="AA80" s="518"/>
      <c r="AB80" s="518"/>
    </row>
    <row r="81" ht="12.75">
      <c r="A81" s="485"/>
    </row>
    <row r="82" spans="1:19" ht="12.75">
      <c r="A82" s="1343"/>
      <c r="B82" s="1344" t="s">
        <v>1436</v>
      </c>
      <c r="C82" s="1345"/>
      <c r="D82" s="1346"/>
      <c r="E82" s="1345"/>
      <c r="F82" s="1347"/>
      <c r="G82" s="1347"/>
      <c r="H82" s="1348"/>
      <c r="I82" s="1341"/>
      <c r="J82" s="728"/>
      <c r="K82" s="728"/>
      <c r="L82" s="728"/>
      <c r="M82" s="728"/>
      <c r="N82" s="728"/>
      <c r="O82" s="728"/>
      <c r="P82" s="728"/>
      <c r="Q82" s="728"/>
      <c r="R82" s="728"/>
      <c r="S82" s="726"/>
    </row>
    <row r="83" spans="1:19" ht="12.75">
      <c r="A83" s="867">
        <f>T46*100+1</f>
        <v>2801</v>
      </c>
      <c r="B83" s="1349" t="s">
        <v>132</v>
      </c>
      <c r="C83" s="1350"/>
      <c r="D83" s="1351"/>
      <c r="E83" s="1350"/>
      <c r="F83" s="1352"/>
      <c r="G83" s="1352"/>
      <c r="H83" s="1353">
        <f>Voorblad!E3</f>
        <v>2005</v>
      </c>
      <c r="I83" s="1342"/>
      <c r="J83" s="728"/>
      <c r="K83" s="728"/>
      <c r="L83" s="728"/>
      <c r="M83" s="728"/>
      <c r="N83" s="728"/>
      <c r="O83" s="728"/>
      <c r="P83" s="728"/>
      <c r="Q83" s="728"/>
      <c r="R83" s="728"/>
      <c r="S83" s="726"/>
    </row>
    <row r="84" spans="1:19" ht="12.75">
      <c r="A84" s="867">
        <f>A83+1</f>
        <v>2802</v>
      </c>
      <c r="B84" s="1349" t="str">
        <f>CONCATENATE("Datumwaarde van 1-1-",H83)</f>
        <v>Datumwaarde van 1-1-2005</v>
      </c>
      <c r="C84" s="1350"/>
      <c r="D84" s="1351"/>
      <c r="E84" s="1350"/>
      <c r="F84" s="1350"/>
      <c r="G84" s="1350"/>
      <c r="H84" s="1354">
        <f>DATE(H83,1,1)</f>
        <v>38353</v>
      </c>
      <c r="J84" s="728"/>
      <c r="K84" s="728"/>
      <c r="L84" s="728"/>
      <c r="M84" s="728"/>
      <c r="N84" s="728"/>
      <c r="O84" s="728"/>
      <c r="P84" s="728"/>
      <c r="Q84" s="728"/>
      <c r="R84" s="728"/>
      <c r="S84" s="726"/>
    </row>
    <row r="85" spans="1:19" ht="12.75">
      <c r="A85" s="867">
        <f>A84+1</f>
        <v>2803</v>
      </c>
      <c r="B85" s="1349" t="str">
        <f>CONCATENATE("Datumwaarde van 1-1-",H83+1)</f>
        <v>Datumwaarde van 1-1-2006</v>
      </c>
      <c r="C85" s="1352"/>
      <c r="D85" s="1355"/>
      <c r="E85" s="1352"/>
      <c r="F85" s="1352"/>
      <c r="G85" s="1352"/>
      <c r="H85" s="1356">
        <f>DATE(H83+1,1,1)</f>
        <v>38718</v>
      </c>
      <c r="I85" s="728"/>
      <c r="J85" s="728"/>
      <c r="K85" s="728"/>
      <c r="L85" s="728"/>
      <c r="M85" s="728"/>
      <c r="N85" s="728"/>
      <c r="O85" s="728"/>
      <c r="P85" s="728"/>
      <c r="Q85" s="728"/>
      <c r="R85" s="728"/>
      <c r="S85" s="726"/>
    </row>
    <row r="86" spans="1:19" ht="12.75">
      <c r="A86" s="867">
        <f>A85+1</f>
        <v>2804</v>
      </c>
      <c r="B86" s="1357" t="str">
        <f>CONCATENATE("Aantal dagen van ",H83)</f>
        <v>Aantal dagen van 2005</v>
      </c>
      <c r="C86" s="1358"/>
      <c r="D86" s="1359"/>
      <c r="E86" s="1358"/>
      <c r="F86" s="1358"/>
      <c r="G86" s="1358"/>
      <c r="H86" s="1360">
        <f>H85-H84</f>
        <v>365</v>
      </c>
      <c r="I86" s="728"/>
      <c r="J86" s="728"/>
      <c r="K86" s="728"/>
      <c r="L86" s="728"/>
      <c r="M86" s="728"/>
      <c r="N86" s="728"/>
      <c r="O86" s="728"/>
      <c r="P86" s="728"/>
      <c r="Q86" s="728"/>
      <c r="R86" s="728"/>
      <c r="S86" s="726"/>
    </row>
    <row r="87" spans="1:19" ht="12.75">
      <c r="A87" s="725"/>
      <c r="B87" s="726"/>
      <c r="C87" s="726"/>
      <c r="D87" s="727"/>
      <c r="E87" s="726"/>
      <c r="F87" s="726"/>
      <c r="G87" s="726"/>
      <c r="H87" s="728"/>
      <c r="I87" s="728"/>
      <c r="J87" s="728"/>
      <c r="K87" s="728"/>
      <c r="L87" s="728"/>
      <c r="M87" s="728"/>
      <c r="N87" s="728"/>
      <c r="O87" s="728"/>
      <c r="P87" s="728"/>
      <c r="Q87" s="728"/>
      <c r="R87" s="728"/>
      <c r="S87" s="726"/>
    </row>
  </sheetData>
  <sheetProtection password="958F" sheet="1" objects="1" scenarios="1"/>
  <mergeCells count="150">
    <mergeCell ref="I59:J59"/>
    <mergeCell ref="I60:J60"/>
    <mergeCell ref="K60:P60"/>
    <mergeCell ref="I58:J58"/>
    <mergeCell ref="K58:P58"/>
    <mergeCell ref="K59:P59"/>
    <mergeCell ref="B60:C60"/>
    <mergeCell ref="D55:E55"/>
    <mergeCell ref="B59:C59"/>
    <mergeCell ref="D59:E59"/>
    <mergeCell ref="D56:E56"/>
    <mergeCell ref="D60:E60"/>
    <mergeCell ref="D57:E57"/>
    <mergeCell ref="D58:E58"/>
    <mergeCell ref="B79:C79"/>
    <mergeCell ref="B78:C78"/>
    <mergeCell ref="I56:J56"/>
    <mergeCell ref="K56:P56"/>
    <mergeCell ref="B71:C71"/>
    <mergeCell ref="B72:C72"/>
    <mergeCell ref="B75:C75"/>
    <mergeCell ref="B76:C76"/>
    <mergeCell ref="B77:C77"/>
    <mergeCell ref="B57:C57"/>
    <mergeCell ref="B68:C68"/>
    <mergeCell ref="B69:C69"/>
    <mergeCell ref="B70:C70"/>
    <mergeCell ref="B74:C74"/>
    <mergeCell ref="B73:C73"/>
    <mergeCell ref="B64:C64"/>
    <mergeCell ref="B65:C65"/>
    <mergeCell ref="B66:C66"/>
    <mergeCell ref="B67:C67"/>
    <mergeCell ref="B61:C61"/>
    <mergeCell ref="B62:C62"/>
    <mergeCell ref="B63:C63"/>
    <mergeCell ref="B51:C51"/>
    <mergeCell ref="B52:C52"/>
    <mergeCell ref="B53:C53"/>
    <mergeCell ref="B54:C54"/>
    <mergeCell ref="B56:C56"/>
    <mergeCell ref="B55:C55"/>
    <mergeCell ref="B58:C58"/>
    <mergeCell ref="F60:G60"/>
    <mergeCell ref="F61:G61"/>
    <mergeCell ref="F71:G71"/>
    <mergeCell ref="D66:E66"/>
    <mergeCell ref="F66:G66"/>
    <mergeCell ref="D68:E68"/>
    <mergeCell ref="F68:G68"/>
    <mergeCell ref="D61:E61"/>
    <mergeCell ref="D65:E65"/>
    <mergeCell ref="F65:G65"/>
    <mergeCell ref="F58:G58"/>
    <mergeCell ref="F53:G53"/>
    <mergeCell ref="F54:G54"/>
    <mergeCell ref="F55:G55"/>
    <mergeCell ref="F57:G57"/>
    <mergeCell ref="D54:E54"/>
    <mergeCell ref="F59:G59"/>
    <mergeCell ref="F56:G56"/>
    <mergeCell ref="I79:J79"/>
    <mergeCell ref="I73:J73"/>
    <mergeCell ref="F69:G69"/>
    <mergeCell ref="F70:G70"/>
    <mergeCell ref="I78:J78"/>
    <mergeCell ref="I76:J76"/>
    <mergeCell ref="I77:J77"/>
    <mergeCell ref="D79:E79"/>
    <mergeCell ref="F72:G72"/>
    <mergeCell ref="F79:G79"/>
    <mergeCell ref="D73:E73"/>
    <mergeCell ref="F73:G73"/>
    <mergeCell ref="F76:G76"/>
    <mergeCell ref="F77:G77"/>
    <mergeCell ref="F78:G78"/>
    <mergeCell ref="D75:E75"/>
    <mergeCell ref="F75:G75"/>
    <mergeCell ref="K79:P79"/>
    <mergeCell ref="D52:E52"/>
    <mergeCell ref="D76:E76"/>
    <mergeCell ref="D77:E77"/>
    <mergeCell ref="D78:E78"/>
    <mergeCell ref="D69:E69"/>
    <mergeCell ref="D70:E70"/>
    <mergeCell ref="I57:J57"/>
    <mergeCell ref="K57:P57"/>
    <mergeCell ref="I72:J72"/>
    <mergeCell ref="K76:P76"/>
    <mergeCell ref="K77:P77"/>
    <mergeCell ref="K78:P78"/>
    <mergeCell ref="K72:P72"/>
    <mergeCell ref="I5:P5"/>
    <mergeCell ref="I52:J52"/>
    <mergeCell ref="I50:J50"/>
    <mergeCell ref="K50:P50"/>
    <mergeCell ref="K52:P52"/>
    <mergeCell ref="I51:J51"/>
    <mergeCell ref="K51:P51"/>
    <mergeCell ref="A41:T43"/>
    <mergeCell ref="F51:G51"/>
    <mergeCell ref="D51:E51"/>
    <mergeCell ref="I55:J55"/>
    <mergeCell ref="K55:P55"/>
    <mergeCell ref="K6:P6"/>
    <mergeCell ref="I54:J54"/>
    <mergeCell ref="K54:P54"/>
    <mergeCell ref="D53:E53"/>
    <mergeCell ref="I53:J53"/>
    <mergeCell ref="K53:P53"/>
    <mergeCell ref="F52:G52"/>
    <mergeCell ref="I75:J75"/>
    <mergeCell ref="K75:P75"/>
    <mergeCell ref="D62:E62"/>
    <mergeCell ref="I62:J62"/>
    <mergeCell ref="K62:P62"/>
    <mergeCell ref="D63:E63"/>
    <mergeCell ref="I63:J63"/>
    <mergeCell ref="K63:P63"/>
    <mergeCell ref="D74:E74"/>
    <mergeCell ref="K73:P73"/>
    <mergeCell ref="F62:G62"/>
    <mergeCell ref="D71:E71"/>
    <mergeCell ref="F63:G63"/>
    <mergeCell ref="K71:P71"/>
    <mergeCell ref="I71:J71"/>
    <mergeCell ref="K64:P64"/>
    <mergeCell ref="I65:J65"/>
    <mergeCell ref="K65:P65"/>
    <mergeCell ref="I66:J66"/>
    <mergeCell ref="K66:P66"/>
    <mergeCell ref="F74:G74"/>
    <mergeCell ref="D64:E64"/>
    <mergeCell ref="F64:G64"/>
    <mergeCell ref="I64:J64"/>
    <mergeCell ref="D72:E72"/>
    <mergeCell ref="D67:E67"/>
    <mergeCell ref="F67:G67"/>
    <mergeCell ref="I67:J67"/>
    <mergeCell ref="I68:J68"/>
    <mergeCell ref="I69:J69"/>
    <mergeCell ref="I74:J74"/>
    <mergeCell ref="K74:P74"/>
    <mergeCell ref="I61:J61"/>
    <mergeCell ref="K61:P61"/>
    <mergeCell ref="K67:P67"/>
    <mergeCell ref="K68:P68"/>
    <mergeCell ref="K69:P69"/>
    <mergeCell ref="K70:P70"/>
    <mergeCell ref="I70:J70"/>
  </mergeCells>
  <conditionalFormatting sqref="A83:A86 A51:A80">
    <cfRule type="cellIs" priority="1" dxfId="6" operator="equal" stopIfTrue="1">
      <formula>0</formula>
    </cfRule>
  </conditionalFormatting>
  <conditionalFormatting sqref="Q35:T35 H35:I35 R37:R38 T7:T34 B7:P34 R7:R34">
    <cfRule type="expression" priority="2" dxfId="2" stopIfTrue="1">
      <formula>$Q$2=TRUE</formula>
    </cfRule>
  </conditionalFormatting>
  <dataValidations count="1">
    <dataValidation type="list" allowBlank="1" showInputMessage="1" showErrorMessage="1" sqref="G7:G34">
      <formula1>"N,W,V"</formula1>
    </dataValidation>
  </dataValidations>
  <printOptions/>
  <pageMargins left="0.3937007874015748" right="0.3937007874015748" top="0.3937007874015748" bottom="0.3937007874015748" header="0.6299212598425197" footer="0.11811023622047245"/>
  <pageSetup horizontalDpi="300" verticalDpi="300" orientation="landscape" paperSize="9" scale="95" r:id="rId2"/>
  <headerFooter alignWithMargins="0">
    <oddHeader xml:space="preserve">&amp;R&amp;9 </oddHeader>
  </headerFooter>
  <rowBreaks count="1" manualBreakCount="1">
    <brk id="44" max="255" man="1"/>
  </rowBreaks>
  <drawing r:id="rId1"/>
</worksheet>
</file>

<file path=xl/worksheets/sheet15.xml><?xml version="1.0" encoding="utf-8"?>
<worksheet xmlns="http://schemas.openxmlformats.org/spreadsheetml/2006/main" xmlns:r="http://schemas.openxmlformats.org/officeDocument/2006/relationships">
  <sheetPr codeName="Blad15"/>
  <dimension ref="A1:Q43"/>
  <sheetViews>
    <sheetView showGridLines="0" zoomScale="86" zoomScaleNormal="86" workbookViewId="0" topLeftCell="A1">
      <selection activeCell="A2" sqref="A2"/>
    </sheetView>
  </sheetViews>
  <sheetFormatPr defaultColWidth="9.140625" defaultRowHeight="12.75"/>
  <cols>
    <col min="1" max="1" width="5.7109375" style="474" customWidth="1"/>
    <col min="2" max="2" width="81.8515625" style="440" customWidth="1"/>
    <col min="3" max="4" width="17.7109375" style="436" customWidth="1"/>
    <col min="5" max="5" width="17.7109375" style="440" customWidth="1"/>
    <col min="6" max="6" width="9.140625" style="440" customWidth="1"/>
    <col min="7" max="7" width="10.7109375" style="441" customWidth="1"/>
    <col min="8" max="8" width="10.7109375" style="442" customWidth="1"/>
    <col min="9" max="13" width="10.7109375" style="441" customWidth="1"/>
    <col min="14" max="21" width="9.140625" style="440" customWidth="1"/>
    <col min="22" max="22" width="1.7109375" style="440" customWidth="1"/>
    <col min="23" max="16384" width="9.140625" style="440" customWidth="1"/>
  </cols>
  <sheetData>
    <row r="1" spans="1:5" ht="15.75" customHeight="1">
      <c r="A1" s="717"/>
      <c r="B1" s="692"/>
      <c r="C1" s="2"/>
      <c r="D1" s="2"/>
      <c r="E1" s="692"/>
    </row>
    <row r="2" spans="1:13" s="446" customFormat="1" ht="15.75" customHeight="1">
      <c r="A2" s="6" t="str">
        <f>CONCATENATE("Bijlage ",LEFT(A5,1)," en ",LEFT(A28,1)," bij het nacalculatieformulier ",Voorblad!E3," ",Voorblad!$A$5)</f>
        <v>Bijlage G en H bij het nacalculatieformulier 2005 GGZ-instellingen</v>
      </c>
      <c r="B2" s="7"/>
      <c r="C2" s="8" t="b">
        <f>Voorblad!E28</f>
        <v>1</v>
      </c>
      <c r="D2" s="8"/>
      <c r="E2" s="1262">
        <f>F!T46+1</f>
        <v>29</v>
      </c>
      <c r="G2" s="447"/>
      <c r="H2" s="448"/>
      <c r="I2" s="447"/>
      <c r="J2" s="447"/>
      <c r="K2" s="447"/>
      <c r="L2" s="447"/>
      <c r="M2" s="447"/>
    </row>
    <row r="3" spans="1:8" s="453" customFormat="1" ht="12.75" customHeight="1">
      <c r="A3" s="671"/>
      <c r="B3" s="603"/>
      <c r="C3" s="42"/>
      <c r="D3" s="42"/>
      <c r="E3" s="603"/>
      <c r="H3" s="451"/>
    </row>
    <row r="4" spans="1:2" s="446" customFormat="1" ht="12.75" customHeight="1">
      <c r="A4" s="21"/>
      <c r="B4" s="222"/>
    </row>
    <row r="5" spans="1:5" s="453" customFormat="1" ht="12.75" customHeight="1">
      <c r="A5" s="671" t="s">
        <v>1012</v>
      </c>
      <c r="B5" s="719" t="s">
        <v>1014</v>
      </c>
      <c r="C5" s="175"/>
      <c r="D5" s="42"/>
      <c r="E5" s="603"/>
    </row>
    <row r="6" spans="2:8" s="453" customFormat="1" ht="12.75" customHeight="1">
      <c r="B6" s="1153"/>
      <c r="C6" s="223" t="str">
        <f>CONCATENATE("31-12-",Voorblad!E3-1," ")</f>
        <v>31-12-2004 </v>
      </c>
      <c r="D6" s="223" t="str">
        <f>CONCATENATE("31-12-",Voorblad!E3," ")</f>
        <v>31-12-2005 </v>
      </c>
      <c r="E6" s="223" t="str">
        <f>CONCATENATE("Gemiddeld ",Voorblad!E3," ")</f>
        <v>Gemiddeld 2005 </v>
      </c>
      <c r="H6" s="451"/>
    </row>
    <row r="7" spans="1:5" s="453" customFormat="1" ht="12.75" customHeight="1">
      <c r="A7" s="761">
        <f>(100*E2)+1</f>
        <v>2901</v>
      </c>
      <c r="B7" s="1195" t="s">
        <v>825</v>
      </c>
      <c r="C7" s="434"/>
      <c r="D7" s="434"/>
      <c r="E7" s="484">
        <f aca="true" t="shared" si="0" ref="E7:E18">(C7+D7)/2</f>
        <v>0</v>
      </c>
    </row>
    <row r="8" spans="1:5" s="453" customFormat="1" ht="12.75" customHeight="1">
      <c r="A8" s="761">
        <f>A7+1</f>
        <v>2902</v>
      </c>
      <c r="B8" s="871" t="s">
        <v>826</v>
      </c>
      <c r="C8" s="434"/>
      <c r="D8" s="434"/>
      <c r="E8" s="484">
        <f t="shared" si="0"/>
        <v>0</v>
      </c>
    </row>
    <row r="9" spans="1:5" s="453" customFormat="1" ht="12.75" customHeight="1">
      <c r="A9" s="761">
        <f aca="true" t="shared" si="1" ref="A9:A22">A8+1</f>
        <v>2903</v>
      </c>
      <c r="B9" s="871" t="s">
        <v>827</v>
      </c>
      <c r="C9" s="434"/>
      <c r="D9" s="434"/>
      <c r="E9" s="484">
        <f t="shared" si="0"/>
        <v>0</v>
      </c>
    </row>
    <row r="10" spans="1:17" s="453" customFormat="1" ht="12.75" customHeight="1">
      <c r="A10" s="761">
        <f t="shared" si="1"/>
        <v>2904</v>
      </c>
      <c r="B10" s="871" t="s">
        <v>828</v>
      </c>
      <c r="C10" s="434"/>
      <c r="D10" s="434"/>
      <c r="E10" s="484">
        <f t="shared" si="0"/>
        <v>0</v>
      </c>
      <c r="Q10" s="471"/>
    </row>
    <row r="11" spans="1:5" s="453" customFormat="1" ht="12.75" customHeight="1">
      <c r="A11" s="761">
        <f t="shared" si="1"/>
        <v>2905</v>
      </c>
      <c r="B11" s="871" t="s">
        <v>829</v>
      </c>
      <c r="C11" s="434"/>
      <c r="D11" s="434"/>
      <c r="E11" s="484">
        <f t="shared" si="0"/>
        <v>0</v>
      </c>
    </row>
    <row r="12" spans="1:5" s="453" customFormat="1" ht="12.75" customHeight="1">
      <c r="A12" s="761">
        <f t="shared" si="1"/>
        <v>2906</v>
      </c>
      <c r="B12" s="871" t="s">
        <v>830</v>
      </c>
      <c r="C12" s="434"/>
      <c r="D12" s="434"/>
      <c r="E12" s="484">
        <f t="shared" si="0"/>
        <v>0</v>
      </c>
    </row>
    <row r="13" spans="1:5" s="453" customFormat="1" ht="12.75" customHeight="1">
      <c r="A13" s="761">
        <f t="shared" si="1"/>
        <v>2907</v>
      </c>
      <c r="B13" s="871" t="s">
        <v>831</v>
      </c>
      <c r="C13" s="434"/>
      <c r="D13" s="434"/>
      <c r="E13" s="484">
        <f t="shared" si="0"/>
        <v>0</v>
      </c>
    </row>
    <row r="14" spans="1:5" s="453" customFormat="1" ht="12.75" customHeight="1">
      <c r="A14" s="761">
        <f t="shared" si="1"/>
        <v>2908</v>
      </c>
      <c r="B14" s="871" t="s">
        <v>832</v>
      </c>
      <c r="C14" s="434"/>
      <c r="D14" s="434"/>
      <c r="E14" s="484">
        <f t="shared" si="0"/>
        <v>0</v>
      </c>
    </row>
    <row r="15" spans="1:5" s="453" customFormat="1" ht="12.75" customHeight="1">
      <c r="A15" s="761">
        <f t="shared" si="1"/>
        <v>2909</v>
      </c>
      <c r="B15" s="871" t="s">
        <v>833</v>
      </c>
      <c r="C15" s="434"/>
      <c r="D15" s="434"/>
      <c r="E15" s="484">
        <f t="shared" si="0"/>
        <v>0</v>
      </c>
    </row>
    <row r="16" spans="1:5" s="453" customFormat="1" ht="12.75" customHeight="1">
      <c r="A16" s="761">
        <f t="shared" si="1"/>
        <v>2910</v>
      </c>
      <c r="B16" s="871" t="s">
        <v>834</v>
      </c>
      <c r="C16" s="434"/>
      <c r="D16" s="434"/>
      <c r="E16" s="484">
        <f t="shared" si="0"/>
        <v>0</v>
      </c>
    </row>
    <row r="17" spans="1:5" s="453" customFormat="1" ht="12.75" customHeight="1">
      <c r="A17" s="761">
        <f t="shared" si="1"/>
        <v>2911</v>
      </c>
      <c r="B17" s="871" t="s">
        <v>835</v>
      </c>
      <c r="C17" s="434"/>
      <c r="D17" s="434"/>
      <c r="E17" s="484">
        <f t="shared" si="0"/>
        <v>0</v>
      </c>
    </row>
    <row r="18" spans="1:5" s="453" customFormat="1" ht="12.75" customHeight="1">
      <c r="A18" s="761">
        <f t="shared" si="1"/>
        <v>2912</v>
      </c>
      <c r="B18" s="500"/>
      <c r="C18" s="434"/>
      <c r="D18" s="434"/>
      <c r="E18" s="484">
        <f t="shared" si="0"/>
        <v>0</v>
      </c>
    </row>
    <row r="19" spans="1:5" s="453" customFormat="1" ht="12.75" customHeight="1">
      <c r="A19" s="761">
        <f t="shared" si="1"/>
        <v>2913</v>
      </c>
      <c r="B19" s="815" t="str">
        <f>CONCATENATE("Totaal eigen vermogen *) conform jaarrekening (",A7," t/m ",A18,")")</f>
        <v>Totaal eigen vermogen *) conform jaarrekening (2901 t/m 2912)</v>
      </c>
      <c r="C19" s="832">
        <f>SUM(C7:C18)</f>
        <v>0</v>
      </c>
      <c r="D19" s="832">
        <f>SUM(D7:D18)</f>
        <v>0</v>
      </c>
      <c r="E19" s="952">
        <f>SUM(E7:E18)</f>
        <v>0</v>
      </c>
    </row>
    <row r="20" spans="1:5" s="453" customFormat="1" ht="12.75" customHeight="1">
      <c r="A20" s="761">
        <f t="shared" si="1"/>
        <v>2914</v>
      </c>
      <c r="B20" s="875" t="s">
        <v>1439</v>
      </c>
      <c r="C20" s="951"/>
      <c r="D20" s="800">
        <v>0</v>
      </c>
      <c r="E20" s="873">
        <f>(C20+D20)/2</f>
        <v>0</v>
      </c>
    </row>
    <row r="21" spans="1:5" s="453" customFormat="1" ht="12.75" customHeight="1">
      <c r="A21" s="761">
        <f t="shared" si="1"/>
        <v>2915</v>
      </c>
      <c r="B21" s="255" t="s">
        <v>853</v>
      </c>
      <c r="C21" s="872">
        <v>0</v>
      </c>
      <c r="D21" s="800">
        <v>0</v>
      </c>
      <c r="E21" s="873">
        <f>(C21+D21)/2</f>
        <v>0</v>
      </c>
    </row>
    <row r="22" spans="1:5" s="453" customFormat="1" ht="12.75" customHeight="1">
      <c r="A22" s="761">
        <f t="shared" si="1"/>
        <v>2916</v>
      </c>
      <c r="B22" s="255" t="s">
        <v>1437</v>
      </c>
      <c r="C22" s="872">
        <v>0</v>
      </c>
      <c r="D22" s="800">
        <v>0</v>
      </c>
      <c r="E22" s="873">
        <f>(C22+D22)/2</f>
        <v>0</v>
      </c>
    </row>
    <row r="23" spans="1:5" s="453" customFormat="1" ht="12.75" customHeight="1">
      <c r="A23" s="761">
        <f>A22+1</f>
        <v>2917</v>
      </c>
      <c r="B23" s="255" t="s">
        <v>1438</v>
      </c>
      <c r="C23" s="872">
        <v>0</v>
      </c>
      <c r="D23" s="800">
        <v>0</v>
      </c>
      <c r="E23" s="873">
        <f>(C23+D23)/2</f>
        <v>0</v>
      </c>
    </row>
    <row r="24" spans="1:5" s="453" customFormat="1" ht="12.75" customHeight="1">
      <c r="A24" s="761">
        <f>A23+1</f>
        <v>2918</v>
      </c>
      <c r="B24" s="255" t="s">
        <v>786</v>
      </c>
      <c r="C24" s="872">
        <v>0</v>
      </c>
      <c r="D24" s="800">
        <v>0</v>
      </c>
      <c r="E24" s="873">
        <f>(C24+D24)/2</f>
        <v>0</v>
      </c>
    </row>
    <row r="25" spans="1:5" s="453" customFormat="1" ht="12.75" customHeight="1">
      <c r="A25" s="761">
        <f>A24+1</f>
        <v>2919</v>
      </c>
      <c r="B25" s="815" t="str">
        <f>CONCATENATE("In aanmerking te nemen eigen vermogen (",A19," -/- ",A20," t/m ",A24,")")</f>
        <v>In aanmerking te nemen eigen vermogen (2913 -/- 2914 t/m 2918)</v>
      </c>
      <c r="C25" s="832">
        <f>C19-SUM(C20:C24)</f>
        <v>0</v>
      </c>
      <c r="D25" s="832">
        <f>D19-SUM(D20:D24)</f>
        <v>0</v>
      </c>
      <c r="E25" s="832">
        <f>E19-SUM(E20:E24)</f>
        <v>0</v>
      </c>
    </row>
    <row r="26" spans="1:8" s="453" customFormat="1" ht="12.75" customHeight="1">
      <c r="A26" s="671"/>
      <c r="B26" s="603" t="s">
        <v>1440</v>
      </c>
      <c r="C26" s="456"/>
      <c r="D26" s="456"/>
      <c r="H26" s="451"/>
    </row>
    <row r="27" spans="1:9" s="453" customFormat="1" ht="12.75" customHeight="1">
      <c r="A27" s="603"/>
      <c r="B27" s="689"/>
      <c r="C27" s="476"/>
      <c r="I27" s="456"/>
    </row>
    <row r="28" spans="1:3" s="475" customFormat="1" ht="12.75" customHeight="1">
      <c r="A28" s="671" t="s">
        <v>1013</v>
      </c>
      <c r="B28" s="676" t="s">
        <v>1352</v>
      </c>
      <c r="C28" s="519"/>
    </row>
    <row r="29" spans="2:9" s="453" customFormat="1" ht="12.75" customHeight="1">
      <c r="B29" s="1199"/>
      <c r="C29" s="1200"/>
      <c r="D29" s="1201"/>
      <c r="E29" s="221" t="s">
        <v>974</v>
      </c>
      <c r="I29" s="456"/>
    </row>
    <row r="30" spans="1:5" s="456" customFormat="1" ht="12.75" customHeight="1">
      <c r="A30" s="761">
        <f>A25+1</f>
        <v>2920</v>
      </c>
      <c r="B30" s="1196" t="str">
        <f>CONCATENATE("Rente lange leningen bijlage ",LEFT(F!A4)," (exclusief eventuele boeterente van conversies)")</f>
        <v>Rente lange leningen bijlage F (exclusief eventuele boeterente van conversies)</v>
      </c>
      <c r="C30" s="1197"/>
      <c r="D30" s="1198"/>
      <c r="E30" s="484">
        <f>F!T39</f>
        <v>0</v>
      </c>
    </row>
    <row r="31" spans="1:5" s="456" customFormat="1" ht="12.75" customHeight="1">
      <c r="A31" s="761">
        <f>A30+1</f>
        <v>2921</v>
      </c>
      <c r="B31" s="875" t="s">
        <v>852</v>
      </c>
      <c r="C31" s="511"/>
      <c r="D31" s="473"/>
      <c r="E31" s="434"/>
    </row>
    <row r="32" spans="1:5" s="456" customFormat="1" ht="12.75" customHeight="1">
      <c r="A32" s="761">
        <f>A31+1</f>
        <v>2922</v>
      </c>
      <c r="B32" s="874" t="s">
        <v>1353</v>
      </c>
      <c r="C32" s="511"/>
      <c r="D32" s="473"/>
      <c r="E32" s="434"/>
    </row>
    <row r="33" spans="1:5" s="456" customFormat="1" ht="12.75" customHeight="1">
      <c r="A33" s="761">
        <f>A32+1</f>
        <v>2923</v>
      </c>
      <c r="B33" s="876" t="str">
        <f>CONCATENATE("Intrest leasingcontracten (corresponderend leningbedrag invullen op regel ",F!A38,")")</f>
        <v>Intrest leasingcontracten (corresponderend leningbedrag invullen op regel 2732)</v>
      </c>
      <c r="C33" s="877"/>
      <c r="D33" s="878"/>
      <c r="E33" s="764"/>
    </row>
    <row r="34" spans="1:5" s="456" customFormat="1" ht="12">
      <c r="A34" s="761">
        <f>A33+1</f>
        <v>2924</v>
      </c>
      <c r="B34" s="852" t="str">
        <f>CONCATENATE("Totaal regels ",A30," t/m ",A33)</f>
        <v>Totaal regels 2920 t/m 2923</v>
      </c>
      <c r="C34" s="879"/>
      <c r="D34" s="880"/>
      <c r="E34" s="850">
        <f>SUM(E30:E33)</f>
        <v>0</v>
      </c>
    </row>
    <row r="35" ht="12.75" customHeight="1"/>
    <row r="36" spans="1:5" ht="12.75" customHeight="1">
      <c r="A36" s="981" t="s">
        <v>796</v>
      </c>
      <c r="B36" s="722"/>
      <c r="C36" s="722"/>
      <c r="D36" s="722"/>
      <c r="E36" s="722"/>
    </row>
    <row r="37" spans="1:5" ht="12.75" customHeight="1">
      <c r="A37" s="722"/>
      <c r="B37" s="722"/>
      <c r="C37" s="722"/>
      <c r="D37" s="722"/>
      <c r="E37" s="722"/>
    </row>
    <row r="38" spans="1:5" ht="12.75" customHeight="1">
      <c r="A38" s="722"/>
      <c r="B38" s="722"/>
      <c r="C38" s="722"/>
      <c r="D38" s="722"/>
      <c r="E38" s="722"/>
    </row>
    <row r="39" spans="1:5" ht="12.75" customHeight="1">
      <c r="A39" s="722"/>
      <c r="B39" s="722"/>
      <c r="C39" s="722"/>
      <c r="D39" s="722"/>
      <c r="E39" s="722"/>
    </row>
    <row r="40" spans="1:5" ht="12.75" customHeight="1">
      <c r="A40" s="722"/>
      <c r="B40" s="722"/>
      <c r="C40" s="722"/>
      <c r="D40" s="722"/>
      <c r="E40" s="722"/>
    </row>
    <row r="41" spans="1:5" ht="12.75">
      <c r="A41" s="722"/>
      <c r="B41" s="722"/>
      <c r="C41" s="722"/>
      <c r="D41" s="722"/>
      <c r="E41" s="722"/>
    </row>
    <row r="42" spans="1:5" ht="12.75">
      <c r="A42" s="722"/>
      <c r="B42" s="722"/>
      <c r="C42" s="722"/>
      <c r="D42" s="722"/>
      <c r="E42" s="722"/>
    </row>
    <row r="43" spans="1:5" ht="12.75">
      <c r="A43" s="723"/>
      <c r="B43" s="722"/>
      <c r="C43" s="724"/>
      <c r="D43" s="724"/>
      <c r="E43" s="722"/>
    </row>
  </sheetData>
  <sheetProtection password="958F" sheet="1" objects="1" scenarios="1"/>
  <conditionalFormatting sqref="C7:D18 B18 C21:D24 D20">
    <cfRule type="expression" priority="1" dxfId="2" stopIfTrue="1">
      <formula>$C$2=TRUE</formula>
    </cfRule>
  </conditionalFormatting>
  <conditionalFormatting sqref="E31:E33">
    <cfRule type="expression" priority="2" dxfId="2" stopIfTrue="1">
      <formula>$C$2=TRUE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scale="95" r:id="rId2"/>
  <headerFooter alignWithMargins="0">
    <oddHeader xml:space="preserve">&amp;R&amp;9 </oddHeader>
  </headerFooter>
  <drawing r:id="rId1"/>
</worksheet>
</file>

<file path=xl/worksheets/sheet16.xml><?xml version="1.0" encoding="utf-8"?>
<worksheet xmlns="http://schemas.openxmlformats.org/spreadsheetml/2006/main" xmlns:r="http://schemas.openxmlformats.org/officeDocument/2006/relationships">
  <dimension ref="A1:F131"/>
  <sheetViews>
    <sheetView showGridLines="0" zoomScale="86" zoomScaleNormal="86" workbookViewId="0" topLeftCell="A1">
      <selection activeCell="A2" sqref="A2"/>
    </sheetView>
  </sheetViews>
  <sheetFormatPr defaultColWidth="9.140625" defaultRowHeight="12.75"/>
  <cols>
    <col min="1" max="1" width="5.7109375" style="0" customWidth="1"/>
    <col min="2" max="2" width="109.57421875" style="0" customWidth="1"/>
    <col min="3" max="3" width="0.71875" style="0" customWidth="1"/>
    <col min="4" max="6" width="8.28125" style="0" customWidth="1"/>
    <col min="7" max="7" width="2.421875" style="0" customWidth="1"/>
  </cols>
  <sheetData>
    <row r="1" spans="1:6" ht="12.75">
      <c r="A1" s="953"/>
      <c r="B1" s="954"/>
      <c r="C1" s="954"/>
      <c r="D1" s="955"/>
      <c r="E1" s="955"/>
      <c r="F1" s="956"/>
    </row>
    <row r="2" spans="1:6" ht="15.75" customHeight="1">
      <c r="A2" s="957" t="str">
        <f>Inhoud!$A$2</f>
        <v>Nacalculatieformulier 2005 GGZ-instellingen</v>
      </c>
      <c r="B2" s="958"/>
      <c r="C2" s="1320" t="b">
        <f>Voorblad!E28</f>
        <v>1</v>
      </c>
      <c r="D2" s="1317"/>
      <c r="E2" s="1318"/>
      <c r="F2" s="1319">
        <f>'G-H'!E2+1</f>
        <v>30</v>
      </c>
    </row>
    <row r="3" spans="1:6" ht="12.75">
      <c r="A3" s="953"/>
      <c r="B3" s="954"/>
      <c r="C3" s="954"/>
      <c r="D3" s="955"/>
      <c r="E3" s="955"/>
      <c r="F3" s="956"/>
    </row>
    <row r="4" spans="1:6" ht="12.75">
      <c r="A4" s="959" t="s">
        <v>795</v>
      </c>
      <c r="B4" s="960"/>
      <c r="C4" s="961"/>
      <c r="D4" s="961"/>
      <c r="E4" s="961"/>
      <c r="F4" s="961"/>
    </row>
    <row r="5" spans="1:6" ht="12.75">
      <c r="A5" t="s">
        <v>789</v>
      </c>
      <c r="B5" s="963"/>
      <c r="C5" s="961"/>
      <c r="D5" s="961"/>
      <c r="E5" s="961"/>
      <c r="F5" s="961"/>
    </row>
    <row r="6" spans="1:6" ht="12.75">
      <c r="A6" s="962" t="s">
        <v>790</v>
      </c>
      <c r="B6" s="963"/>
      <c r="C6" s="961"/>
      <c r="D6" s="1865" t="str">
        <f>CONCATENATE("Instelling: ",Voorblad!F9,".",Voorblad!G9)</f>
        <v>Instelling: 120.</v>
      </c>
      <c r="E6" s="1866"/>
      <c r="F6" s="961"/>
    </row>
    <row r="7" spans="1:6" ht="12.75">
      <c r="A7" s="962" t="s">
        <v>794</v>
      </c>
      <c r="B7" s="963"/>
      <c r="C7" s="961"/>
      <c r="D7" s="961"/>
      <c r="E7" s="961"/>
      <c r="F7" s="961"/>
    </row>
    <row r="8" spans="1:6" ht="12.75">
      <c r="A8" s="964"/>
      <c r="B8" s="964"/>
      <c r="C8" s="961"/>
      <c r="D8" s="961"/>
      <c r="E8" s="961"/>
      <c r="F8" s="961"/>
    </row>
    <row r="9" spans="1:6" ht="12.75">
      <c r="A9" s="961"/>
      <c r="B9" s="961"/>
      <c r="C9" s="961"/>
      <c r="D9" s="1867" t="s">
        <v>787</v>
      </c>
      <c r="E9" s="1868"/>
      <c r="F9" s="1869"/>
    </row>
    <row r="10" spans="1:6" ht="12.75">
      <c r="A10" s="961"/>
      <c r="B10" s="961"/>
      <c r="C10" s="961"/>
      <c r="D10" s="965">
        <v>1</v>
      </c>
      <c r="E10" s="965">
        <v>2</v>
      </c>
      <c r="F10" s="965">
        <v>3</v>
      </c>
    </row>
    <row r="11" spans="1:5" ht="12.75">
      <c r="A11" s="959" t="s">
        <v>788</v>
      </c>
      <c r="B11" s="961"/>
      <c r="C11" s="961"/>
      <c r="D11" s="961"/>
      <c r="E11" s="961"/>
    </row>
    <row r="12" spans="1:6" ht="12.75">
      <c r="A12" s="1831">
        <v>1</v>
      </c>
      <c r="B12" s="1845" t="s">
        <v>798</v>
      </c>
      <c r="C12" s="1852"/>
      <c r="D12" s="1834"/>
      <c r="E12" s="1834"/>
      <c r="F12" s="1838"/>
    </row>
    <row r="13" spans="1:6" ht="12.75">
      <c r="A13" s="1832"/>
      <c r="B13" s="1845"/>
      <c r="C13" s="1852"/>
      <c r="D13" s="1835"/>
      <c r="E13" s="1835"/>
      <c r="F13" s="1838"/>
    </row>
    <row r="14" spans="1:6" ht="12.75">
      <c r="A14" s="1833"/>
      <c r="B14" s="1845"/>
      <c r="C14" s="1852"/>
      <c r="D14" s="1835"/>
      <c r="E14" s="1835"/>
      <c r="F14" s="1838"/>
    </row>
    <row r="15" spans="1:6" ht="12.75">
      <c r="A15" s="1831">
        <f>A12+1</f>
        <v>2</v>
      </c>
      <c r="B15" s="1844" t="s">
        <v>656</v>
      </c>
      <c r="C15" s="1852"/>
      <c r="D15" s="1834"/>
      <c r="E15" s="1834"/>
      <c r="F15" s="1838"/>
    </row>
    <row r="16" spans="1:6" ht="12.75">
      <c r="A16" s="1832"/>
      <c r="B16" s="1845"/>
      <c r="C16" s="1852"/>
      <c r="D16" s="1835"/>
      <c r="E16" s="1835"/>
      <c r="F16" s="1838"/>
    </row>
    <row r="17" spans="1:6" ht="12.75">
      <c r="A17" s="1833"/>
      <c r="B17" s="1845"/>
      <c r="C17" s="1852"/>
      <c r="D17" s="1835"/>
      <c r="E17" s="1835"/>
      <c r="F17" s="1838"/>
    </row>
    <row r="19" ht="12.75">
      <c r="A19" s="959" t="s">
        <v>799</v>
      </c>
    </row>
    <row r="20" spans="1:6" ht="12.75">
      <c r="A20" s="1831">
        <f>A15+1</f>
        <v>3</v>
      </c>
      <c r="B20" s="1844" t="s">
        <v>890</v>
      </c>
      <c r="C20" s="1852"/>
      <c r="D20" s="1834"/>
      <c r="E20" s="1837"/>
      <c r="F20" s="1870"/>
    </row>
    <row r="21" spans="1:6" ht="12.75">
      <c r="A21" s="1832"/>
      <c r="B21" s="1845"/>
      <c r="C21" s="1852"/>
      <c r="D21" s="1835"/>
      <c r="E21" s="1838"/>
      <c r="F21" s="1871"/>
    </row>
    <row r="22" spans="1:6" ht="12.75">
      <c r="A22" s="1833"/>
      <c r="B22" s="1845"/>
      <c r="C22" s="1852"/>
      <c r="D22" s="1836"/>
      <c r="E22" s="1839"/>
      <c r="F22" s="1872"/>
    </row>
    <row r="23" spans="1:5" ht="12.75">
      <c r="A23" s="1831">
        <f>A20+1</f>
        <v>4</v>
      </c>
      <c r="B23" s="1844" t="str">
        <f>CONCATENATE("Wijkt de definitieve productie meer dan 0,5% (zie regel ",Productie!A153,") af van de voorlopige werkelijke productie, zoals die is opgegeven in het budgetformulier ",Voorblad!$E$3+1,"?")</f>
        <v>Wijkt de definitieve productie meer dan 0,5% (zie regel 1023) af van de voorlopige werkelijke productie, zoals die is opgegeven in het budgetformulier 2006?</v>
      </c>
      <c r="C23" s="1852"/>
      <c r="D23" s="1834"/>
      <c r="E23" s="1837"/>
    </row>
    <row r="24" spans="1:5" ht="12.75">
      <c r="A24" s="1832"/>
      <c r="B24" s="1845"/>
      <c r="C24" s="1852"/>
      <c r="D24" s="1835"/>
      <c r="E24" s="1838"/>
    </row>
    <row r="25" spans="1:5" ht="12.75">
      <c r="A25" s="1833"/>
      <c r="B25" s="1845"/>
      <c r="C25" s="1852"/>
      <c r="D25" s="1836"/>
      <c r="E25" s="1839"/>
    </row>
    <row r="26" spans="1:6" ht="12.75">
      <c r="A26" s="1831">
        <f>A23+1</f>
        <v>5</v>
      </c>
      <c r="B26" s="1863" t="s">
        <v>1308</v>
      </c>
      <c r="C26" s="1852"/>
      <c r="D26" s="1834"/>
      <c r="E26" s="1834"/>
      <c r="F26" s="1838"/>
    </row>
    <row r="27" spans="1:6" ht="12.75">
      <c r="A27" s="1832"/>
      <c r="B27" s="1864"/>
      <c r="C27" s="1852"/>
      <c r="D27" s="1835"/>
      <c r="E27" s="1835"/>
      <c r="F27" s="1838"/>
    </row>
    <row r="28" spans="1:6" ht="12.75">
      <c r="A28" s="1833"/>
      <c r="B28" s="1864"/>
      <c r="C28" s="1852"/>
      <c r="D28" s="1836"/>
      <c r="E28" s="1836"/>
      <c r="F28" s="1838"/>
    </row>
    <row r="29" spans="1:6" ht="12.75">
      <c r="A29" s="1831">
        <f>A26+1</f>
        <v>6</v>
      </c>
      <c r="B29" s="1844" t="s">
        <v>643</v>
      </c>
      <c r="C29" s="1852"/>
      <c r="D29" s="1834"/>
      <c r="E29" s="1834"/>
      <c r="F29" s="1839"/>
    </row>
    <row r="30" spans="1:6" ht="12.75">
      <c r="A30" s="1832"/>
      <c r="B30" s="1845"/>
      <c r="C30" s="1852"/>
      <c r="D30" s="1835"/>
      <c r="E30" s="1835"/>
      <c r="F30" s="1860"/>
    </row>
    <row r="31" spans="1:6" ht="12.75">
      <c r="A31" s="1833"/>
      <c r="B31" s="1845"/>
      <c r="C31" s="1852"/>
      <c r="D31" s="1836"/>
      <c r="E31" s="1836"/>
      <c r="F31" s="1837"/>
    </row>
    <row r="32" spans="1:6" ht="12.75">
      <c r="A32" s="1831">
        <f>A29+1</f>
        <v>7</v>
      </c>
      <c r="B32" s="1844" t="s">
        <v>644</v>
      </c>
      <c r="C32" s="1852"/>
      <c r="D32" s="1834"/>
      <c r="E32" s="1834"/>
      <c r="F32" s="1839"/>
    </row>
    <row r="33" spans="1:6" ht="12.75">
      <c r="A33" s="1832"/>
      <c r="B33" s="1845"/>
      <c r="C33" s="1852"/>
      <c r="D33" s="1835"/>
      <c r="E33" s="1835"/>
      <c r="F33" s="1860"/>
    </row>
    <row r="34" spans="1:6" ht="12.75">
      <c r="A34" s="1833"/>
      <c r="B34" s="1845"/>
      <c r="C34" s="1852"/>
      <c r="D34" s="1836"/>
      <c r="E34" s="1836"/>
      <c r="F34" s="1837"/>
    </row>
    <row r="35" spans="2:3" ht="12.75">
      <c r="B35" s="985"/>
      <c r="C35" s="1018"/>
    </row>
    <row r="36" ht="12.75">
      <c r="A36" s="959" t="s">
        <v>1441</v>
      </c>
    </row>
    <row r="37" spans="1:6" ht="12.75">
      <c r="A37" s="1831">
        <f>A32+1</f>
        <v>8</v>
      </c>
      <c r="B37" s="1844" t="s">
        <v>1339</v>
      </c>
      <c r="C37" s="1852"/>
      <c r="D37" s="1834"/>
      <c r="E37" s="1834"/>
      <c r="F37" s="1839"/>
    </row>
    <row r="38" spans="1:6" ht="12.75">
      <c r="A38" s="1832"/>
      <c r="B38" s="1845"/>
      <c r="C38" s="1852"/>
      <c r="D38" s="1835"/>
      <c r="E38" s="1835"/>
      <c r="F38" s="1860"/>
    </row>
    <row r="39" spans="1:6" ht="12.75">
      <c r="A39" s="1833"/>
      <c r="B39" s="1845"/>
      <c r="C39" s="1852"/>
      <c r="D39" s="1836"/>
      <c r="E39" s="1836"/>
      <c r="F39" s="1837"/>
    </row>
    <row r="40" spans="1:6" ht="12.75">
      <c r="A40" s="1831">
        <f>A37+1</f>
        <v>9</v>
      </c>
      <c r="B40" s="1844" t="s">
        <v>57</v>
      </c>
      <c r="C40" s="1852"/>
      <c r="D40" s="1834"/>
      <c r="E40" s="1834"/>
      <c r="F40" s="1838"/>
    </row>
    <row r="41" spans="1:6" ht="12.75">
      <c r="A41" s="1832"/>
      <c r="B41" s="1845"/>
      <c r="C41" s="1852"/>
      <c r="D41" s="1835"/>
      <c r="E41" s="1835"/>
      <c r="F41" s="1838"/>
    </row>
    <row r="42" spans="1:6" ht="12.75">
      <c r="A42" s="1833"/>
      <c r="B42" s="1845"/>
      <c r="C42" s="1852"/>
      <c r="D42" s="1836"/>
      <c r="E42" s="1836"/>
      <c r="F42" s="1838"/>
    </row>
    <row r="46" spans="1:6" ht="12.75">
      <c r="A46" s="953"/>
      <c r="B46" s="954"/>
      <c r="C46" s="954"/>
      <c r="D46" s="955"/>
      <c r="E46" s="955"/>
      <c r="F46" s="956"/>
    </row>
    <row r="47" spans="1:6" ht="15.75" customHeight="1">
      <c r="A47" s="957" t="str">
        <f>Inhoud!$A$2</f>
        <v>Nacalculatieformulier 2005 GGZ-instellingen</v>
      </c>
      <c r="B47" s="958"/>
      <c r="C47" s="958"/>
      <c r="D47" s="1317"/>
      <c r="E47" s="1318"/>
      <c r="F47" s="1319">
        <f>F2+1</f>
        <v>31</v>
      </c>
    </row>
    <row r="48" spans="1:6" ht="12.75">
      <c r="A48" s="1047"/>
      <c r="B48" s="1048"/>
      <c r="C48" s="1048"/>
      <c r="D48" s="1049"/>
      <c r="E48" s="1050"/>
      <c r="F48" s="1051"/>
    </row>
    <row r="49" spans="1:6" ht="12.75">
      <c r="A49" s="959" t="s">
        <v>797</v>
      </c>
      <c r="B49" s="960"/>
      <c r="C49" s="961"/>
      <c r="D49" s="1867" t="s">
        <v>787</v>
      </c>
      <c r="E49" s="1868"/>
      <c r="F49" s="1869"/>
    </row>
    <row r="50" spans="1:6" ht="12.75">
      <c r="A50" s="961"/>
      <c r="B50" s="961"/>
      <c r="C50" s="961"/>
      <c r="D50" s="965">
        <v>1</v>
      </c>
      <c r="E50" s="965">
        <v>2</v>
      </c>
      <c r="F50" s="965">
        <v>3</v>
      </c>
    </row>
    <row r="51" spans="1:6" ht="12.75">
      <c r="A51" s="959" t="s">
        <v>800</v>
      </c>
      <c r="B51" s="961"/>
      <c r="C51" s="961"/>
      <c r="D51" s="1340"/>
      <c r="E51" s="1340"/>
      <c r="F51" s="1340"/>
    </row>
    <row r="52" spans="1:6" ht="12.75">
      <c r="A52" s="1831">
        <f>A40+1</f>
        <v>10</v>
      </c>
      <c r="B52" s="1844" t="s">
        <v>0</v>
      </c>
      <c r="C52" s="1852"/>
      <c r="D52" s="1834"/>
      <c r="E52" s="1834"/>
      <c r="F52" s="1838"/>
    </row>
    <row r="53" spans="1:6" ht="12.75">
      <c r="A53" s="1832"/>
      <c r="B53" s="1845"/>
      <c r="C53" s="1852"/>
      <c r="D53" s="1835"/>
      <c r="E53" s="1835"/>
      <c r="F53" s="1838"/>
    </row>
    <row r="54" spans="1:6" ht="12.75">
      <c r="A54" s="1833"/>
      <c r="B54" s="1845"/>
      <c r="C54" s="1852"/>
      <c r="D54" s="1836"/>
      <c r="E54" s="1836"/>
      <c r="F54" s="1838"/>
    </row>
    <row r="55" spans="1:6" ht="12.75">
      <c r="A55" s="1831">
        <f>A52+1</f>
        <v>11</v>
      </c>
      <c r="B55" s="1844" t="s">
        <v>1</v>
      </c>
      <c r="C55" s="1852"/>
      <c r="D55" s="1834"/>
      <c r="E55" s="1837"/>
      <c r="F55" s="1836"/>
    </row>
    <row r="56" spans="1:6" ht="12.75">
      <c r="A56" s="1832"/>
      <c r="B56" s="1845"/>
      <c r="C56" s="1852"/>
      <c r="D56" s="1835"/>
      <c r="E56" s="1838"/>
      <c r="F56" s="1853"/>
    </row>
    <row r="57" spans="1:6" ht="12.75">
      <c r="A57" s="1833"/>
      <c r="B57" s="1845"/>
      <c r="C57" s="1852"/>
      <c r="D57" s="1836"/>
      <c r="E57" s="1839"/>
      <c r="F57" s="1853"/>
    </row>
    <row r="58" spans="1:6" ht="12.75">
      <c r="A58" s="1831">
        <f>A55+1</f>
        <v>12</v>
      </c>
      <c r="B58" s="1844" t="s">
        <v>2</v>
      </c>
      <c r="C58" s="1852"/>
      <c r="D58" s="1834"/>
      <c r="E58" s="1837"/>
      <c r="F58" s="1853"/>
    </row>
    <row r="59" spans="1:6" ht="12.75">
      <c r="A59" s="1832"/>
      <c r="B59" s="1845"/>
      <c r="C59" s="1852"/>
      <c r="D59" s="1835"/>
      <c r="E59" s="1838"/>
      <c r="F59" s="1853"/>
    </row>
    <row r="60" spans="1:6" ht="12.75">
      <c r="A60" s="1833"/>
      <c r="B60" s="1845"/>
      <c r="C60" s="1852"/>
      <c r="D60" s="1836"/>
      <c r="E60" s="1839"/>
      <c r="F60" s="1853"/>
    </row>
    <row r="61" spans="1:6" ht="12.75">
      <c r="A61" s="1831">
        <f>A58+1</f>
        <v>13</v>
      </c>
      <c r="B61" s="1844" t="s">
        <v>1132</v>
      </c>
      <c r="C61" s="1852"/>
      <c r="D61" s="1834"/>
      <c r="E61" s="1837"/>
      <c r="F61" s="1853"/>
    </row>
    <row r="62" spans="1:6" ht="12.75">
      <c r="A62" s="1832"/>
      <c r="B62" s="1845"/>
      <c r="C62" s="1852"/>
      <c r="D62" s="1835"/>
      <c r="E62" s="1838"/>
      <c r="F62" s="1853"/>
    </row>
    <row r="63" spans="1:6" ht="12.75">
      <c r="A63" s="1833"/>
      <c r="B63" s="1845"/>
      <c r="C63" s="1852"/>
      <c r="D63" s="1836"/>
      <c r="E63" s="1839"/>
      <c r="F63" s="1853"/>
    </row>
    <row r="64" spans="1:6" ht="12.75" customHeight="1">
      <c r="A64" s="1831">
        <f>A61+1</f>
        <v>14</v>
      </c>
      <c r="B64" s="1844" t="s">
        <v>1295</v>
      </c>
      <c r="C64" s="1852"/>
      <c r="D64" s="1834"/>
      <c r="E64" s="1837"/>
      <c r="F64" s="1853"/>
    </row>
    <row r="65" spans="1:6" ht="12.75">
      <c r="A65" s="1832"/>
      <c r="B65" s="1845"/>
      <c r="C65" s="1852"/>
      <c r="D65" s="1835"/>
      <c r="E65" s="1838"/>
      <c r="F65" s="1853"/>
    </row>
    <row r="66" spans="1:6" ht="12.75">
      <c r="A66" s="1833"/>
      <c r="B66" s="1845"/>
      <c r="C66" s="1852"/>
      <c r="D66" s="1836"/>
      <c r="E66" s="1839"/>
      <c r="F66" s="1853"/>
    </row>
    <row r="67" spans="1:6" ht="12.75">
      <c r="A67" s="1831">
        <f>A64+1</f>
        <v>15</v>
      </c>
      <c r="B67" s="1842" t="s">
        <v>1133</v>
      </c>
      <c r="C67" s="1019"/>
      <c r="D67" s="1834"/>
      <c r="E67" s="1837"/>
      <c r="F67" s="1853"/>
    </row>
    <row r="68" spans="1:6" ht="12.75">
      <c r="A68" s="1832"/>
      <c r="B68" s="1843"/>
      <c r="C68" s="1019"/>
      <c r="D68" s="1835"/>
      <c r="E68" s="1838"/>
      <c r="F68" s="1853"/>
    </row>
    <row r="69" spans="1:6" ht="12.75">
      <c r="A69" s="1833"/>
      <c r="B69" s="1843"/>
      <c r="C69" s="1019"/>
      <c r="D69" s="1836"/>
      <c r="E69" s="1839"/>
      <c r="F69" s="1853"/>
    </row>
    <row r="70" spans="1:6" ht="12.75">
      <c r="A70" s="1831">
        <f>A67+1</f>
        <v>16</v>
      </c>
      <c r="B70" s="1840" t="str">
        <f>CONCATENATE("Zijn de verschillen op de regels ",Afschrijvingen!A26,", ",Afschrijvingen!A38,", ",'A-E'!A25,", ",'A-E'!A70," en ",'A-E'!A118," van het nacalculatieformulier verklaard? Als er geen verschillen zijn, kies dan nvt.")</f>
        <v>Zijn de verschillen op de regels 1317, 1325, 2417, 2517 en 2620 van het nacalculatieformulier verklaard? Als er geen verschillen zijn, kies dan nvt.</v>
      </c>
      <c r="C70" s="1852"/>
      <c r="D70" s="1834"/>
      <c r="E70" s="1837"/>
      <c r="F70" s="1853"/>
    </row>
    <row r="71" spans="1:6" ht="12.75">
      <c r="A71" s="1832"/>
      <c r="B71" s="1841"/>
      <c r="C71" s="1852"/>
      <c r="D71" s="1835"/>
      <c r="E71" s="1838"/>
      <c r="F71" s="1853"/>
    </row>
    <row r="72" spans="1:6" ht="12.75">
      <c r="A72" s="1833"/>
      <c r="B72" s="1841"/>
      <c r="C72" s="1852"/>
      <c r="D72" s="1836"/>
      <c r="E72" s="1839"/>
      <c r="F72" s="1853"/>
    </row>
    <row r="73" spans="1:6" ht="12.75">
      <c r="A73" s="1831">
        <f>A70+1</f>
        <v>17</v>
      </c>
      <c r="B73" s="1844" t="s">
        <v>58</v>
      </c>
      <c r="C73" s="1852"/>
      <c r="D73" s="1834"/>
      <c r="E73" s="1837"/>
      <c r="F73" s="1853"/>
    </row>
    <row r="74" spans="1:6" ht="12.75">
      <c r="A74" s="1832"/>
      <c r="B74" s="1845"/>
      <c r="C74" s="1852"/>
      <c r="D74" s="1835"/>
      <c r="E74" s="1838"/>
      <c r="F74" s="1853"/>
    </row>
    <row r="75" spans="1:6" ht="12.75">
      <c r="A75" s="1833"/>
      <c r="B75" s="1845"/>
      <c r="C75" s="1852"/>
      <c r="D75" s="1836"/>
      <c r="E75" s="1839"/>
      <c r="F75" s="1853"/>
    </row>
    <row r="76" spans="1:6" ht="12.75">
      <c r="A76" s="1831">
        <f>A73+1</f>
        <v>18</v>
      </c>
      <c r="B76" s="1844" t="s">
        <v>59</v>
      </c>
      <c r="C76" s="1852"/>
      <c r="D76" s="1834"/>
      <c r="E76" s="1837"/>
      <c r="F76" s="1853"/>
    </row>
    <row r="77" spans="1:6" ht="12.75">
      <c r="A77" s="1832"/>
      <c r="B77" s="1845"/>
      <c r="C77" s="1852"/>
      <c r="D77" s="1835"/>
      <c r="E77" s="1838"/>
      <c r="F77" s="1853"/>
    </row>
    <row r="78" spans="1:6" ht="12.75">
      <c r="A78" s="1833"/>
      <c r="B78" s="1845"/>
      <c r="C78" s="1852"/>
      <c r="D78" s="1836"/>
      <c r="E78" s="1839"/>
      <c r="F78" s="1853"/>
    </row>
    <row r="79" spans="1:6" ht="12.75">
      <c r="A79" s="1831">
        <f>A76+1</f>
        <v>19</v>
      </c>
      <c r="B79" s="1842" t="s">
        <v>1135</v>
      </c>
      <c r="C79" s="1852"/>
      <c r="D79" s="1834"/>
      <c r="E79" s="1837"/>
      <c r="F79" s="1853"/>
    </row>
    <row r="80" spans="1:6" ht="12.75">
      <c r="A80" s="1832"/>
      <c r="B80" s="1843"/>
      <c r="C80" s="1852"/>
      <c r="D80" s="1835"/>
      <c r="E80" s="1838"/>
      <c r="F80" s="1853"/>
    </row>
    <row r="81" spans="1:6" ht="12.75">
      <c r="A81" s="1833"/>
      <c r="B81" s="1843"/>
      <c r="C81" s="1852"/>
      <c r="D81" s="1836"/>
      <c r="E81" s="1839"/>
      <c r="F81" s="1853"/>
    </row>
    <row r="82" spans="1:6" ht="12.75">
      <c r="A82" s="1831">
        <f>A79+1</f>
        <v>20</v>
      </c>
      <c r="B82" s="1844" t="s">
        <v>3</v>
      </c>
      <c r="C82" s="1019"/>
      <c r="D82" s="1834"/>
      <c r="E82" s="1837"/>
      <c r="F82" s="1853"/>
    </row>
    <row r="83" spans="1:6" ht="12.75">
      <c r="A83" s="1832"/>
      <c r="B83" s="1845"/>
      <c r="C83" s="1019"/>
      <c r="D83" s="1835"/>
      <c r="E83" s="1838"/>
      <c r="F83" s="1853"/>
    </row>
    <row r="84" spans="1:6" ht="12.75">
      <c r="A84" s="1833"/>
      <c r="B84" s="1845"/>
      <c r="C84" s="1019"/>
      <c r="D84" s="1836"/>
      <c r="E84" s="1839"/>
      <c r="F84" s="1853"/>
    </row>
    <row r="85" spans="1:6" ht="12.75">
      <c r="A85" s="1831">
        <f>A82+1</f>
        <v>21</v>
      </c>
      <c r="B85" s="1844" t="s">
        <v>4</v>
      </c>
      <c r="C85" s="1852"/>
      <c r="D85" s="1834"/>
      <c r="E85" s="1837"/>
      <c r="F85" s="1853"/>
    </row>
    <row r="86" spans="1:6" ht="12.75">
      <c r="A86" s="1832"/>
      <c r="B86" s="1845"/>
      <c r="C86" s="1852"/>
      <c r="D86" s="1835"/>
      <c r="E86" s="1838"/>
      <c r="F86" s="1853"/>
    </row>
    <row r="87" spans="1:6" ht="12.75">
      <c r="A87" s="1833"/>
      <c r="B87" s="1845"/>
      <c r="C87" s="1852"/>
      <c r="D87" s="1836"/>
      <c r="E87" s="1839"/>
      <c r="F87" s="1853"/>
    </row>
    <row r="89" spans="1:6" ht="12.75">
      <c r="A89" s="953"/>
      <c r="B89" s="954"/>
      <c r="C89" s="954"/>
      <c r="D89" s="955"/>
      <c r="E89" s="955"/>
      <c r="F89" s="956"/>
    </row>
    <row r="90" spans="1:6" ht="15.75" customHeight="1">
      <c r="A90" s="957" t="str">
        <f>Inhoud!$A$2</f>
        <v>Nacalculatieformulier 2005 GGZ-instellingen</v>
      </c>
      <c r="B90" s="958"/>
      <c r="C90" s="958"/>
      <c r="D90" s="1317"/>
      <c r="E90" s="1318"/>
      <c r="F90" s="1319">
        <f>F47+1</f>
        <v>32</v>
      </c>
    </row>
    <row r="91" spans="1:6" ht="12.75">
      <c r="A91" s="1047"/>
      <c r="B91" s="1048"/>
      <c r="C91" s="1048"/>
      <c r="D91" s="1049"/>
      <c r="E91" s="1050"/>
      <c r="F91" s="1051"/>
    </row>
    <row r="92" spans="1:6" ht="12.75">
      <c r="A92" s="959" t="s">
        <v>797</v>
      </c>
      <c r="B92" s="960"/>
      <c r="C92" s="961"/>
      <c r="D92" s="1867" t="s">
        <v>787</v>
      </c>
      <c r="E92" s="1868"/>
      <c r="F92" s="1869"/>
    </row>
    <row r="93" spans="1:6" ht="12.75">
      <c r="A93" s="961"/>
      <c r="B93" s="961"/>
      <c r="C93" s="961"/>
      <c r="D93" s="965">
        <v>1</v>
      </c>
      <c r="E93" s="965">
        <v>2</v>
      </c>
      <c r="F93" s="965">
        <v>3</v>
      </c>
    </row>
    <row r="94" spans="1:6" ht="12.75">
      <c r="A94" s="959" t="s">
        <v>800</v>
      </c>
      <c r="B94" s="961"/>
      <c r="C94" s="961"/>
      <c r="D94" s="1340"/>
      <c r="E94" s="1340"/>
      <c r="F94" s="1340"/>
    </row>
    <row r="95" spans="1:6" ht="12.75">
      <c r="A95" s="1831">
        <f>A85+1</f>
        <v>22</v>
      </c>
      <c r="B95" s="1844" t="s">
        <v>60</v>
      </c>
      <c r="C95" s="1852"/>
      <c r="D95" s="1834"/>
      <c r="E95" s="1837"/>
      <c r="F95" s="1853"/>
    </row>
    <row r="96" spans="1:6" ht="12.75">
      <c r="A96" s="1832"/>
      <c r="B96" s="1845"/>
      <c r="C96" s="1852"/>
      <c r="D96" s="1835"/>
      <c r="E96" s="1838"/>
      <c r="F96" s="1853"/>
    </row>
    <row r="97" spans="1:6" ht="12.75">
      <c r="A97" s="1833"/>
      <c r="B97" s="1845"/>
      <c r="C97" s="1852"/>
      <c r="D97" s="1836"/>
      <c r="E97" s="1839"/>
      <c r="F97" s="1853"/>
    </row>
    <row r="98" spans="1:6" ht="12.75">
      <c r="A98" s="1831">
        <f>A95+1</f>
        <v>23</v>
      </c>
      <c r="B98" s="1844" t="str">
        <f>CONCATENATE("Zijn de kosten van in 2005 afgestoten huurpanden, waarop een indexeringsclausule van toepassing is, negatief verwerkt in onderdeel ",'Overige kap.lasten '!A87," ",'Overige kap.lasten '!B87," van het nacalculatieformulier?")</f>
        <v>Zijn de kosten van in 2005 afgestoten huurpanden, waarop een indexeringsclausule van toepassing is, negatief verwerkt in onderdeel 3.12.2 Geïndexeerde huren 2005  van het nacalculatieformulier?</v>
      </c>
      <c r="C98" s="1852"/>
      <c r="D98" s="1834"/>
      <c r="E98" s="1837"/>
      <c r="F98" s="1853"/>
    </row>
    <row r="99" spans="1:6" ht="12.75">
      <c r="A99" s="1832"/>
      <c r="B99" s="1845"/>
      <c r="C99" s="1852"/>
      <c r="D99" s="1835"/>
      <c r="E99" s="1838"/>
      <c r="F99" s="1853"/>
    </row>
    <row r="100" spans="1:6" ht="12.75">
      <c r="A100" s="1833"/>
      <c r="B100" s="1845"/>
      <c r="C100" s="1852"/>
      <c r="D100" s="1836"/>
      <c r="E100" s="1839"/>
      <c r="F100" s="1853"/>
    </row>
    <row r="101" spans="1:6" ht="12.75">
      <c r="A101" s="1831">
        <f>A98+1</f>
        <v>24</v>
      </c>
      <c r="B101" s="1844" t="s">
        <v>5</v>
      </c>
      <c r="C101" s="1852"/>
      <c r="D101" s="1834"/>
      <c r="E101" s="1834"/>
      <c r="F101" s="1839"/>
    </row>
    <row r="102" spans="1:6" ht="12.75">
      <c r="A102" s="1832"/>
      <c r="B102" s="1845"/>
      <c r="C102" s="1852"/>
      <c r="D102" s="1835"/>
      <c r="E102" s="1835"/>
      <c r="F102" s="1860"/>
    </row>
    <row r="103" spans="1:6" ht="12.75">
      <c r="A103" s="1833"/>
      <c r="B103" s="1845"/>
      <c r="C103" s="1852"/>
      <c r="D103" s="1835"/>
      <c r="E103" s="1835"/>
      <c r="F103" s="1837"/>
    </row>
    <row r="104" spans="1:6" ht="12.75">
      <c r="A104" s="1846">
        <f>A101+1</f>
        <v>25</v>
      </c>
      <c r="B104" s="1849" t="s">
        <v>316</v>
      </c>
      <c r="C104" s="1019"/>
      <c r="D104" s="1834"/>
      <c r="E104" s="1834"/>
      <c r="F104" s="1546"/>
    </row>
    <row r="105" spans="1:6" ht="12.75">
      <c r="A105" s="1847"/>
      <c r="B105" s="1850"/>
      <c r="C105" s="1019"/>
      <c r="D105" s="1835"/>
      <c r="E105" s="1835"/>
      <c r="F105" s="1546"/>
    </row>
    <row r="106" spans="1:6" ht="12.75">
      <c r="A106" s="1848"/>
      <c r="B106" s="1851"/>
      <c r="C106" s="1019"/>
      <c r="D106" s="1835"/>
      <c r="E106" s="1835"/>
      <c r="F106" s="1546"/>
    </row>
    <row r="107" spans="1:6" ht="12.75">
      <c r="A107" s="1854">
        <f>A104+1</f>
        <v>26</v>
      </c>
      <c r="B107" s="1844" t="s">
        <v>6</v>
      </c>
      <c r="C107" s="1852"/>
      <c r="D107" s="1834"/>
      <c r="E107" s="1834"/>
      <c r="F107" s="1836"/>
    </row>
    <row r="108" spans="1:6" ht="12.75">
      <c r="A108" s="1855"/>
      <c r="B108" s="1845"/>
      <c r="C108" s="1852"/>
      <c r="D108" s="1835"/>
      <c r="E108" s="1835"/>
      <c r="F108" s="1853"/>
    </row>
    <row r="109" spans="1:6" ht="12.75">
      <c r="A109" s="1856"/>
      <c r="B109" s="1845"/>
      <c r="C109" s="1852"/>
      <c r="D109" s="1836"/>
      <c r="E109" s="1836"/>
      <c r="F109" s="1853"/>
    </row>
    <row r="110" spans="1:6" ht="12.75">
      <c r="A110" s="1854">
        <f>A107+1</f>
        <v>27</v>
      </c>
      <c r="B110" s="1849" t="s">
        <v>61</v>
      </c>
      <c r="C110" s="1019"/>
      <c r="D110" s="1834"/>
      <c r="E110" s="1834"/>
      <c r="F110" s="1860"/>
    </row>
    <row r="111" spans="1:6" ht="12.75">
      <c r="A111" s="1855"/>
      <c r="B111" s="1861"/>
      <c r="C111" s="1019"/>
      <c r="D111" s="1835"/>
      <c r="E111" s="1835"/>
      <c r="F111" s="1860"/>
    </row>
    <row r="112" spans="1:6" ht="12.75">
      <c r="A112" s="1856"/>
      <c r="B112" s="1862"/>
      <c r="C112" s="1019"/>
      <c r="D112" s="1836"/>
      <c r="E112" s="1836"/>
      <c r="F112" s="1860"/>
    </row>
    <row r="113" spans="1:6" ht="12.75">
      <c r="A113" s="1854">
        <f>A110+1</f>
        <v>28</v>
      </c>
      <c r="B113" s="1844" t="s">
        <v>136</v>
      </c>
      <c r="C113" s="1852"/>
      <c r="D113" s="1834"/>
      <c r="E113" s="1834"/>
      <c r="F113" s="1853"/>
    </row>
    <row r="114" spans="1:6" ht="12.75">
      <c r="A114" s="1855"/>
      <c r="B114" s="1845"/>
      <c r="C114" s="1852"/>
      <c r="D114" s="1835"/>
      <c r="E114" s="1835"/>
      <c r="F114" s="1853"/>
    </row>
    <row r="115" spans="1:6" ht="12.75">
      <c r="A115" s="1856"/>
      <c r="B115" s="1845"/>
      <c r="C115" s="1852"/>
      <c r="D115" s="1836"/>
      <c r="E115" s="1836"/>
      <c r="F115" s="1853"/>
    </row>
    <row r="116" spans="1:6" ht="12.75">
      <c r="A116" s="1854">
        <f>A113+1</f>
        <v>29</v>
      </c>
      <c r="B116" s="1844" t="s">
        <v>1341</v>
      </c>
      <c r="C116" s="1852"/>
      <c r="D116" s="1834"/>
      <c r="E116" s="1834"/>
      <c r="F116" s="1853"/>
    </row>
    <row r="117" spans="1:6" ht="12.75">
      <c r="A117" s="1855"/>
      <c r="B117" s="1845"/>
      <c r="C117" s="1852"/>
      <c r="D117" s="1835"/>
      <c r="E117" s="1835"/>
      <c r="F117" s="1853"/>
    </row>
    <row r="118" spans="1:6" ht="12.75">
      <c r="A118" s="1856"/>
      <c r="B118" s="1845"/>
      <c r="C118" s="1852"/>
      <c r="D118" s="1836"/>
      <c r="E118" s="1836"/>
      <c r="F118" s="1853"/>
    </row>
    <row r="120" ht="12.75">
      <c r="A120" s="959" t="s">
        <v>801</v>
      </c>
    </row>
    <row r="121" spans="1:6" ht="12.75">
      <c r="A121" s="1854">
        <f>A116+1</f>
        <v>30</v>
      </c>
      <c r="B121" s="1840" t="str">
        <f>CONCATENATE("Zijn de overige mutaties op regel ",Mutaties!A21," toegelicht? Indien geen overige mutaties zijn opgevoerd, kies dan nvt.")</f>
        <v>Zijn de overige mutaties op regel 2213 toegelicht? Indien geen overige mutaties zijn opgevoerd, kies dan nvt.</v>
      </c>
      <c r="C121" s="1852"/>
      <c r="D121" s="1834"/>
      <c r="E121" s="1834"/>
      <c r="F121" s="1860"/>
    </row>
    <row r="122" spans="1:6" ht="12.75">
      <c r="A122" s="1855"/>
      <c r="B122" s="1841"/>
      <c r="C122" s="1852"/>
      <c r="D122" s="1835"/>
      <c r="E122" s="1835"/>
      <c r="F122" s="1860"/>
    </row>
    <row r="123" spans="1:6" ht="12.75">
      <c r="A123" s="1856"/>
      <c r="B123" s="1841"/>
      <c r="C123" s="1852"/>
      <c r="D123" s="1836"/>
      <c r="E123" s="1836"/>
      <c r="F123" s="1860"/>
    </row>
    <row r="124" spans="1:6" ht="12.75">
      <c r="A124" s="1854">
        <f>A121+1</f>
        <v>31</v>
      </c>
      <c r="B124" s="1840" t="str">
        <f>CONCATENATE("Is het verschil op regel ",Mutaties!A26," van het nacalculatieformulier verklaard? Als er geen verschil is, kies dan nvt.")</f>
        <v>Is het verschil op regel 2218 van het nacalculatieformulier verklaard? Als er geen verschil is, kies dan nvt.</v>
      </c>
      <c r="C124" s="1852"/>
      <c r="D124" s="1834"/>
      <c r="E124" s="1834"/>
      <c r="F124" s="1860"/>
    </row>
    <row r="125" spans="1:6" ht="12.75">
      <c r="A125" s="1855"/>
      <c r="B125" s="1841"/>
      <c r="C125" s="1852"/>
      <c r="D125" s="1835"/>
      <c r="E125" s="1835"/>
      <c r="F125" s="1860"/>
    </row>
    <row r="126" spans="1:6" ht="12.75">
      <c r="A126" s="1856"/>
      <c r="B126" s="1841"/>
      <c r="C126" s="1852"/>
      <c r="D126" s="1836"/>
      <c r="E126" s="1836"/>
      <c r="F126" s="1860"/>
    </row>
    <row r="127" spans="1:6" ht="12.75">
      <c r="A127" s="1857" t="s">
        <v>7</v>
      </c>
      <c r="B127" s="1858"/>
      <c r="C127" s="961"/>
      <c r="D127" s="961"/>
      <c r="E127" s="961"/>
      <c r="F127" s="961"/>
    </row>
    <row r="128" spans="1:6" ht="12.75">
      <c r="A128" s="1857"/>
      <c r="B128" s="1858"/>
      <c r="C128" s="961"/>
      <c r="D128" s="961"/>
      <c r="E128" s="961"/>
      <c r="F128" s="961"/>
    </row>
    <row r="129" spans="1:6" ht="12.75">
      <c r="A129" s="1857"/>
      <c r="B129" s="1858"/>
      <c r="C129" s="961"/>
      <c r="D129" s="961"/>
      <c r="E129" s="961"/>
      <c r="F129" s="961"/>
    </row>
    <row r="130" spans="1:6" ht="12.75">
      <c r="A130" s="1859"/>
      <c r="B130" s="1858"/>
      <c r="C130" s="961"/>
      <c r="D130" s="961"/>
      <c r="E130" s="961"/>
      <c r="F130" s="961"/>
    </row>
    <row r="131" spans="1:6" ht="12.75">
      <c r="A131" s="964"/>
      <c r="B131" s="964"/>
      <c r="C131" s="964"/>
      <c r="D131" s="964"/>
      <c r="E131" s="966"/>
      <c r="F131" s="964"/>
    </row>
  </sheetData>
  <sheetProtection password="958F" sheet="1" objects="1" scenarios="1"/>
  <mergeCells count="185">
    <mergeCell ref="B64:B66"/>
    <mergeCell ref="A61:A63"/>
    <mergeCell ref="B61:B63"/>
    <mergeCell ref="C61:C63"/>
    <mergeCell ref="A64:A66"/>
    <mergeCell ref="C64:C66"/>
    <mergeCell ref="A116:A118"/>
    <mergeCell ref="B116:B118"/>
    <mergeCell ref="C116:C118"/>
    <mergeCell ref="D116:D118"/>
    <mergeCell ref="D101:D103"/>
    <mergeCell ref="D92:F92"/>
    <mergeCell ref="F101:F103"/>
    <mergeCell ref="D58:D60"/>
    <mergeCell ref="F79:F81"/>
    <mergeCell ref="F70:F72"/>
    <mergeCell ref="F73:F75"/>
    <mergeCell ref="E101:E103"/>
    <mergeCell ref="F95:F97"/>
    <mergeCell ref="F82:F84"/>
    <mergeCell ref="E116:E118"/>
    <mergeCell ref="F116:F118"/>
    <mergeCell ref="E52:E54"/>
    <mergeCell ref="F29:F31"/>
    <mergeCell ref="F107:F109"/>
    <mergeCell ref="E55:E57"/>
    <mergeCell ref="F55:F57"/>
    <mergeCell ref="F64:F66"/>
    <mergeCell ref="F67:F69"/>
    <mergeCell ref="E82:E84"/>
    <mergeCell ref="F12:F14"/>
    <mergeCell ref="F32:F34"/>
    <mergeCell ref="F20:F22"/>
    <mergeCell ref="F26:F28"/>
    <mergeCell ref="F37:F39"/>
    <mergeCell ref="F40:F42"/>
    <mergeCell ref="F52:F54"/>
    <mergeCell ref="D49:F49"/>
    <mergeCell ref="C15:C17"/>
    <mergeCell ref="D6:E6"/>
    <mergeCell ref="D20:D22"/>
    <mergeCell ref="E37:E39"/>
    <mergeCell ref="D12:D14"/>
    <mergeCell ref="E12:E14"/>
    <mergeCell ref="E26:E28"/>
    <mergeCell ref="E29:E31"/>
    <mergeCell ref="E32:E34"/>
    <mergeCell ref="D9:F9"/>
    <mergeCell ref="B23:B25"/>
    <mergeCell ref="C23:C25"/>
    <mergeCell ref="A20:A22"/>
    <mergeCell ref="A12:A14"/>
    <mergeCell ref="B12:B14"/>
    <mergeCell ref="C12:C14"/>
    <mergeCell ref="B20:B22"/>
    <mergeCell ref="C20:C22"/>
    <mergeCell ref="A15:A17"/>
    <mergeCell ref="B15:B17"/>
    <mergeCell ref="B26:B28"/>
    <mergeCell ref="A29:A31"/>
    <mergeCell ref="B29:B31"/>
    <mergeCell ref="A26:A28"/>
    <mergeCell ref="C29:C31"/>
    <mergeCell ref="D29:D31"/>
    <mergeCell ref="C26:C28"/>
    <mergeCell ref="D26:D28"/>
    <mergeCell ref="C37:C39"/>
    <mergeCell ref="D37:D39"/>
    <mergeCell ref="A32:A34"/>
    <mergeCell ref="B32:B34"/>
    <mergeCell ref="C32:C34"/>
    <mergeCell ref="D32:D34"/>
    <mergeCell ref="F76:F78"/>
    <mergeCell ref="E85:E87"/>
    <mergeCell ref="F85:F87"/>
    <mergeCell ref="A55:A57"/>
    <mergeCell ref="B55:B57"/>
    <mergeCell ref="C55:C57"/>
    <mergeCell ref="D55:D57"/>
    <mergeCell ref="A58:A60"/>
    <mergeCell ref="B58:B60"/>
    <mergeCell ref="C58:C60"/>
    <mergeCell ref="D85:D87"/>
    <mergeCell ref="E76:E78"/>
    <mergeCell ref="D79:D81"/>
    <mergeCell ref="E79:E81"/>
    <mergeCell ref="D76:D78"/>
    <mergeCell ref="D82:D84"/>
    <mergeCell ref="A95:A97"/>
    <mergeCell ref="A73:A75"/>
    <mergeCell ref="B73:B75"/>
    <mergeCell ref="C73:C75"/>
    <mergeCell ref="C85:C87"/>
    <mergeCell ref="C79:C81"/>
    <mergeCell ref="A82:A84"/>
    <mergeCell ref="A85:A87"/>
    <mergeCell ref="B82:B84"/>
    <mergeCell ref="C76:C78"/>
    <mergeCell ref="C101:C103"/>
    <mergeCell ref="E98:E100"/>
    <mergeCell ref="F98:F100"/>
    <mergeCell ref="B95:B97"/>
    <mergeCell ref="B98:B100"/>
    <mergeCell ref="C98:C100"/>
    <mergeCell ref="D98:D100"/>
    <mergeCell ref="E95:E97"/>
    <mergeCell ref="C95:C97"/>
    <mergeCell ref="D95:D97"/>
    <mergeCell ref="A113:A115"/>
    <mergeCell ref="B113:B115"/>
    <mergeCell ref="B110:B112"/>
    <mergeCell ref="A110:A112"/>
    <mergeCell ref="C113:C115"/>
    <mergeCell ref="D113:D115"/>
    <mergeCell ref="F110:F112"/>
    <mergeCell ref="C107:C109"/>
    <mergeCell ref="D107:D109"/>
    <mergeCell ref="D110:D112"/>
    <mergeCell ref="E113:E115"/>
    <mergeCell ref="E107:E109"/>
    <mergeCell ref="E110:E112"/>
    <mergeCell ref="F113:F115"/>
    <mergeCell ref="F124:F126"/>
    <mergeCell ref="E121:E123"/>
    <mergeCell ref="A124:A126"/>
    <mergeCell ref="C124:C126"/>
    <mergeCell ref="A121:A123"/>
    <mergeCell ref="B121:B123"/>
    <mergeCell ref="C121:C123"/>
    <mergeCell ref="D121:D123"/>
    <mergeCell ref="F121:F123"/>
    <mergeCell ref="A127:B130"/>
    <mergeCell ref="B124:B126"/>
    <mergeCell ref="D124:D126"/>
    <mergeCell ref="E124:E126"/>
    <mergeCell ref="A107:A109"/>
    <mergeCell ref="B107:B109"/>
    <mergeCell ref="A76:A78"/>
    <mergeCell ref="B76:B78"/>
    <mergeCell ref="A101:A103"/>
    <mergeCell ref="B101:B103"/>
    <mergeCell ref="B85:B87"/>
    <mergeCell ref="A98:A100"/>
    <mergeCell ref="A79:A81"/>
    <mergeCell ref="B79:B81"/>
    <mergeCell ref="F58:F60"/>
    <mergeCell ref="E73:E75"/>
    <mergeCell ref="D73:D75"/>
    <mergeCell ref="E64:E66"/>
    <mergeCell ref="D61:D63"/>
    <mergeCell ref="E61:E63"/>
    <mergeCell ref="F61:F63"/>
    <mergeCell ref="D64:D66"/>
    <mergeCell ref="A52:A54"/>
    <mergeCell ref="D15:D17"/>
    <mergeCell ref="E15:E17"/>
    <mergeCell ref="F15:F17"/>
    <mergeCell ref="E20:E22"/>
    <mergeCell ref="B52:B54"/>
    <mergeCell ref="C52:C54"/>
    <mergeCell ref="D52:D54"/>
    <mergeCell ref="A37:A39"/>
    <mergeCell ref="B37:B39"/>
    <mergeCell ref="C70:C72"/>
    <mergeCell ref="E40:E42"/>
    <mergeCell ref="D67:D69"/>
    <mergeCell ref="E67:E69"/>
    <mergeCell ref="C40:C42"/>
    <mergeCell ref="D40:D42"/>
    <mergeCell ref="D70:D72"/>
    <mergeCell ref="E58:E60"/>
    <mergeCell ref="A104:A106"/>
    <mergeCell ref="B104:B106"/>
    <mergeCell ref="D104:D106"/>
    <mergeCell ref="E104:E106"/>
    <mergeCell ref="A23:A25"/>
    <mergeCell ref="D23:D25"/>
    <mergeCell ref="E23:E25"/>
    <mergeCell ref="E70:E72"/>
    <mergeCell ref="A70:A72"/>
    <mergeCell ref="B70:B72"/>
    <mergeCell ref="A67:A69"/>
    <mergeCell ref="B67:B69"/>
    <mergeCell ref="A40:A42"/>
    <mergeCell ref="B40:B42"/>
  </mergeCells>
  <conditionalFormatting sqref="D121:F126 D110:E115 F113:F115 D116:F118 D107:F109 D67:F87 D95:F100 D52:E66 F55:F66 D37:E42 D101:E106 D12:E17 D20:E34">
    <cfRule type="expression" priority="1" dxfId="2" stopIfTrue="1">
      <formula>$C$2=TRUE</formula>
    </cfRule>
  </conditionalFormatting>
  <printOptions/>
  <pageMargins left="0.3937007874015748" right="0.3937007874015748" top="0.3937007874015748" bottom="0.3937007874015748" header="0.5118110236220472" footer="0.5118110236220472"/>
  <pageSetup horizontalDpi="600" verticalDpi="600" orientation="landscape" paperSize="9" scale="95" r:id="rId3"/>
  <rowBreaks count="2" manualBreakCount="2">
    <brk id="45" max="6" man="1"/>
    <brk id="88" max="6" man="1"/>
  </rowBreaks>
  <drawing r:id="rId2"/>
  <legacyDrawing r:id="rId1"/>
</worksheet>
</file>

<file path=xl/worksheets/sheet17.xml><?xml version="1.0" encoding="utf-8"?>
<worksheet xmlns="http://schemas.openxmlformats.org/spreadsheetml/2006/main" xmlns:r="http://schemas.openxmlformats.org/officeDocument/2006/relationships">
  <sheetPr codeName="Blad17"/>
  <dimension ref="A1:K94"/>
  <sheetViews>
    <sheetView showGridLines="0" zoomScale="86" zoomScaleNormal="86" zoomScaleSheetLayoutView="86" workbookViewId="0" topLeftCell="A1">
      <selection activeCell="A2" sqref="A2"/>
    </sheetView>
  </sheetViews>
  <sheetFormatPr defaultColWidth="9.140625" defaultRowHeight="12.75"/>
  <cols>
    <col min="1" max="1" width="5.7109375" style="467" customWidth="1"/>
    <col min="2" max="2" width="46.421875" style="453" customWidth="1"/>
    <col min="3" max="3" width="30.8515625" style="453" customWidth="1"/>
    <col min="4" max="4" width="8.7109375" style="487" customWidth="1"/>
    <col min="5" max="5" width="13.7109375" style="456" customWidth="1"/>
    <col min="6" max="8" width="13.7109375" style="453" customWidth="1"/>
    <col min="9" max="9" width="9.00390625" style="471" bestFit="1" customWidth="1"/>
    <col min="10" max="16384" width="9.140625" style="453" customWidth="1"/>
  </cols>
  <sheetData>
    <row r="1" spans="1:11" ht="15.75" customHeight="1">
      <c r="A1" s="41"/>
      <c r="B1" s="42"/>
      <c r="C1" s="42"/>
      <c r="D1" s="42"/>
      <c r="E1" s="43"/>
      <c r="F1" s="42"/>
      <c r="G1" s="45"/>
      <c r="H1" s="455"/>
      <c r="I1" s="456"/>
      <c r="K1" s="451"/>
    </row>
    <row r="2" spans="1:11" s="513" customFormat="1" ht="15.75" customHeight="1">
      <c r="A2" s="982" t="str">
        <f>CONCATENATE("Lijst met aanvullende vragen ",Voorblad!E3," ",Voorblad!A5)</f>
        <v>Lijst met aanvullende vragen 2005 GGZ-instellingen</v>
      </c>
      <c r="B2" s="631"/>
      <c r="C2" s="631"/>
      <c r="D2" s="633"/>
      <c r="E2" s="634" t="b">
        <f>Voorblad!E28</f>
        <v>1</v>
      </c>
      <c r="F2" s="634"/>
      <c r="G2" s="542"/>
      <c r="H2" s="1258">
        <f>Vragen!F90+1</f>
        <v>33</v>
      </c>
      <c r="K2" s="514"/>
    </row>
    <row r="3" spans="1:11" ht="12">
      <c r="A3" s="41"/>
      <c r="B3" s="42"/>
      <c r="C3" s="42"/>
      <c r="D3" s="42"/>
      <c r="E3" s="43"/>
      <c r="F3" s="42"/>
      <c r="G3" s="45"/>
      <c r="H3" s="455"/>
      <c r="I3" s="456"/>
      <c r="K3" s="451"/>
    </row>
    <row r="4" spans="1:11" ht="12.75" customHeight="1">
      <c r="A4" s="14" t="str">
        <f>CONCATENATE("AANVULLENDE VRAGEN ",Voorblad!E3," ")</f>
        <v>AANVULLENDE VRAGEN 2005 </v>
      </c>
      <c r="B4" s="42"/>
      <c r="C4" s="42"/>
      <c r="D4" s="42"/>
      <c r="E4" s="1876" t="str">
        <f>CONCATENATE("Instelling: ",Voorblad!F9,".",Voorblad!G9)</f>
        <v>Instelling: 120.</v>
      </c>
      <c r="F4" s="1701"/>
      <c r="G4" s="1702"/>
      <c r="H4" s="455"/>
      <c r="I4" s="456"/>
      <c r="K4" s="451"/>
    </row>
    <row r="5" spans="1:11" ht="12" customHeight="1">
      <c r="A5" s="14"/>
      <c r="B5" s="1321"/>
      <c r="C5" s="1321"/>
      <c r="D5" s="1321"/>
      <c r="E5" s="1877">
        <f>Voorblad!C31</f>
        <v>0</v>
      </c>
      <c r="F5" s="1878"/>
      <c r="G5" s="1879"/>
      <c r="H5" s="455"/>
      <c r="I5" s="456"/>
      <c r="K5" s="451"/>
    </row>
    <row r="6" spans="1:11" ht="12" customHeight="1">
      <c r="A6" s="1571" t="s">
        <v>8</v>
      </c>
      <c r="B6" s="1580"/>
      <c r="C6" s="1580"/>
      <c r="D6" s="1580"/>
      <c r="E6" s="1580"/>
      <c r="F6" s="1580"/>
      <c r="G6" s="1580"/>
      <c r="H6" s="455"/>
      <c r="I6" s="456"/>
      <c r="K6" s="451"/>
    </row>
    <row r="7" spans="1:11" ht="12" customHeight="1">
      <c r="A7" s="1580"/>
      <c r="B7" s="1580"/>
      <c r="C7" s="1580"/>
      <c r="D7" s="1580"/>
      <c r="E7" s="1580"/>
      <c r="F7" s="1580"/>
      <c r="G7" s="1580"/>
      <c r="H7" s="455"/>
      <c r="I7" s="456"/>
      <c r="K7" s="451"/>
    </row>
    <row r="8" spans="1:11" ht="12" customHeight="1">
      <c r="A8" s="1580"/>
      <c r="B8" s="1580"/>
      <c r="C8" s="1580"/>
      <c r="D8" s="1580"/>
      <c r="E8" s="1580"/>
      <c r="F8" s="1580"/>
      <c r="G8" s="1580"/>
      <c r="H8" s="455"/>
      <c r="I8" s="456"/>
      <c r="K8" s="451"/>
    </row>
    <row r="9" spans="1:9" ht="12.75" customHeight="1">
      <c r="A9" s="1321"/>
      <c r="B9" s="1321"/>
      <c r="C9" s="1321"/>
      <c r="D9" s="1321"/>
      <c r="E9" s="1321"/>
      <c r="F9" s="1321"/>
      <c r="G9" s="1321"/>
      <c r="H9" s="499"/>
      <c r="I9" s="499"/>
    </row>
    <row r="10" spans="1:9" ht="12.75" customHeight="1">
      <c r="A10" s="646" t="s">
        <v>67</v>
      </c>
      <c r="B10" s="1321"/>
      <c r="C10" s="1321"/>
      <c r="D10" s="1321"/>
      <c r="E10" s="1321"/>
      <c r="F10" s="1321"/>
      <c r="G10" s="1321"/>
      <c r="H10" s="509"/>
      <c r="I10" s="509"/>
    </row>
    <row r="11" spans="2:9" ht="12.75" customHeight="1">
      <c r="B11"/>
      <c r="C11"/>
      <c r="D11"/>
      <c r="E11"/>
      <c r="F11"/>
      <c r="G11"/>
      <c r="H11" s="477"/>
      <c r="I11" s="486"/>
    </row>
    <row r="12" spans="1:9" s="494" customFormat="1" ht="12.75" customHeight="1">
      <c r="A12"/>
      <c r="H12" s="477"/>
      <c r="I12" s="486"/>
    </row>
    <row r="13" spans="1:8" ht="12.75" customHeight="1">
      <c r="A13" s="26"/>
      <c r="B13" s="1560" t="s">
        <v>1387</v>
      </c>
      <c r="C13" s="1560" t="s">
        <v>1388</v>
      </c>
      <c r="D13" s="1020" t="s">
        <v>1342</v>
      </c>
      <c r="E13" s="1020" t="s">
        <v>10</v>
      </c>
      <c r="F13" s="1560" t="s">
        <v>11</v>
      </c>
      <c r="G13" s="1560" t="s">
        <v>12</v>
      </c>
      <c r="H13" s="1560" t="s">
        <v>13</v>
      </c>
    </row>
    <row r="14" spans="1:8" ht="12.75" customHeight="1">
      <c r="A14" s="26"/>
      <c r="B14" s="1021"/>
      <c r="C14" s="1561" t="s">
        <v>1389</v>
      </c>
      <c r="D14" s="1021" t="s">
        <v>1390</v>
      </c>
      <c r="E14" s="1021" t="s">
        <v>9</v>
      </c>
      <c r="F14" s="1561" t="s">
        <v>637</v>
      </c>
      <c r="G14" s="1561" t="s">
        <v>637</v>
      </c>
      <c r="H14" s="1561" t="s">
        <v>637</v>
      </c>
    </row>
    <row r="15" spans="1:9" ht="12.75" customHeight="1">
      <c r="A15" s="671"/>
      <c r="B15" s="1022"/>
      <c r="C15" s="1022"/>
      <c r="D15" s="1022" t="s">
        <v>1391</v>
      </c>
      <c r="E15" s="1022" t="s">
        <v>1392</v>
      </c>
      <c r="F15" s="1562" t="s">
        <v>1393</v>
      </c>
      <c r="G15" s="1562" t="s">
        <v>1393</v>
      </c>
      <c r="H15" s="1562" t="s">
        <v>1393</v>
      </c>
      <c r="I15"/>
    </row>
    <row r="16" spans="1:9" ht="12.75" customHeight="1">
      <c r="A16" s="1023">
        <f>(H2*100)+1</f>
        <v>3301</v>
      </c>
      <c r="B16" s="1024" t="s">
        <v>825</v>
      </c>
      <c r="C16" s="1024" t="s">
        <v>1394</v>
      </c>
      <c r="D16"/>
      <c r="E16" s="1025">
        <f>'G-H'!D7</f>
        <v>0</v>
      </c>
      <c r="F16" s="1026"/>
      <c r="G16" s="1026"/>
      <c r="H16" s="1399"/>
      <c r="I16"/>
    </row>
    <row r="17" spans="1:9" ht="12.75" customHeight="1">
      <c r="A17" s="946">
        <f aca="true" t="shared" si="0" ref="A17:A41">A16+1</f>
        <v>3302</v>
      </c>
      <c r="B17" s="1027" t="s">
        <v>826</v>
      </c>
      <c r="C17" s="1024" t="s">
        <v>1394</v>
      </c>
      <c r="D17"/>
      <c r="E17" s="1025">
        <f>'G-H'!D8</f>
        <v>0</v>
      </c>
      <c r="F17" s="1026"/>
      <c r="G17" s="1026"/>
      <c r="H17" s="1400"/>
      <c r="I17"/>
    </row>
    <row r="18" spans="1:9" ht="12.75" customHeight="1">
      <c r="A18" s="946">
        <f t="shared" si="0"/>
        <v>3303</v>
      </c>
      <c r="B18" s="1027" t="s">
        <v>827</v>
      </c>
      <c r="C18" s="1024" t="s">
        <v>1394</v>
      </c>
      <c r="D18"/>
      <c r="E18" s="1025">
        <f>'G-H'!D9</f>
        <v>0</v>
      </c>
      <c r="F18" s="1026"/>
      <c r="G18" s="1026"/>
      <c r="H18" s="1400"/>
      <c r="I18"/>
    </row>
    <row r="19" spans="1:9" ht="12.75" customHeight="1">
      <c r="A19" s="946">
        <f t="shared" si="0"/>
        <v>3304</v>
      </c>
      <c r="B19" s="1027" t="s">
        <v>828</v>
      </c>
      <c r="C19" s="1024" t="s">
        <v>1394</v>
      </c>
      <c r="D19"/>
      <c r="E19" s="1025">
        <f>'G-H'!D10</f>
        <v>0</v>
      </c>
      <c r="F19" s="1026"/>
      <c r="G19" s="1026"/>
      <c r="H19" s="1400"/>
      <c r="I19"/>
    </row>
    <row r="20" spans="1:9" ht="12.75" customHeight="1">
      <c r="A20" s="946">
        <f t="shared" si="0"/>
        <v>3305</v>
      </c>
      <c r="B20" s="1027" t="s">
        <v>829</v>
      </c>
      <c r="C20" s="1024" t="s">
        <v>1394</v>
      </c>
      <c r="D20"/>
      <c r="E20" s="1025">
        <f>'G-H'!D11</f>
        <v>0</v>
      </c>
      <c r="F20" s="1026"/>
      <c r="G20" s="1026"/>
      <c r="H20" s="1400"/>
      <c r="I20"/>
    </row>
    <row r="21" spans="1:9" ht="12.75" customHeight="1">
      <c r="A21" s="946">
        <f t="shared" si="0"/>
        <v>3306</v>
      </c>
      <c r="B21" s="1027" t="s">
        <v>830</v>
      </c>
      <c r="C21" s="1024" t="s">
        <v>1394</v>
      </c>
      <c r="D21"/>
      <c r="E21" s="1025">
        <f>'G-H'!D12</f>
        <v>0</v>
      </c>
      <c r="F21" s="1026"/>
      <c r="G21" s="1026"/>
      <c r="H21" s="1400"/>
      <c r="I21"/>
    </row>
    <row r="22" spans="1:9" ht="12.75" customHeight="1">
      <c r="A22" s="946">
        <f t="shared" si="0"/>
        <v>3307</v>
      </c>
      <c r="B22" s="1027" t="s">
        <v>831</v>
      </c>
      <c r="C22" s="1024" t="s">
        <v>1394</v>
      </c>
      <c r="D22"/>
      <c r="E22" s="1025">
        <f>'G-H'!D13</f>
        <v>0</v>
      </c>
      <c r="F22" s="1026"/>
      <c r="G22" s="1026"/>
      <c r="H22" s="1400"/>
      <c r="I22"/>
    </row>
    <row r="23" spans="1:9" ht="12.75" customHeight="1">
      <c r="A23" s="946">
        <f t="shared" si="0"/>
        <v>3308</v>
      </c>
      <c r="B23" s="1027" t="s">
        <v>1395</v>
      </c>
      <c r="C23" s="1024" t="s">
        <v>1394</v>
      </c>
      <c r="D23"/>
      <c r="E23" s="1025">
        <f>'G-H'!D14</f>
        <v>0</v>
      </c>
      <c r="F23" s="1026"/>
      <c r="G23" s="1026"/>
      <c r="H23" s="1400"/>
      <c r="I23"/>
    </row>
    <row r="24" spans="1:9" ht="12.75" customHeight="1">
      <c r="A24" s="946">
        <f t="shared" si="0"/>
        <v>3309</v>
      </c>
      <c r="B24" s="1027" t="s">
        <v>833</v>
      </c>
      <c r="C24" s="1024" t="s">
        <v>1394</v>
      </c>
      <c r="D24"/>
      <c r="E24" s="1025">
        <f>'G-H'!D15</f>
        <v>0</v>
      </c>
      <c r="F24" s="1026"/>
      <c r="G24" s="1026"/>
      <c r="H24" s="1400"/>
      <c r="I24"/>
    </row>
    <row r="25" spans="1:9" ht="12.75" customHeight="1">
      <c r="A25" s="946">
        <f t="shared" si="0"/>
        <v>3310</v>
      </c>
      <c r="B25" s="1027" t="s">
        <v>834</v>
      </c>
      <c r="C25" s="1024" t="s">
        <v>1394</v>
      </c>
      <c r="D25"/>
      <c r="E25" s="1025">
        <f>'G-H'!D16</f>
        <v>0</v>
      </c>
      <c r="F25" s="1026"/>
      <c r="G25" s="1026"/>
      <c r="H25" s="1400"/>
      <c r="I25"/>
    </row>
    <row r="26" spans="1:9" ht="12.75" customHeight="1">
      <c r="A26" s="946">
        <f t="shared" si="0"/>
        <v>3311</v>
      </c>
      <c r="B26" s="1027" t="s">
        <v>835</v>
      </c>
      <c r="C26" s="1024" t="s">
        <v>1394</v>
      </c>
      <c r="D26"/>
      <c r="E26" s="1025">
        <f>'G-H'!D17</f>
        <v>0</v>
      </c>
      <c r="F26" s="1026"/>
      <c r="G26" s="1026"/>
      <c r="H26" s="1026"/>
      <c r="I26"/>
    </row>
    <row r="27" spans="1:9" ht="12.75" customHeight="1">
      <c r="A27" s="946">
        <f t="shared" si="0"/>
        <v>3312</v>
      </c>
      <c r="B27" s="1027" t="s">
        <v>14</v>
      </c>
      <c r="C27" s="1024" t="s">
        <v>1394</v>
      </c>
      <c r="D27"/>
      <c r="E27" s="1025">
        <f>'G-H'!D22+'G-H'!D23+'G-H'!D24</f>
        <v>0</v>
      </c>
      <c r="F27"/>
      <c r="G27" s="1396"/>
      <c r="H27" s="1400"/>
      <c r="I27"/>
    </row>
    <row r="28" spans="1:9" ht="12.75" customHeight="1">
      <c r="A28" s="946">
        <f t="shared" si="0"/>
        <v>3313</v>
      </c>
      <c r="B28" s="1027" t="s">
        <v>1020</v>
      </c>
      <c r="C28" s="1027" t="s">
        <v>1396</v>
      </c>
      <c r="D28"/>
      <c r="E28" s="1025">
        <f>'Rentecalc.'!E10</f>
        <v>0</v>
      </c>
      <c r="F28"/>
      <c r="G28" s="1397"/>
      <c r="H28" s="1400"/>
      <c r="I28"/>
    </row>
    <row r="29" spans="1:9" ht="12.75" customHeight="1">
      <c r="A29" s="946">
        <f t="shared" si="0"/>
        <v>3314</v>
      </c>
      <c r="B29" s="1027" t="s">
        <v>1397</v>
      </c>
      <c r="C29" s="1027" t="s">
        <v>1396</v>
      </c>
      <c r="D29"/>
      <c r="E29" s="1025">
        <f>'Rentecalc.'!E11</f>
        <v>0</v>
      </c>
      <c r="F29"/>
      <c r="G29" s="1026"/>
      <c r="H29" s="1400"/>
      <c r="I29"/>
    </row>
    <row r="30" spans="1:9" ht="12.75" customHeight="1">
      <c r="A30" s="946">
        <f t="shared" si="0"/>
        <v>3315</v>
      </c>
      <c r="B30" s="1027" t="s">
        <v>1398</v>
      </c>
      <c r="C30" s="1027" t="s">
        <v>1396</v>
      </c>
      <c r="D30"/>
      <c r="E30" s="1025">
        <f>'Rentecalc.'!E13</f>
        <v>0</v>
      </c>
      <c r="F30"/>
      <c r="G30" s="1026"/>
      <c r="H30" s="1400"/>
      <c r="I30"/>
    </row>
    <row r="31" spans="1:9" ht="12.75">
      <c r="A31" s="946">
        <f t="shared" si="0"/>
        <v>3316</v>
      </c>
      <c r="B31" s="1027" t="s">
        <v>1399</v>
      </c>
      <c r="C31" s="1027" t="s">
        <v>1396</v>
      </c>
      <c r="D31"/>
      <c r="E31" s="1025">
        <f>'Rentecalc.'!E12</f>
        <v>0</v>
      </c>
      <c r="F31"/>
      <c r="G31" s="1396"/>
      <c r="H31" s="1400"/>
      <c r="I31"/>
    </row>
    <row r="32" spans="1:9" ht="12.75">
      <c r="A32" s="946">
        <f t="shared" si="0"/>
        <v>3317</v>
      </c>
      <c r="B32" s="1027" t="s">
        <v>1010</v>
      </c>
      <c r="C32" s="1027" t="s">
        <v>1396</v>
      </c>
      <c r="D32"/>
      <c r="E32" s="1025">
        <f>'Rentecalc.'!E14</f>
        <v>0</v>
      </c>
      <c r="F32"/>
      <c r="G32" s="1398"/>
      <c r="H32" s="1400"/>
      <c r="I32"/>
    </row>
    <row r="33" spans="1:9" ht="12.75">
      <c r="A33" s="946">
        <f t="shared" si="0"/>
        <v>3318</v>
      </c>
      <c r="B33" s="1027" t="s">
        <v>1400</v>
      </c>
      <c r="C33" s="1027" t="s">
        <v>1396</v>
      </c>
      <c r="D33"/>
      <c r="E33" s="1025">
        <f>'Rentecalc.'!E17</f>
        <v>0</v>
      </c>
      <c r="F33"/>
      <c r="G33" s="1398"/>
      <c r="H33" s="1400"/>
      <c r="I33"/>
    </row>
    <row r="34" spans="1:9" ht="12.75">
      <c r="A34" s="946">
        <f t="shared" si="0"/>
        <v>3319</v>
      </c>
      <c r="B34" s="1027" t="s">
        <v>1401</v>
      </c>
      <c r="C34" s="1027" t="s">
        <v>1396</v>
      </c>
      <c r="D34"/>
      <c r="E34" s="1025">
        <f>'Rentecalc.'!E18</f>
        <v>0</v>
      </c>
      <c r="F34"/>
      <c r="G34" s="1397"/>
      <c r="H34" s="1400"/>
      <c r="I34"/>
    </row>
    <row r="35" spans="1:9" ht="12.75">
      <c r="A35" s="946">
        <f t="shared" si="0"/>
        <v>3320</v>
      </c>
      <c r="B35" s="1027" t="s">
        <v>1402</v>
      </c>
      <c r="C35" s="1024" t="s">
        <v>1394</v>
      </c>
      <c r="D35"/>
      <c r="E35" s="1025">
        <f>Afschrijvingen!K36</f>
        <v>0</v>
      </c>
      <c r="F35" s="1028"/>
      <c r="G35" s="1028"/>
      <c r="H35" s="1400"/>
      <c r="I35"/>
    </row>
    <row r="36" spans="1:9" ht="12.75">
      <c r="A36" s="946">
        <f t="shared" si="0"/>
        <v>3321</v>
      </c>
      <c r="B36" s="1027" t="s">
        <v>1403</v>
      </c>
      <c r="C36" s="1024" t="s">
        <v>1394</v>
      </c>
      <c r="D36"/>
      <c r="E36" s="1025">
        <f>Afschrijvingen!K35</f>
        <v>0</v>
      </c>
      <c r="F36" s="1028"/>
      <c r="G36" s="1028"/>
      <c r="H36" s="1400"/>
      <c r="I36"/>
    </row>
    <row r="37" spans="1:9" ht="12.75">
      <c r="A37" s="946">
        <f t="shared" si="0"/>
        <v>3322</v>
      </c>
      <c r="B37" s="1029" t="s">
        <v>1404</v>
      </c>
      <c r="C37" s="1024" t="s">
        <v>1394</v>
      </c>
      <c r="D37" s="1030"/>
      <c r="E37" s="1025">
        <f>Afschrijvingen!K33</f>
        <v>0</v>
      </c>
      <c r="F37" s="1028"/>
      <c r="G37" s="1026"/>
      <c r="H37" s="1400"/>
      <c r="I37"/>
    </row>
    <row r="38" spans="1:9" ht="12.75">
      <c r="A38" s="946">
        <f t="shared" si="0"/>
        <v>3323</v>
      </c>
      <c r="B38" s="1029" t="s">
        <v>1405</v>
      </c>
      <c r="C38" s="1024" t="s">
        <v>1394</v>
      </c>
      <c r="D38" s="1030"/>
      <c r="E38" s="1028"/>
      <c r="F38" s="1028"/>
      <c r="G38" s="1026"/>
      <c r="H38" s="1400"/>
      <c r="I38"/>
    </row>
    <row r="39" spans="1:9" ht="12.75">
      <c r="A39" s="946">
        <f t="shared" si="0"/>
        <v>3324</v>
      </c>
      <c r="B39" s="1029" t="str">
        <f>CONCATENATE("Schuld lange leningen voorzover niet vermeld onder regel ",A33)</f>
        <v>Schuld lange leningen voorzover niet vermeld onder regel 3318</v>
      </c>
      <c r="C39" s="1029" t="s">
        <v>22</v>
      </c>
      <c r="D39" s="1030"/>
      <c r="E39" s="1028"/>
      <c r="F39" s="1028"/>
      <c r="G39" s="1026"/>
      <c r="H39" s="1400"/>
      <c r="I39"/>
    </row>
    <row r="40" spans="1:9" ht="12.75">
      <c r="A40" s="946">
        <f t="shared" si="0"/>
        <v>3325</v>
      </c>
      <c r="B40" s="1027" t="s">
        <v>23</v>
      </c>
      <c r="C40" s="1027" t="s">
        <v>1396</v>
      </c>
      <c r="D40"/>
      <c r="E40" s="1025">
        <f>'Rentecalc.'!E23</f>
        <v>0</v>
      </c>
      <c r="F40"/>
      <c r="G40"/>
      <c r="H40" s="1400"/>
      <c r="I40"/>
    </row>
    <row r="41" spans="1:9" ht="12.75">
      <c r="A41" s="946">
        <f t="shared" si="0"/>
        <v>3326</v>
      </c>
      <c r="B41" s="1027" t="s">
        <v>24</v>
      </c>
      <c r="C41" s="1027" t="s">
        <v>25</v>
      </c>
      <c r="D41"/>
      <c r="E41" s="1031"/>
      <c r="F41" s="1031"/>
      <c r="G41" s="1026"/>
      <c r="H41" s="1401"/>
      <c r="I41"/>
    </row>
    <row r="42" spans="1:9" ht="12.75">
      <c r="A42"/>
      <c r="B42" s="1032"/>
      <c r="C42" s="1032"/>
      <c r="D42"/>
      <c r="E42"/>
      <c r="F42"/>
      <c r="G42"/>
      <c r="H42"/>
      <c r="I42"/>
    </row>
    <row r="43" spans="1:9" ht="12.75">
      <c r="A43" s="453"/>
      <c r="D43" s="453"/>
      <c r="E43" s="453"/>
      <c r="H43"/>
      <c r="I43"/>
    </row>
    <row r="44" spans="1:9" ht="12.75">
      <c r="A44"/>
      <c r="B44"/>
      <c r="C44"/>
      <c r="D44"/>
      <c r="E44"/>
      <c r="F44"/>
      <c r="G44"/>
      <c r="H44"/>
      <c r="I44"/>
    </row>
    <row r="45" spans="1:9" ht="15.75" customHeight="1">
      <c r="A45" s="41"/>
      <c r="B45" s="42"/>
      <c r="C45" s="42"/>
      <c r="D45" s="42"/>
      <c r="E45" s="43"/>
      <c r="F45" s="42"/>
      <c r="G45" s="45"/>
      <c r="H45" s="455"/>
      <c r="I45"/>
    </row>
    <row r="46" spans="1:9" ht="15.75" customHeight="1">
      <c r="A46" s="616" t="str">
        <f>A2</f>
        <v>Lijst met aanvullende vragen 2005 GGZ-instellingen</v>
      </c>
      <c r="B46" s="631"/>
      <c r="C46" s="631"/>
      <c r="D46" s="633"/>
      <c r="E46" s="634"/>
      <c r="F46" s="634"/>
      <c r="G46" s="542"/>
      <c r="H46" s="1258">
        <f>H2+1</f>
        <v>34</v>
      </c>
      <c r="I46"/>
    </row>
    <row r="47" spans="1:9" ht="15" customHeight="1">
      <c r="A47" s="629"/>
      <c r="B47" s="91"/>
      <c r="C47" s="91"/>
      <c r="D47" s="626"/>
      <c r="E47" s="627"/>
      <c r="F47" s="627"/>
      <c r="G47" s="514"/>
      <c r="H47" s="628"/>
      <c r="I47"/>
    </row>
    <row r="48" spans="1:9" ht="15" customHeight="1">
      <c r="A48" s="629"/>
      <c r="B48" s="91"/>
      <c r="C48" s="91"/>
      <c r="D48" s="626"/>
      <c r="E48" s="1876" t="str">
        <f>CONCATENATE("Instelling: ",Voorblad!F9,".",Voorblad!G9)</f>
        <v>Instelling: 120.</v>
      </c>
      <c r="F48" s="1701"/>
      <c r="G48" s="1702"/>
      <c r="H48" s="628"/>
      <c r="I48"/>
    </row>
    <row r="49" spans="1:9" ht="12.75">
      <c r="A49"/>
      <c r="B49"/>
      <c r="C49"/>
      <c r="D49"/>
      <c r="E49" s="1877">
        <f>E5</f>
        <v>0</v>
      </c>
      <c r="F49" s="1880"/>
      <c r="G49" s="1881"/>
      <c r="H49"/>
      <c r="I49"/>
    </row>
    <row r="50" spans="1:9" ht="12.75">
      <c r="A50"/>
      <c r="H50"/>
      <c r="I50"/>
    </row>
    <row r="51" spans="1:9" ht="12.75">
      <c r="A51"/>
      <c r="B51" s="1560" t="s">
        <v>1387</v>
      </c>
      <c r="C51" s="1560" t="s">
        <v>1388</v>
      </c>
      <c r="D51" s="1020" t="s">
        <v>1342</v>
      </c>
      <c r="E51" s="1020" t="s">
        <v>10</v>
      </c>
      <c r="F51" s="1560" t="s">
        <v>11</v>
      </c>
      <c r="G51" s="1560" t="s">
        <v>12</v>
      </c>
      <c r="H51" s="1560" t="s">
        <v>13</v>
      </c>
      <c r="I51"/>
    </row>
    <row r="52" spans="1:9" ht="12.75">
      <c r="A52"/>
      <c r="B52" s="1021"/>
      <c r="C52" s="1561" t="s">
        <v>1389</v>
      </c>
      <c r="D52" s="1021" t="s">
        <v>1390</v>
      </c>
      <c r="E52" s="1021" t="s">
        <v>9</v>
      </c>
      <c r="F52" s="1561" t="s">
        <v>637</v>
      </c>
      <c r="G52" s="1561" t="s">
        <v>637</v>
      </c>
      <c r="H52" s="1561" t="s">
        <v>637</v>
      </c>
      <c r="I52"/>
    </row>
    <row r="53" spans="1:9" ht="12.75">
      <c r="A53"/>
      <c r="B53" s="1022"/>
      <c r="C53" s="1022"/>
      <c r="D53" s="1022" t="s">
        <v>1391</v>
      </c>
      <c r="E53" s="1022" t="s">
        <v>1392</v>
      </c>
      <c r="F53" s="1562" t="s">
        <v>1393</v>
      </c>
      <c r="G53" s="1562" t="s">
        <v>1393</v>
      </c>
      <c r="H53" s="1562" t="s">
        <v>1393</v>
      </c>
      <c r="I53"/>
    </row>
    <row r="54" spans="1:9" ht="12.75">
      <c r="A54" s="1023">
        <f>(H46*100)+1</f>
        <v>3401</v>
      </c>
      <c r="B54" s="1027" t="s">
        <v>26</v>
      </c>
      <c r="C54" s="1027" t="s">
        <v>27</v>
      </c>
      <c r="D54" s="1033">
        <v>431</v>
      </c>
      <c r="E54" s="1031"/>
      <c r="F54" s="1031"/>
      <c r="G54" s="1031"/>
      <c r="H54" s="1031"/>
      <c r="I54"/>
    </row>
    <row r="55" spans="1:9" ht="12.75">
      <c r="A55" s="946">
        <f aca="true" t="shared" si="1" ref="A55:A76">A54+1</f>
        <v>3402</v>
      </c>
      <c r="B55" s="1027" t="s">
        <v>28</v>
      </c>
      <c r="C55" s="1027"/>
      <c r="D55" s="1033">
        <v>4541</v>
      </c>
      <c r="E55" s="1031"/>
      <c r="F55" s="1031"/>
      <c r="G55" s="1031"/>
      <c r="H55" s="1031"/>
      <c r="I55"/>
    </row>
    <row r="56" spans="1:9" ht="12.75">
      <c r="A56" s="946">
        <f t="shared" si="1"/>
        <v>3403</v>
      </c>
      <c r="B56" s="1027" t="s">
        <v>29</v>
      </c>
      <c r="C56" s="1027" t="s">
        <v>30</v>
      </c>
      <c r="D56" s="1033">
        <v>4541</v>
      </c>
      <c r="E56" s="1031"/>
      <c r="F56" s="1031"/>
      <c r="G56" s="1031"/>
      <c r="H56" s="1031"/>
      <c r="I56"/>
    </row>
    <row r="57" spans="1:9" ht="12.75">
      <c r="A57" s="946">
        <f t="shared" si="1"/>
        <v>3404</v>
      </c>
      <c r="B57" s="1027" t="s">
        <v>31</v>
      </c>
      <c r="C57" s="1027"/>
      <c r="D57" s="1033">
        <v>4541</v>
      </c>
      <c r="E57" s="1031"/>
      <c r="F57" s="1031"/>
      <c r="G57" s="1031"/>
      <c r="H57" s="1031"/>
      <c r="I57"/>
    </row>
    <row r="58" spans="1:9" ht="12.75">
      <c r="A58" s="946">
        <f t="shared" si="1"/>
        <v>3405</v>
      </c>
      <c r="B58" s="1027" t="s">
        <v>32</v>
      </c>
      <c r="C58" s="1027"/>
      <c r="D58" s="1033">
        <v>443</v>
      </c>
      <c r="E58" s="1031"/>
      <c r="F58"/>
      <c r="G58" s="1031"/>
      <c r="H58" s="1031"/>
      <c r="I58"/>
    </row>
    <row r="59" spans="1:9" ht="12.75">
      <c r="A59" s="946">
        <f t="shared" si="1"/>
        <v>3406</v>
      </c>
      <c r="B59" s="1027" t="s">
        <v>33</v>
      </c>
      <c r="C59" s="1027"/>
      <c r="D59" s="1033">
        <v>4621</v>
      </c>
      <c r="E59" s="1031"/>
      <c r="F59"/>
      <c r="G59" s="1031"/>
      <c r="H59" s="1031"/>
      <c r="I59"/>
    </row>
    <row r="60" spans="1:9" ht="12.75">
      <c r="A60" s="946">
        <f t="shared" si="1"/>
        <v>3407</v>
      </c>
      <c r="B60" s="1027" t="s">
        <v>34</v>
      </c>
      <c r="C60" s="1027"/>
      <c r="D60" s="1033">
        <v>473</v>
      </c>
      <c r="E60" s="1031"/>
      <c r="F60" s="1031"/>
      <c r="G60" s="1031"/>
      <c r="H60" s="1031"/>
      <c r="I60"/>
    </row>
    <row r="61" spans="1:9" ht="12.75">
      <c r="A61" s="946">
        <f t="shared" si="1"/>
        <v>3408</v>
      </c>
      <c r="B61" s="1027" t="s">
        <v>35</v>
      </c>
      <c r="C61" s="1873" t="s">
        <v>36</v>
      </c>
      <c r="D61" s="1034">
        <v>411</v>
      </c>
      <c r="E61" s="1031"/>
      <c r="F61" s="1031"/>
      <c r="G61" s="1031"/>
      <c r="H61" s="1031"/>
      <c r="I61"/>
    </row>
    <row r="62" spans="1:9" ht="12.75">
      <c r="A62" s="946">
        <f t="shared" si="1"/>
        <v>3409</v>
      </c>
      <c r="B62" s="1027" t="s">
        <v>37</v>
      </c>
      <c r="C62" s="1874"/>
      <c r="D62" s="1034">
        <v>412</v>
      </c>
      <c r="E62" s="1031"/>
      <c r="F62" s="1031"/>
      <c r="G62" s="1031"/>
      <c r="H62" s="1031"/>
      <c r="I62"/>
    </row>
    <row r="63" spans="1:9" ht="12.75">
      <c r="A63" s="946">
        <f t="shared" si="1"/>
        <v>3410</v>
      </c>
      <c r="B63" s="1027" t="s">
        <v>38</v>
      </c>
      <c r="C63" s="1874"/>
      <c r="D63" s="1034">
        <v>413</v>
      </c>
      <c r="E63" s="1031"/>
      <c r="F63" s="1031"/>
      <c r="G63" s="1031"/>
      <c r="H63" s="1031"/>
      <c r="I63"/>
    </row>
    <row r="64" spans="1:9" ht="12.75">
      <c r="A64" s="946">
        <f t="shared" si="1"/>
        <v>3411</v>
      </c>
      <c r="B64" s="1027" t="s">
        <v>39</v>
      </c>
      <c r="C64" s="1874"/>
      <c r="D64" s="1034">
        <v>414</v>
      </c>
      <c r="E64" s="1031"/>
      <c r="F64" s="1031"/>
      <c r="G64" s="1031"/>
      <c r="H64" s="1031"/>
      <c r="I64"/>
    </row>
    <row r="65" spans="1:9" ht="12.75">
      <c r="A65" s="946">
        <f t="shared" si="1"/>
        <v>3412</v>
      </c>
      <c r="B65" s="1027" t="s">
        <v>40</v>
      </c>
      <c r="C65" s="1875"/>
      <c r="D65" s="1034">
        <v>415</v>
      </c>
      <c r="E65" s="1031"/>
      <c r="F65" s="1031"/>
      <c r="G65" s="1031"/>
      <c r="H65" s="1031"/>
      <c r="I65"/>
    </row>
    <row r="66" spans="1:9" ht="12.75">
      <c r="A66" s="946">
        <f t="shared" si="1"/>
        <v>3413</v>
      </c>
      <c r="B66" s="908" t="s">
        <v>41</v>
      </c>
      <c r="C66" s="1027" t="s">
        <v>42</v>
      </c>
      <c r="D66" s="1033">
        <v>418</v>
      </c>
      <c r="E66" s="1031"/>
      <c r="F66" s="1031"/>
      <c r="G66" s="1031"/>
      <c r="H66" s="1031"/>
      <c r="I66"/>
    </row>
    <row r="67" spans="1:9" ht="12.75">
      <c r="A67" s="946">
        <f t="shared" si="1"/>
        <v>3414</v>
      </c>
      <c r="B67" s="908" t="s">
        <v>43</v>
      </c>
      <c r="C67" s="1027" t="s">
        <v>44</v>
      </c>
      <c r="D67" s="1033" t="s">
        <v>45</v>
      </c>
      <c r="E67" s="1031"/>
      <c r="F67" s="1031"/>
      <c r="G67" s="1031"/>
      <c r="H67" s="1031"/>
      <c r="I67"/>
    </row>
    <row r="68" spans="1:9" ht="12.75">
      <c r="A68" s="946">
        <f t="shared" si="1"/>
        <v>3415</v>
      </c>
      <c r="B68" s="908" t="s">
        <v>46</v>
      </c>
      <c r="C68" s="1027" t="s">
        <v>47</v>
      </c>
      <c r="D68" s="1033">
        <v>422</v>
      </c>
      <c r="E68" s="1031"/>
      <c r="F68" s="1031"/>
      <c r="G68" s="1031"/>
      <c r="H68" s="1031"/>
      <c r="I68"/>
    </row>
    <row r="69" spans="1:9" ht="12.75">
      <c r="A69" s="946">
        <f t="shared" si="1"/>
        <v>3416</v>
      </c>
      <c r="B69" s="908" t="s">
        <v>48</v>
      </c>
      <c r="C69" s="1027"/>
      <c r="D69" s="1033">
        <v>423</v>
      </c>
      <c r="E69" s="1031"/>
      <c r="F69" s="1031"/>
      <c r="G69" s="1031"/>
      <c r="H69" s="1031"/>
      <c r="I69"/>
    </row>
    <row r="70" spans="1:9" ht="12.75">
      <c r="A70" s="946">
        <f t="shared" si="1"/>
        <v>3417</v>
      </c>
      <c r="B70" s="908" t="s">
        <v>49</v>
      </c>
      <c r="C70" s="1027"/>
      <c r="D70" s="1033">
        <v>43</v>
      </c>
      <c r="E70" s="1031"/>
      <c r="F70" s="1031"/>
      <c r="G70" s="1031"/>
      <c r="H70" s="1031"/>
      <c r="I70"/>
    </row>
    <row r="71" spans="1:9" ht="12.75">
      <c r="A71" s="946">
        <f t="shared" si="1"/>
        <v>3418</v>
      </c>
      <c r="B71" s="908" t="s">
        <v>50</v>
      </c>
      <c r="C71" s="1027"/>
      <c r="D71" s="1033">
        <v>44</v>
      </c>
      <c r="E71" s="1031"/>
      <c r="F71" s="1031"/>
      <c r="G71" s="1031"/>
      <c r="H71" s="1031"/>
      <c r="I71"/>
    </row>
    <row r="72" spans="1:9" ht="12.75">
      <c r="A72" s="946">
        <f t="shared" si="1"/>
        <v>3419</v>
      </c>
      <c r="B72" s="908" t="s">
        <v>52</v>
      </c>
      <c r="C72" s="1027"/>
      <c r="D72" s="1033">
        <v>45</v>
      </c>
      <c r="E72" s="1031"/>
      <c r="F72" s="1031"/>
      <c r="G72" s="1031"/>
      <c r="H72" s="1031"/>
      <c r="I72"/>
    </row>
    <row r="73" spans="1:9" ht="12.75">
      <c r="A73" s="946">
        <f t="shared" si="1"/>
        <v>3420</v>
      </c>
      <c r="B73" s="908" t="s">
        <v>53</v>
      </c>
      <c r="C73" s="1027"/>
      <c r="D73" s="1033">
        <v>46</v>
      </c>
      <c r="E73" s="1031"/>
      <c r="F73" s="1031"/>
      <c r="G73" s="1031"/>
      <c r="H73" s="1031"/>
      <c r="I73"/>
    </row>
    <row r="74" spans="1:9" ht="12.75">
      <c r="A74" s="946">
        <f t="shared" si="1"/>
        <v>3421</v>
      </c>
      <c r="B74" s="908" t="s">
        <v>54</v>
      </c>
      <c r="C74" s="1027"/>
      <c r="D74" s="1033">
        <v>47</v>
      </c>
      <c r="E74" s="1031"/>
      <c r="F74" s="1031"/>
      <c r="G74" s="1031"/>
      <c r="H74" s="1031"/>
      <c r="I74"/>
    </row>
    <row r="75" spans="1:9" ht="12.75">
      <c r="A75" s="946">
        <f t="shared" si="1"/>
        <v>3422</v>
      </c>
      <c r="B75" s="908" t="s">
        <v>55</v>
      </c>
      <c r="C75" s="1027"/>
      <c r="D75" s="1033">
        <v>48</v>
      </c>
      <c r="E75" s="1031"/>
      <c r="F75" s="1031"/>
      <c r="G75" s="1031"/>
      <c r="H75" s="1031"/>
      <c r="I75"/>
    </row>
    <row r="76" spans="1:9" ht="12.75">
      <c r="A76" s="946">
        <f t="shared" si="1"/>
        <v>3423</v>
      </c>
      <c r="B76" s="908" t="s">
        <v>63</v>
      </c>
      <c r="C76" s="1027"/>
      <c r="D76" s="1033" t="s">
        <v>64</v>
      </c>
      <c r="E76" s="1031"/>
      <c r="F76" s="1031"/>
      <c r="G76" s="1031"/>
      <c r="H76" s="1031"/>
      <c r="I76"/>
    </row>
    <row r="77" spans="2:9" ht="12.75">
      <c r="B77"/>
      <c r="C77"/>
      <c r="D77"/>
      <c r="E77"/>
      <c r="F77"/>
      <c r="G77"/>
      <c r="H77"/>
      <c r="I77"/>
    </row>
    <row r="78" spans="1:9" ht="12.75">
      <c r="A78" s="467" t="s">
        <v>796</v>
      </c>
      <c r="B78" s="580"/>
      <c r="C78" s="580"/>
      <c r="D78" s="580"/>
      <c r="E78" s="580"/>
      <c r="F78" s="580"/>
      <c r="G78" s="580"/>
      <c r="H78"/>
      <c r="I78"/>
    </row>
    <row r="79" spans="1:9" ht="12.75">
      <c r="A79" s="1035"/>
      <c r="B79" s="729"/>
      <c r="C79" s="729"/>
      <c r="D79" s="729"/>
      <c r="E79" s="729"/>
      <c r="F79" s="729"/>
      <c r="G79" s="729"/>
      <c r="H79"/>
      <c r="I79"/>
    </row>
    <row r="80" spans="1:9" ht="12.75">
      <c r="A80" s="1035"/>
      <c r="B80" s="729"/>
      <c r="C80" s="729"/>
      <c r="D80" s="1036"/>
      <c r="E80" s="574"/>
      <c r="F80" s="729"/>
      <c r="G80" s="729"/>
      <c r="H80"/>
      <c r="I80"/>
    </row>
    <row r="81" spans="1:9" ht="12.75">
      <c r="A81" s="1035"/>
      <c r="B81" s="729"/>
      <c r="C81" s="729"/>
      <c r="D81" s="1036"/>
      <c r="E81" s="574"/>
      <c r="F81" s="729"/>
      <c r="G81" s="729"/>
      <c r="H81"/>
      <c r="I81"/>
    </row>
    <row r="82" spans="1:9" ht="12.75">
      <c r="A82" s="1035"/>
      <c r="B82" s="729"/>
      <c r="C82" s="729"/>
      <c r="D82" s="1036"/>
      <c r="E82" s="574"/>
      <c r="F82" s="729"/>
      <c r="G82" s="729"/>
      <c r="H82"/>
      <c r="I82"/>
    </row>
    <row r="83" spans="1:9" ht="12.75">
      <c r="A83" s="1035"/>
      <c r="B83" s="729"/>
      <c r="C83" s="729"/>
      <c r="D83" s="1036"/>
      <c r="E83" s="574"/>
      <c r="F83" s="729"/>
      <c r="G83" s="729"/>
      <c r="H83"/>
      <c r="I83"/>
    </row>
    <row r="84" spans="1:9" ht="12.75">
      <c r="A84" s="1035"/>
      <c r="B84" s="729"/>
      <c r="C84" s="729"/>
      <c r="D84" s="1036"/>
      <c r="E84" s="574"/>
      <c r="F84" s="729"/>
      <c r="G84" s="729"/>
      <c r="H84"/>
      <c r="I84"/>
    </row>
    <row r="85" spans="1:9" ht="12.75">
      <c r="A85" s="1035"/>
      <c r="B85" s="729"/>
      <c r="C85" s="729"/>
      <c r="D85" s="1036"/>
      <c r="E85" s="574"/>
      <c r="F85" s="729"/>
      <c r="G85" s="729"/>
      <c r="H85"/>
      <c r="I85"/>
    </row>
    <row r="86" spans="1:9" ht="12.75">
      <c r="A86" s="1035"/>
      <c r="B86" s="729"/>
      <c r="C86" s="729"/>
      <c r="D86" s="1036"/>
      <c r="E86" s="574"/>
      <c r="F86" s="729"/>
      <c r="G86" s="729"/>
      <c r="H86"/>
      <c r="I86"/>
    </row>
    <row r="87" spans="1:9" ht="12.75">
      <c r="A87" s="1035"/>
      <c r="B87" s="729"/>
      <c r="C87" s="729"/>
      <c r="D87" s="1036"/>
      <c r="E87" s="574"/>
      <c r="F87" s="729"/>
      <c r="G87" s="729"/>
      <c r="H87"/>
      <c r="I87"/>
    </row>
    <row r="88" spans="1:9" ht="12.75">
      <c r="A88" s="1035"/>
      <c r="B88" s="729"/>
      <c r="C88" s="729"/>
      <c r="D88" s="1036"/>
      <c r="E88" s="574"/>
      <c r="F88" s="729"/>
      <c r="G88" s="729"/>
      <c r="H88"/>
      <c r="I88"/>
    </row>
    <row r="89" spans="8:9" ht="12.75">
      <c r="H89"/>
      <c r="I89"/>
    </row>
    <row r="90" spans="8:9" ht="12.75">
      <c r="H90"/>
      <c r="I90"/>
    </row>
    <row r="91" spans="8:9" ht="12.75">
      <c r="H91"/>
      <c r="I91"/>
    </row>
    <row r="92" spans="8:9" ht="12.75">
      <c r="H92"/>
      <c r="I92"/>
    </row>
    <row r="93" spans="8:9" ht="12.75">
      <c r="H93"/>
      <c r="I93"/>
    </row>
    <row r="94" spans="8:9" ht="12.75">
      <c r="H94"/>
      <c r="I94"/>
    </row>
  </sheetData>
  <sheetProtection password="958F" sheet="1" objects="1" scenarios="1"/>
  <mergeCells count="6">
    <mergeCell ref="C61:C65"/>
    <mergeCell ref="A6:G8"/>
    <mergeCell ref="E4:G4"/>
    <mergeCell ref="E5:G5"/>
    <mergeCell ref="E48:G48"/>
    <mergeCell ref="E49:G49"/>
  </mergeCells>
  <conditionalFormatting sqref="H26 E60:F76 E54:F57 E58:E59 E38:E39 F16:G26 G29:G30 E41:G41 G54:H76 F35:G39">
    <cfRule type="expression" priority="1" dxfId="2" stopIfTrue="1">
      <formula>$E$2=TRUE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scale="95" r:id="rId2"/>
  <headerFooter alignWithMargins="0">
    <oddFooter>&amp;C&amp;"Arial,Vet"&amp;8
</oddFooter>
  </headerFooter>
  <rowBreaks count="1" manualBreakCount="1">
    <brk id="44" max="255" man="1"/>
  </rowBreaks>
  <drawing r:id="rId1"/>
</worksheet>
</file>

<file path=xl/worksheets/sheet18.xml><?xml version="1.0" encoding="utf-8"?>
<worksheet xmlns="http://schemas.openxmlformats.org/spreadsheetml/2006/main" xmlns:r="http://schemas.openxmlformats.org/officeDocument/2006/relationships">
  <sheetPr codeName="Blad271"/>
  <dimension ref="A2:G67"/>
  <sheetViews>
    <sheetView showGridLines="0" workbookViewId="0" topLeftCell="A1">
      <selection activeCell="A2" sqref="A2"/>
    </sheetView>
  </sheetViews>
  <sheetFormatPr defaultColWidth="9.140625" defaultRowHeight="12.75"/>
  <cols>
    <col min="1" max="1" width="3.28125" style="1391" customWidth="1"/>
    <col min="2" max="2" width="30.8515625" style="1392" customWidth="1"/>
    <col min="3" max="3" width="33.8515625" style="1365" customWidth="1"/>
    <col min="4" max="7" width="17.7109375" style="1365" customWidth="1"/>
    <col min="8" max="16384" width="8.8515625" style="1365" customWidth="1"/>
  </cols>
  <sheetData>
    <row r="2" spans="1:7" ht="12">
      <c r="A2" s="1393" t="str">
        <f>CONCATENATE("Nacalculatie ",Voorblad!E3," GGZ-instellingen ")</f>
        <v>Nacalculatie 2005 GGZ-instellingen </v>
      </c>
      <c r="B2" s="1394"/>
      <c r="C2" s="1395"/>
      <c r="D2" s="1395"/>
      <c r="E2" s="1395"/>
      <c r="F2" s="1395"/>
      <c r="G2" s="1395"/>
    </row>
    <row r="4" spans="1:7" s="1367" customFormat="1" ht="12.75" customHeight="1">
      <c r="A4" s="1890" t="s">
        <v>1284</v>
      </c>
      <c r="B4" s="1891"/>
      <c r="C4" s="1891"/>
      <c r="D4" s="1891"/>
      <c r="E4" s="1891"/>
      <c r="F4" s="1891"/>
      <c r="G4" s="1891"/>
    </row>
    <row r="5" s="1367" customFormat="1" ht="12.75" customHeight="1">
      <c r="A5" s="1368"/>
    </row>
    <row r="6" spans="1:7" s="1366" customFormat="1" ht="12.75" customHeight="1">
      <c r="A6" s="1369">
        <v>1</v>
      </c>
      <c r="B6" s="1370" t="s">
        <v>1285</v>
      </c>
      <c r="C6" s="461"/>
      <c r="D6" s="461"/>
      <c r="E6" s="461"/>
      <c r="F6" s="461"/>
      <c r="G6" s="461"/>
    </row>
    <row r="7" spans="1:7" s="1366" customFormat="1" ht="12.75" customHeight="1">
      <c r="A7" s="1369"/>
      <c r="B7" s="1364"/>
      <c r="C7" s="461"/>
      <c r="D7" s="461"/>
      <c r="E7" s="461"/>
      <c r="F7" s="461"/>
      <c r="G7" s="461"/>
    </row>
    <row r="8" spans="1:7" s="1373" customFormat="1" ht="12.75" customHeight="1">
      <c r="A8" s="1371" t="s">
        <v>1272</v>
      </c>
      <c r="B8" s="1372" t="s">
        <v>1286</v>
      </c>
      <c r="C8" s="1370"/>
      <c r="D8" s="1370"/>
      <c r="E8" s="1370"/>
      <c r="F8" s="1370"/>
      <c r="G8" s="1370"/>
    </row>
    <row r="9" spans="1:7" s="1366" customFormat="1" ht="24.75" customHeight="1">
      <c r="A9" s="1882" t="s">
        <v>1309</v>
      </c>
      <c r="B9" s="1882"/>
      <c r="C9" s="1882"/>
      <c r="D9" s="1882"/>
      <c r="E9" s="1882"/>
      <c r="F9" s="1882"/>
      <c r="G9" s="1882"/>
    </row>
    <row r="10" spans="1:7" s="1366" customFormat="1" ht="12" customHeight="1">
      <c r="A10" s="1364"/>
      <c r="B10" s="1364"/>
      <c r="C10" s="1364"/>
      <c r="D10" s="1364"/>
      <c r="E10" s="1364"/>
      <c r="F10" s="1364"/>
      <c r="G10" s="1364"/>
    </row>
    <row r="11" spans="1:7" s="1373" customFormat="1" ht="12.75" customHeight="1">
      <c r="A11" s="1371" t="s">
        <v>639</v>
      </c>
      <c r="B11" s="1372" t="s">
        <v>1287</v>
      </c>
      <c r="C11" s="461"/>
      <c r="D11" s="461"/>
      <c r="E11" s="461"/>
      <c r="F11" s="461"/>
      <c r="G11" s="461"/>
    </row>
    <row r="12" spans="1:7" s="1366" customFormat="1" ht="12.75" customHeight="1">
      <c r="A12" s="1374">
        <v>1</v>
      </c>
      <c r="B12" s="461" t="s">
        <v>15</v>
      </c>
      <c r="C12" s="1370"/>
      <c r="D12" s="1370"/>
      <c r="E12" s="1370"/>
      <c r="F12" s="1370"/>
      <c r="G12" s="1370"/>
    </row>
    <row r="13" spans="1:7" s="1366" customFormat="1" ht="24.75" customHeight="1">
      <c r="A13" s="1374">
        <v>2</v>
      </c>
      <c r="B13" s="1882" t="s">
        <v>16</v>
      </c>
      <c r="C13" s="1882"/>
      <c r="D13" s="1882"/>
      <c r="E13" s="1882"/>
      <c r="F13" s="1882"/>
      <c r="G13" s="1882"/>
    </row>
    <row r="14" spans="1:7" s="1366" customFormat="1" ht="12.75" customHeight="1">
      <c r="A14" s="1374">
        <v>3</v>
      </c>
      <c r="B14" s="1882" t="s">
        <v>17</v>
      </c>
      <c r="C14" s="1882"/>
      <c r="D14" s="1882"/>
      <c r="E14" s="1882"/>
      <c r="F14" s="1882"/>
      <c r="G14" s="1882"/>
    </row>
    <row r="15" spans="1:7" s="1366" customFormat="1" ht="11.25" customHeight="1">
      <c r="A15" s="1374">
        <v>4</v>
      </c>
      <c r="B15" s="1882" t="s">
        <v>18</v>
      </c>
      <c r="C15" s="1882"/>
      <c r="D15" s="1882"/>
      <c r="E15" s="1882"/>
      <c r="F15" s="1882"/>
      <c r="G15" s="1882"/>
    </row>
    <row r="16" spans="1:7" s="1366" customFormat="1" ht="11.25" customHeight="1">
      <c r="A16" s="1374"/>
      <c r="B16" s="1892"/>
      <c r="C16" s="1892"/>
      <c r="D16" s="1892"/>
      <c r="E16" s="1892"/>
      <c r="F16" s="1892"/>
      <c r="G16" s="1892"/>
    </row>
    <row r="17" spans="1:7" s="1366" customFormat="1" ht="12.75" customHeight="1">
      <c r="A17" s="1374"/>
      <c r="B17" s="1364"/>
      <c r="C17" s="1364"/>
      <c r="D17" s="1364"/>
      <c r="E17" s="1364"/>
      <c r="F17" s="1364"/>
      <c r="G17" s="1364"/>
    </row>
    <row r="18" spans="1:7" s="1373" customFormat="1" ht="12.75" customHeight="1">
      <c r="A18" s="1369">
        <v>2</v>
      </c>
      <c r="B18" s="1370" t="s">
        <v>1288</v>
      </c>
      <c r="C18" s="461"/>
      <c r="D18" s="461"/>
      <c r="E18" s="461"/>
      <c r="F18" s="461"/>
      <c r="G18" s="461"/>
    </row>
    <row r="19" spans="1:7" s="1366" customFormat="1" ht="12">
      <c r="A19" s="1371" t="s">
        <v>1261</v>
      </c>
      <c r="B19" s="1372" t="s">
        <v>1289</v>
      </c>
      <c r="C19" s="1370"/>
      <c r="D19" s="1370"/>
      <c r="E19" s="1370"/>
      <c r="F19" s="1370"/>
      <c r="G19" s="1370"/>
    </row>
    <row r="20" spans="1:7" s="1366" customFormat="1" ht="12.75" customHeight="1">
      <c r="A20" s="1882" t="s">
        <v>21</v>
      </c>
      <c r="B20" s="1882"/>
      <c r="C20" s="1882"/>
      <c r="D20" s="1882"/>
      <c r="E20" s="1882"/>
      <c r="F20" s="1882"/>
      <c r="G20" s="1882"/>
    </row>
    <row r="21" spans="1:7" s="1366" customFormat="1" ht="12.75" customHeight="1">
      <c r="A21" s="1882"/>
      <c r="B21" s="1882"/>
      <c r="C21" s="1882"/>
      <c r="D21" s="1882"/>
      <c r="E21" s="1882"/>
      <c r="F21" s="1882"/>
      <c r="G21" s="1882"/>
    </row>
    <row r="22" spans="1:7" s="1366" customFormat="1" ht="12.75" customHeight="1">
      <c r="A22" s="1892"/>
      <c r="B22" s="1892"/>
      <c r="C22" s="1892"/>
      <c r="D22" s="1892"/>
      <c r="E22" s="1892"/>
      <c r="F22" s="1892"/>
      <c r="G22" s="1892"/>
    </row>
    <row r="23" spans="1:7" s="1366" customFormat="1" ht="12.75" customHeight="1">
      <c r="A23" s="1892"/>
      <c r="B23" s="1892"/>
      <c r="C23" s="1892"/>
      <c r="D23" s="1892"/>
      <c r="E23" s="1892"/>
      <c r="F23" s="1892"/>
      <c r="G23" s="1892"/>
    </row>
    <row r="24" spans="1:7" s="1366" customFormat="1" ht="12.75" customHeight="1">
      <c r="A24" s="1882" t="s">
        <v>1326</v>
      </c>
      <c r="B24" s="1892"/>
      <c r="C24" s="1892"/>
      <c r="D24" s="1892"/>
      <c r="E24" s="1892"/>
      <c r="F24" s="1892"/>
      <c r="G24" s="1892"/>
    </row>
    <row r="25" spans="1:7" s="1366" customFormat="1" ht="12.75" customHeight="1">
      <c r="A25" s="1892"/>
      <c r="B25" s="1892"/>
      <c r="C25" s="1892"/>
      <c r="D25" s="1892"/>
      <c r="E25" s="1892"/>
      <c r="F25" s="1892"/>
      <c r="G25" s="1892"/>
    </row>
    <row r="26" spans="1:7" s="1366" customFormat="1" ht="12.75" customHeight="1">
      <c r="A26" s="1892"/>
      <c r="B26" s="1892"/>
      <c r="C26" s="1892"/>
      <c r="D26" s="1892"/>
      <c r="E26" s="1892"/>
      <c r="F26" s="1892"/>
      <c r="G26" s="1892"/>
    </row>
    <row r="27" spans="1:7" s="1366" customFormat="1" ht="12" customHeight="1">
      <c r="A27" s="1375"/>
      <c r="B27" s="1375"/>
      <c r="C27" s="1375"/>
      <c r="D27" s="1375"/>
      <c r="E27" s="1375"/>
      <c r="F27" s="1375"/>
      <c r="G27" s="1375"/>
    </row>
    <row r="28" spans="1:7" s="1366" customFormat="1" ht="12.75" customHeight="1">
      <c r="A28" s="1371" t="s">
        <v>1262</v>
      </c>
      <c r="B28" s="1372" t="s">
        <v>1290</v>
      </c>
      <c r="C28" s="1376"/>
      <c r="D28" s="1376"/>
      <c r="E28" s="1376"/>
      <c r="F28" s="1376"/>
      <c r="G28" s="1376"/>
    </row>
    <row r="29" spans="1:7" s="1366" customFormat="1" ht="12.75" customHeight="1">
      <c r="A29" s="1889" t="s">
        <v>19</v>
      </c>
      <c r="B29" s="1889"/>
      <c r="C29" s="1889"/>
      <c r="D29" s="1889"/>
      <c r="E29" s="1889"/>
      <c r="F29" s="1889"/>
      <c r="G29" s="1889"/>
    </row>
    <row r="30" spans="1:7" s="1366" customFormat="1" ht="12.75" customHeight="1">
      <c r="A30" s="1882" t="s">
        <v>1291</v>
      </c>
      <c r="B30" s="1882"/>
      <c r="C30" s="1882"/>
      <c r="D30" s="1882"/>
      <c r="E30" s="1882"/>
      <c r="F30" s="1882"/>
      <c r="G30" s="1882"/>
    </row>
    <row r="31" spans="1:7" s="1366" customFormat="1" ht="12.75" customHeight="1">
      <c r="A31" s="1882" t="s">
        <v>1292</v>
      </c>
      <c r="B31" s="1882"/>
      <c r="C31" s="1882"/>
      <c r="D31" s="1882"/>
      <c r="E31" s="1882"/>
      <c r="F31" s="1882"/>
      <c r="G31" s="1882"/>
    </row>
    <row r="32" spans="1:7" s="1366" customFormat="1" ht="12.75" customHeight="1">
      <c r="A32" s="1882" t="s">
        <v>1293</v>
      </c>
      <c r="B32" s="1882"/>
      <c r="C32" s="1882"/>
      <c r="D32" s="1882"/>
      <c r="E32" s="1882"/>
      <c r="F32" s="1882"/>
      <c r="G32" s="1882"/>
    </row>
    <row r="33" spans="1:7" s="1366" customFormat="1" ht="12.75" customHeight="1">
      <c r="A33" s="1882" t="s">
        <v>1294</v>
      </c>
      <c r="B33" s="1882"/>
      <c r="C33" s="1882"/>
      <c r="D33" s="1882"/>
      <c r="E33" s="1882"/>
      <c r="F33" s="1882"/>
      <c r="G33" s="1882"/>
    </row>
    <row r="34" spans="1:7" s="1366" customFormat="1" ht="25.5" customHeight="1">
      <c r="A34" s="1889" t="s">
        <v>1332</v>
      </c>
      <c r="B34" s="1889"/>
      <c r="C34" s="1889"/>
      <c r="D34" s="1889"/>
      <c r="E34" s="1889"/>
      <c r="F34" s="1889"/>
      <c r="G34" s="1889"/>
    </row>
    <row r="35" spans="1:7" s="1366" customFormat="1" ht="12.75" customHeight="1">
      <c r="A35" s="1377"/>
      <c r="B35" s="1377"/>
      <c r="C35" s="1377"/>
      <c r="D35" s="1377"/>
      <c r="E35" s="1377"/>
      <c r="F35" s="1377"/>
      <c r="G35" s="1377"/>
    </row>
    <row r="36" spans="1:7" s="1366" customFormat="1" ht="12.75" customHeight="1">
      <c r="A36" s="1378">
        <v>3</v>
      </c>
      <c r="B36" s="1379" t="s">
        <v>1296</v>
      </c>
      <c r="C36" s="1380"/>
      <c r="D36" s="1380"/>
      <c r="E36" s="1380"/>
      <c r="F36" s="1380"/>
      <c r="G36" s="1380"/>
    </row>
    <row r="37" spans="1:7" s="1366" customFormat="1" ht="12.75" customHeight="1">
      <c r="A37" s="1882" t="s">
        <v>1297</v>
      </c>
      <c r="B37" s="1882"/>
      <c r="C37" s="1882"/>
      <c r="D37" s="1882"/>
      <c r="E37" s="1882"/>
      <c r="F37" s="1882"/>
      <c r="G37" s="1882"/>
    </row>
    <row r="38" spans="1:7" s="1366" customFormat="1" ht="12.75" customHeight="1">
      <c r="A38" s="1375"/>
      <c r="B38" s="1375"/>
      <c r="C38" s="1375"/>
      <c r="D38" s="1375"/>
      <c r="E38" s="1375"/>
      <c r="F38" s="1375"/>
      <c r="G38" s="1375"/>
    </row>
    <row r="39" spans="1:7" s="1366" customFormat="1" ht="12.75" customHeight="1">
      <c r="A39" s="1375"/>
      <c r="B39" s="1375"/>
      <c r="C39" s="1375"/>
      <c r="D39" s="1375"/>
      <c r="E39" s="1375"/>
      <c r="F39" s="1375"/>
      <c r="G39" s="1375"/>
    </row>
    <row r="40" spans="1:7" ht="12">
      <c r="A40" s="1393" t="str">
        <f>CONCATENATE("Nacalculatie ",Voorblad!E3," GGZ-instellingen ")</f>
        <v>Nacalculatie 2005 GGZ-instellingen </v>
      </c>
      <c r="B40" s="1394"/>
      <c r="C40" s="1395"/>
      <c r="D40" s="1395"/>
      <c r="E40" s="1395"/>
      <c r="F40" s="1395"/>
      <c r="G40" s="1395"/>
    </row>
    <row r="41" spans="1:7" s="1366" customFormat="1" ht="12.75" customHeight="1">
      <c r="A41" s="1375"/>
      <c r="B41" s="1375"/>
      <c r="C41" s="1375"/>
      <c r="D41" s="1375"/>
      <c r="E41" s="1375"/>
      <c r="F41" s="1375"/>
      <c r="G41" s="1375"/>
    </row>
    <row r="42" spans="1:7" s="1366" customFormat="1" ht="15" customHeight="1">
      <c r="A42" s="1890" t="s">
        <v>1298</v>
      </c>
      <c r="B42" s="1891"/>
      <c r="C42" s="1891"/>
      <c r="D42" s="1891"/>
      <c r="E42" s="1891"/>
      <c r="F42" s="1891"/>
      <c r="G42" s="1891"/>
    </row>
    <row r="43" spans="1:7" ht="12.75">
      <c r="A43" s="1381"/>
      <c r="B43" s="1381"/>
      <c r="C43" s="1381"/>
      <c r="D43" s="1381"/>
      <c r="E43" s="1381"/>
      <c r="F43" s="1381"/>
      <c r="G43" s="1381"/>
    </row>
    <row r="44" spans="1:7" ht="12">
      <c r="A44" s="1382">
        <v>4</v>
      </c>
      <c r="B44" s="1383" t="s">
        <v>62</v>
      </c>
      <c r="C44" s="1383"/>
      <c r="D44" s="1383"/>
      <c r="E44" s="1383"/>
      <c r="F44" s="1383"/>
      <c r="G44" s="1383"/>
    </row>
    <row r="45" spans="1:7" ht="12">
      <c r="A45" s="1384"/>
      <c r="B45" s="1375"/>
      <c r="C45" s="1380"/>
      <c r="D45" s="1380"/>
      <c r="E45" s="1380"/>
      <c r="F45" s="1380"/>
      <c r="G45" s="1380"/>
    </row>
    <row r="46" spans="1:7" ht="12">
      <c r="A46" s="1385" t="s">
        <v>1299</v>
      </c>
      <c r="B46" s="1375"/>
      <c r="C46" s="1380"/>
      <c r="D46" s="1380"/>
      <c r="E46" s="1380"/>
      <c r="F46" s="1380"/>
      <c r="G46" s="1380"/>
    </row>
    <row r="47" spans="1:7" ht="12">
      <c r="A47" s="1884" t="s">
        <v>1333</v>
      </c>
      <c r="B47" s="1884"/>
      <c r="C47" s="1884"/>
      <c r="D47" s="1884"/>
      <c r="E47" s="1884"/>
      <c r="F47" s="1884"/>
      <c r="G47" s="1884"/>
    </row>
    <row r="48" spans="1:7" ht="12">
      <c r="A48" s="1384"/>
      <c r="B48" s="1375"/>
      <c r="C48" s="1380"/>
      <c r="D48" s="1380"/>
      <c r="E48" s="1380"/>
      <c r="F48" s="1380"/>
      <c r="G48" s="1380"/>
    </row>
    <row r="49" spans="1:7" ht="12">
      <c r="A49" s="1384"/>
      <c r="B49" s="1375"/>
      <c r="C49" s="1380"/>
      <c r="D49" s="1380"/>
      <c r="E49" s="1380"/>
      <c r="F49" s="1380"/>
      <c r="G49" s="1380"/>
    </row>
    <row r="50" spans="1:7" ht="12">
      <c r="A50" s="1378" t="s">
        <v>1300</v>
      </c>
      <c r="B50" s="1375"/>
      <c r="C50" s="1380"/>
      <c r="D50" s="1380"/>
      <c r="E50" s="1380"/>
      <c r="F50" s="1380"/>
      <c r="G50" s="1380"/>
    </row>
    <row r="51" spans="1:7" ht="34.5" customHeight="1">
      <c r="A51" s="1882" t="s">
        <v>909</v>
      </c>
      <c r="B51" s="1882"/>
      <c r="C51" s="1882"/>
      <c r="D51" s="1882"/>
      <c r="E51" s="1882"/>
      <c r="F51" s="1882"/>
      <c r="G51" s="1882"/>
    </row>
    <row r="52" spans="1:7" ht="12">
      <c r="A52" s="1384"/>
      <c r="B52" s="1375"/>
      <c r="C52" s="1380"/>
      <c r="D52" s="1380"/>
      <c r="E52" s="1380"/>
      <c r="F52" s="1380"/>
      <c r="G52" s="1380"/>
    </row>
    <row r="53" spans="1:7" ht="12">
      <c r="A53" s="1378" t="s">
        <v>1301</v>
      </c>
      <c r="B53" s="1375"/>
      <c r="C53" s="1380"/>
      <c r="D53" s="1380"/>
      <c r="E53" s="1380"/>
      <c r="F53" s="1380"/>
      <c r="G53" s="1380"/>
    </row>
    <row r="54" spans="1:7" ht="33" customHeight="1">
      <c r="A54" s="1882" t="s">
        <v>1340</v>
      </c>
      <c r="B54" s="1882"/>
      <c r="C54" s="1882"/>
      <c r="D54" s="1882"/>
      <c r="E54" s="1882"/>
      <c r="F54" s="1882"/>
      <c r="G54" s="1882"/>
    </row>
    <row r="55" spans="1:7" ht="60.75" customHeight="1">
      <c r="A55" s="1882" t="s">
        <v>1348</v>
      </c>
      <c r="B55" s="1882"/>
      <c r="C55" s="1882"/>
      <c r="D55" s="1882"/>
      <c r="E55" s="1882"/>
      <c r="F55" s="1882"/>
      <c r="G55" s="1882"/>
    </row>
    <row r="56" spans="1:7" ht="12">
      <c r="A56" s="1375"/>
      <c r="B56" s="1375"/>
      <c r="C56" s="1375"/>
      <c r="D56" s="1375"/>
      <c r="E56" s="1375"/>
      <c r="F56" s="1375"/>
      <c r="G56" s="1375"/>
    </row>
    <row r="57" spans="1:7" ht="12">
      <c r="A57" s="1883" t="s">
        <v>1302</v>
      </c>
      <c r="B57" s="1882"/>
      <c r="C57" s="1882"/>
      <c r="D57" s="1882"/>
      <c r="E57" s="1882"/>
      <c r="F57" s="1882"/>
      <c r="G57" s="1882"/>
    </row>
    <row r="58" spans="1:7" ht="12">
      <c r="A58" s="1882" t="s">
        <v>1303</v>
      </c>
      <c r="B58" s="1882"/>
      <c r="C58" s="1882"/>
      <c r="D58" s="1882"/>
      <c r="E58" s="1882"/>
      <c r="F58" s="1882"/>
      <c r="G58" s="1882"/>
    </row>
    <row r="59" spans="1:7" ht="12">
      <c r="A59" s="1364"/>
      <c r="B59" s="1364"/>
      <c r="C59" s="1364"/>
      <c r="D59" s="1364"/>
      <c r="E59" s="1364"/>
      <c r="F59" s="1364"/>
      <c r="G59" s="1364"/>
    </row>
    <row r="60" spans="1:7" ht="12">
      <c r="A60" s="1378" t="s">
        <v>1304</v>
      </c>
      <c r="B60" s="1375"/>
      <c r="C60" s="1380"/>
      <c r="D60" s="1380"/>
      <c r="E60" s="1380"/>
      <c r="F60" s="1380"/>
      <c r="G60" s="1380"/>
    </row>
    <row r="61" spans="1:7" ht="49.5" customHeight="1">
      <c r="A61" s="1882" t="s">
        <v>20</v>
      </c>
      <c r="B61" s="1882"/>
      <c r="C61" s="1882"/>
      <c r="D61" s="1882"/>
      <c r="E61" s="1882"/>
      <c r="F61" s="1882"/>
      <c r="G61" s="1882"/>
    </row>
    <row r="62" spans="1:7" ht="12">
      <c r="A62" s="1386"/>
      <c r="B62" s="1375"/>
      <c r="C62" s="1375"/>
      <c r="D62" s="1375"/>
      <c r="E62" s="1375"/>
      <c r="F62" s="1375"/>
      <c r="G62" s="1375"/>
    </row>
    <row r="63" spans="1:7" ht="12">
      <c r="A63" s="1885" t="s">
        <v>1305</v>
      </c>
      <c r="B63" s="1885"/>
      <c r="C63" s="1885"/>
      <c r="D63" s="1885"/>
      <c r="E63" s="1885"/>
      <c r="F63" s="1885"/>
      <c r="G63" s="1885"/>
    </row>
    <row r="64" spans="1:7" ht="12">
      <c r="A64" s="1384"/>
      <c r="B64" s="1375"/>
      <c r="C64" s="1380"/>
      <c r="D64" s="1380"/>
      <c r="E64" s="1380"/>
      <c r="F64" s="1380"/>
      <c r="G64" s="1380"/>
    </row>
    <row r="65" spans="1:7" ht="12">
      <c r="A65" s="1387"/>
      <c r="B65" s="1388"/>
      <c r="C65" s="1389"/>
      <c r="D65" s="1389"/>
      <c r="E65" s="1389"/>
      <c r="F65" s="1380"/>
      <c r="G65" s="1380"/>
    </row>
    <row r="66" spans="1:7" ht="12">
      <c r="A66" s="1886" t="s">
        <v>1306</v>
      </c>
      <c r="B66" s="1886"/>
      <c r="C66" s="1886"/>
      <c r="D66" s="1886"/>
      <c r="E66" s="1886"/>
      <c r="F66" s="1380"/>
      <c r="G66" s="1380"/>
    </row>
    <row r="67" spans="1:7" ht="12">
      <c r="A67" s="1387"/>
      <c r="B67" s="1388"/>
      <c r="C67" s="1390"/>
      <c r="D67" s="1887"/>
      <c r="E67" s="1888"/>
      <c r="F67" s="1380"/>
      <c r="G67" s="1380"/>
    </row>
  </sheetData>
  <sheetProtection password="958F" sheet="1" objects="1" scenarios="1"/>
  <mergeCells count="25">
    <mergeCell ref="A4:G4"/>
    <mergeCell ref="A9:G9"/>
    <mergeCell ref="B13:G13"/>
    <mergeCell ref="B14:G14"/>
    <mergeCell ref="B15:G16"/>
    <mergeCell ref="A20:G23"/>
    <mergeCell ref="A24:G26"/>
    <mergeCell ref="A30:G30"/>
    <mergeCell ref="A29:G29"/>
    <mergeCell ref="A63:G63"/>
    <mergeCell ref="A66:E66"/>
    <mergeCell ref="D67:E67"/>
    <mergeCell ref="A34:G34"/>
    <mergeCell ref="A42:G42"/>
    <mergeCell ref="A37:G37"/>
    <mergeCell ref="A61:G61"/>
    <mergeCell ref="A58:G58"/>
    <mergeCell ref="A31:G31"/>
    <mergeCell ref="A32:G32"/>
    <mergeCell ref="A33:G33"/>
    <mergeCell ref="A57:G57"/>
    <mergeCell ref="A47:G47"/>
    <mergeCell ref="A51:G51"/>
    <mergeCell ref="A54:G54"/>
    <mergeCell ref="A55:G55"/>
  </mergeCells>
  <printOptions/>
  <pageMargins left="0.3937007874015748" right="0.3937007874015748" top="0.3937007874015748" bottom="0.3937007874015748" header="0.5905511811023623" footer="0.31496062992125984"/>
  <pageSetup horizontalDpi="300" verticalDpi="300" orientation="landscape" paperSize="9" scale="95" r:id="rId2"/>
  <rowBreaks count="1" manualBreakCount="1">
    <brk id="38" max="6" man="1"/>
  </rowBreaks>
  <drawing r:id="rId1"/>
</worksheet>
</file>

<file path=xl/worksheets/sheet19.xml><?xml version="1.0" encoding="utf-8"?>
<worksheet xmlns="http://schemas.openxmlformats.org/spreadsheetml/2006/main" xmlns:r="http://schemas.openxmlformats.org/officeDocument/2006/relationships">
  <dimension ref="A1:L289"/>
  <sheetViews>
    <sheetView workbookViewId="0" topLeftCell="A1">
      <selection activeCell="B3" sqref="B3"/>
    </sheetView>
  </sheetViews>
  <sheetFormatPr defaultColWidth="9.140625" defaultRowHeight="12.75"/>
  <cols>
    <col min="1" max="1" width="9.140625" style="1434" customWidth="1"/>
    <col min="2" max="2" width="49.00390625" style="1434" customWidth="1"/>
    <col min="3" max="3" width="13.7109375" style="1434" customWidth="1"/>
    <col min="4" max="4" width="10.7109375" style="1438" bestFit="1" customWidth="1"/>
    <col min="5" max="6" width="9.140625" style="1434" customWidth="1"/>
    <col min="7" max="7" width="9.7109375" style="1438" customWidth="1"/>
    <col min="8" max="8" width="9.140625" style="1434" customWidth="1"/>
    <col min="9" max="9" width="18.28125" style="1434" customWidth="1"/>
    <col min="10" max="11" width="9.140625" style="1434" customWidth="1"/>
    <col min="12" max="12" width="10.7109375" style="1434" bestFit="1" customWidth="1"/>
    <col min="13" max="16384" width="9.140625" style="1434" customWidth="1"/>
  </cols>
  <sheetData>
    <row r="1" spans="3:9" ht="12.75">
      <c r="C1" s="1435" t="s">
        <v>570</v>
      </c>
      <c r="D1" s="1436"/>
      <c r="E1" s="1435"/>
      <c r="F1" s="1435" t="s">
        <v>571</v>
      </c>
      <c r="G1" s="1436"/>
      <c r="H1" s="1435"/>
      <c r="I1" s="1435" t="s">
        <v>572</v>
      </c>
    </row>
    <row r="2" ht="12.75">
      <c r="B2" s="1437" t="s">
        <v>573</v>
      </c>
    </row>
    <row r="4" ht="13.5" thickBot="1">
      <c r="B4" s="562" t="s">
        <v>1118</v>
      </c>
    </row>
    <row r="5" spans="1:9" ht="12.75">
      <c r="A5" s="1123" t="s">
        <v>1175</v>
      </c>
      <c r="B5" s="570" t="s">
        <v>574</v>
      </c>
      <c r="C5" s="1434" t="s">
        <v>457</v>
      </c>
      <c r="D5" s="1438">
        <f>VLOOKUP(C5,'Beleidsregel loon 2005'!$C$1:$D$500,2,FALSE)</f>
        <v>53.5</v>
      </c>
      <c r="F5" s="1434" t="s">
        <v>528</v>
      </c>
      <c r="G5" s="1438">
        <f>VLOOKUP(F5,'Beleidsregel materieel 2005'!$C$1:$D$500,2,FALSE)</f>
        <v>12.94</v>
      </c>
      <c r="I5" s="1439">
        <f>D5+G5</f>
        <v>66.44</v>
      </c>
    </row>
    <row r="6" spans="1:9" ht="12.75">
      <c r="A6" s="645" t="s">
        <v>1176</v>
      </c>
      <c r="B6" s="570" t="s">
        <v>575</v>
      </c>
      <c r="C6" s="1434" t="s">
        <v>459</v>
      </c>
      <c r="D6" s="1438">
        <f>VLOOKUP(C6,'Beleidsregel loon 2005'!$C$1:$D$500,2,FALSE)</f>
        <v>67.75</v>
      </c>
      <c r="F6" s="1434" t="s">
        <v>528</v>
      </c>
      <c r="G6" s="1438">
        <f>VLOOKUP(F6,'Beleidsregel materieel 2005'!$C$1:$D$500,2,FALSE)</f>
        <v>12.94</v>
      </c>
      <c r="I6" s="1440">
        <f aca="true" t="shared" si="0" ref="I6:I67">D6+G6</f>
        <v>80.69</v>
      </c>
    </row>
    <row r="7" spans="1:9" ht="12.75">
      <c r="A7" s="645" t="s">
        <v>1177</v>
      </c>
      <c r="B7" s="570" t="s">
        <v>1119</v>
      </c>
      <c r="C7" s="1434" t="s">
        <v>461</v>
      </c>
      <c r="D7" s="1438">
        <f>VLOOKUP(C7,'Beleidsregel loon 2005'!$C$1:$D$500,2,FALSE)</f>
        <v>91.66</v>
      </c>
      <c r="F7" s="1434" t="s">
        <v>528</v>
      </c>
      <c r="G7" s="1438">
        <f>VLOOKUP(F7,'Beleidsregel materieel 2005'!$C$1:$D$500,2,FALSE)</f>
        <v>12.94</v>
      </c>
      <c r="I7" s="1440">
        <f t="shared" si="0"/>
        <v>104.6</v>
      </c>
    </row>
    <row r="8" spans="1:9" ht="12.75">
      <c r="A8" s="645" t="s">
        <v>1178</v>
      </c>
      <c r="B8" s="570" t="s">
        <v>1120</v>
      </c>
      <c r="C8" s="1434" t="s">
        <v>463</v>
      </c>
      <c r="D8" s="1438">
        <f>VLOOKUP(C8,'Beleidsregel loon 2005'!$C$1:$D$500,2,FALSE)</f>
        <v>100.35</v>
      </c>
      <c r="F8" s="1434" t="s">
        <v>528</v>
      </c>
      <c r="G8" s="1438">
        <f>VLOOKUP(F8,'Beleidsregel materieel 2005'!$C$1:$D$500,2,FALSE)</f>
        <v>12.94</v>
      </c>
      <c r="I8" s="1440">
        <f t="shared" si="0"/>
        <v>113.28999999999999</v>
      </c>
    </row>
    <row r="9" spans="1:9" ht="12.75">
      <c r="A9" s="645" t="s">
        <v>1179</v>
      </c>
      <c r="B9" s="570" t="s">
        <v>576</v>
      </c>
      <c r="C9" s="1434" t="s">
        <v>465</v>
      </c>
      <c r="D9" s="1438">
        <f>VLOOKUP(C9,'Beleidsregel loon 2005'!$C$1:$D$500,2,FALSE)</f>
        <v>138.72</v>
      </c>
      <c r="F9" s="1434" t="s">
        <v>528</v>
      </c>
      <c r="G9" s="1438">
        <f>VLOOKUP(F9,'Beleidsregel materieel 2005'!$C$1:$D$500,2,FALSE)</f>
        <v>12.94</v>
      </c>
      <c r="I9" s="1440">
        <f t="shared" si="0"/>
        <v>151.66</v>
      </c>
    </row>
    <row r="10" spans="1:9" ht="13.5" thickBot="1">
      <c r="A10" s="36" t="s">
        <v>1182</v>
      </c>
      <c r="B10" s="777" t="s">
        <v>1121</v>
      </c>
      <c r="C10" s="1434" t="s">
        <v>467</v>
      </c>
      <c r="D10" s="1438">
        <f>VLOOKUP(C10,'Beleidsregel loon 2005'!$C$1:$D$500,2,FALSE)</f>
        <v>191.98</v>
      </c>
      <c r="F10" s="1434" t="s">
        <v>528</v>
      </c>
      <c r="G10" s="1438">
        <f>VLOOKUP(F10,'Beleidsregel materieel 2005'!$C$1:$D$500,2,FALSE)</f>
        <v>12.94</v>
      </c>
      <c r="I10" s="1441">
        <f t="shared" si="0"/>
        <v>204.92</v>
      </c>
    </row>
    <row r="11" spans="2:9" ht="12.75">
      <c r="B11" s="697"/>
      <c r="I11" s="1442"/>
    </row>
    <row r="12" spans="2:9" ht="13.5" thickBot="1">
      <c r="B12" s="562" t="s">
        <v>1122</v>
      </c>
      <c r="I12" s="1442"/>
    </row>
    <row r="13" spans="1:9" ht="12.75">
      <c r="A13" s="1123" t="s">
        <v>1183</v>
      </c>
      <c r="B13" s="570" t="s">
        <v>1123</v>
      </c>
      <c r="C13" s="1434" t="s">
        <v>481</v>
      </c>
      <c r="D13" s="1438">
        <f>VLOOKUP(C13,'Beleidsregel loon 2005'!$C$1:$D$500,2,FALSE)</f>
        <v>120.8</v>
      </c>
      <c r="F13" s="1434" t="s">
        <v>532</v>
      </c>
      <c r="G13" s="1438">
        <f>VLOOKUP(F13,'Beleidsregel materieel 2005'!$C$1:$D$500,2,FALSE)</f>
        <v>12.94</v>
      </c>
      <c r="I13" s="1439">
        <f t="shared" si="0"/>
        <v>133.74</v>
      </c>
    </row>
    <row r="14" spans="1:9" ht="12.75">
      <c r="A14" s="645" t="s">
        <v>1184</v>
      </c>
      <c r="B14" s="570" t="s">
        <v>577</v>
      </c>
      <c r="C14" s="1434" t="s">
        <v>483</v>
      </c>
      <c r="D14" s="1438">
        <f>VLOOKUP(C14,'Beleidsregel loon 2005'!$C$1:$D$500,2,FALSE)</f>
        <v>170.3</v>
      </c>
      <c r="F14" s="1434" t="s">
        <v>532</v>
      </c>
      <c r="G14" s="1438">
        <f>VLOOKUP(F14,'Beleidsregel materieel 2005'!$C$1:$D$500,2,FALSE)</f>
        <v>12.94</v>
      </c>
      <c r="I14" s="1440">
        <f t="shared" si="0"/>
        <v>183.24</v>
      </c>
    </row>
    <row r="15" spans="1:9" ht="12.75">
      <c r="A15" s="645" t="s">
        <v>1185</v>
      </c>
      <c r="B15" s="570" t="s">
        <v>1124</v>
      </c>
      <c r="C15" s="1434" t="s">
        <v>485</v>
      </c>
      <c r="D15" s="1438">
        <f>VLOOKUP(C15,'Beleidsregel loon 2005'!$C$1:$D$500,2,FALSE)</f>
        <v>152.38</v>
      </c>
      <c r="F15" s="1434" t="s">
        <v>532</v>
      </c>
      <c r="G15" s="1438">
        <f>VLOOKUP(F15,'Beleidsregel materieel 2005'!$C$1:$D$500,2,FALSE)</f>
        <v>12.94</v>
      </c>
      <c r="I15" s="1440">
        <f t="shared" si="0"/>
        <v>165.32</v>
      </c>
    </row>
    <row r="16" spans="1:9" ht="12.75">
      <c r="A16" s="645" t="s">
        <v>1186</v>
      </c>
      <c r="B16" s="570" t="s">
        <v>578</v>
      </c>
      <c r="C16" s="1434" t="s">
        <v>487</v>
      </c>
      <c r="D16" s="1438">
        <f>VLOOKUP(C16,'Beleidsregel loon 2005'!$C$1:$D$500,2,FALSE)</f>
        <v>201.85</v>
      </c>
      <c r="F16" s="1434" t="s">
        <v>532</v>
      </c>
      <c r="G16" s="1438">
        <f>VLOOKUP(F16,'Beleidsregel materieel 2005'!$C$1:$D$500,2,FALSE)</f>
        <v>12.94</v>
      </c>
      <c r="I16" s="1440">
        <f t="shared" si="0"/>
        <v>214.79</v>
      </c>
    </row>
    <row r="17" spans="1:9" ht="12.75">
      <c r="A17" s="645" t="s">
        <v>1187</v>
      </c>
      <c r="B17" s="570" t="s">
        <v>579</v>
      </c>
      <c r="C17" s="1434" t="s">
        <v>489</v>
      </c>
      <c r="D17" s="1438">
        <f>VLOOKUP(C17,'Beleidsregel loon 2005'!$C$1:$D$500,2,FALSE)</f>
        <v>204.72</v>
      </c>
      <c r="F17" s="1434" t="s">
        <v>532</v>
      </c>
      <c r="G17" s="1438">
        <f>VLOOKUP(F17,'Beleidsregel materieel 2005'!$C$1:$D$500,2,FALSE)</f>
        <v>12.94</v>
      </c>
      <c r="I17" s="1440">
        <f t="shared" si="0"/>
        <v>217.66</v>
      </c>
    </row>
    <row r="18" spans="1:9" ht="12.75">
      <c r="A18" s="36" t="s">
        <v>1188</v>
      </c>
      <c r="B18" s="777" t="s">
        <v>580</v>
      </c>
      <c r="C18" s="1434" t="s">
        <v>491</v>
      </c>
      <c r="D18" s="1438">
        <f>VLOOKUP(C18,'Beleidsregel loon 2005'!$C$1:$D$500,2,FALSE)</f>
        <v>264.38</v>
      </c>
      <c r="F18" s="1434" t="s">
        <v>532</v>
      </c>
      <c r="G18" s="1438">
        <f>VLOOKUP(F18,'Beleidsregel materieel 2005'!$C$1:$D$500,2,FALSE)</f>
        <v>12.94</v>
      </c>
      <c r="I18" s="1440">
        <f t="shared" si="0"/>
        <v>277.32</v>
      </c>
    </row>
    <row r="19" spans="1:9" ht="13.5" thickBot="1">
      <c r="A19" s="36" t="s">
        <v>1374</v>
      </c>
      <c r="B19" s="777" t="s">
        <v>1375</v>
      </c>
      <c r="C19" s="1434" t="s">
        <v>493</v>
      </c>
      <c r="D19" s="1438">
        <f>VLOOKUP(C19,'Beleidsregel loon 2005'!$C$1:$D$500,2,FALSE)</f>
        <v>185.84</v>
      </c>
      <c r="F19" s="1434" t="s">
        <v>532</v>
      </c>
      <c r="G19" s="1438">
        <f>VLOOKUP(F19,'Beleidsregel materieel 2005'!$C$1:$D$500,2,FALSE)</f>
        <v>12.94</v>
      </c>
      <c r="I19" s="1441">
        <f t="shared" si="0"/>
        <v>198.78</v>
      </c>
    </row>
    <row r="20" spans="2:9" ht="12.75">
      <c r="B20" s="562"/>
      <c r="I20" s="1442"/>
    </row>
    <row r="21" spans="2:9" ht="13.5" thickBot="1">
      <c r="B21" s="562" t="s">
        <v>1125</v>
      </c>
      <c r="I21" s="1442"/>
    </row>
    <row r="22" spans="1:9" ht="12.75">
      <c r="A22" s="1123" t="s">
        <v>1189</v>
      </c>
      <c r="B22" s="570" t="s">
        <v>1126</v>
      </c>
      <c r="C22" s="1434" t="s">
        <v>439</v>
      </c>
      <c r="D22" s="1438">
        <f>VLOOKUP(C22,'Beleidsregel loon 2005'!$C$1:$D$500,2,FALSE)</f>
        <v>69.92</v>
      </c>
      <c r="F22" s="1434" t="s">
        <v>534</v>
      </c>
      <c r="G22" s="1438">
        <f>VLOOKUP(F22,'Beleidsregel materieel 2005'!$C$1:$D$500,2,FALSE)</f>
        <v>11.67</v>
      </c>
      <c r="I22" s="1439">
        <f t="shared" si="0"/>
        <v>81.59</v>
      </c>
    </row>
    <row r="23" spans="1:9" ht="12.75">
      <c r="A23" s="645" t="s">
        <v>1190</v>
      </c>
      <c r="B23" s="570" t="s">
        <v>1127</v>
      </c>
      <c r="C23" s="1434" t="s">
        <v>441</v>
      </c>
      <c r="D23" s="1438">
        <f>VLOOKUP(C23,'Beleidsregel loon 2005'!$C$1:$D$500,2,FALSE)</f>
        <v>100.04</v>
      </c>
      <c r="F23" s="1434" t="s">
        <v>534</v>
      </c>
      <c r="G23" s="1438">
        <f>VLOOKUP(F23,'Beleidsregel materieel 2005'!$C$1:$D$500,2,FALSE)</f>
        <v>11.67</v>
      </c>
      <c r="I23" s="1440">
        <f t="shared" si="0"/>
        <v>111.71000000000001</v>
      </c>
    </row>
    <row r="24" spans="1:9" ht="12.75">
      <c r="A24" s="645" t="s">
        <v>1191</v>
      </c>
      <c r="B24" s="570" t="s">
        <v>581</v>
      </c>
      <c r="C24" s="1434" t="s">
        <v>443</v>
      </c>
      <c r="D24" s="1438">
        <f>VLOOKUP(C24,'Beleidsregel loon 2005'!$C$1:$D$500,2,FALSE)</f>
        <v>160.98</v>
      </c>
      <c r="F24" s="1434" t="s">
        <v>534</v>
      </c>
      <c r="G24" s="1438">
        <f>VLOOKUP(F24,'Beleidsregel materieel 2005'!$C$1:$D$500,2,FALSE)</f>
        <v>11.67</v>
      </c>
      <c r="I24" s="1440">
        <f t="shared" si="0"/>
        <v>172.64999999999998</v>
      </c>
    </row>
    <row r="25" spans="1:9" ht="12.75">
      <c r="A25" s="645" t="s">
        <v>1192</v>
      </c>
      <c r="B25" s="570" t="s">
        <v>1128</v>
      </c>
      <c r="C25" s="1434" t="s">
        <v>445</v>
      </c>
      <c r="D25" s="1438">
        <f>VLOOKUP(C25,'Beleidsregel loon 2005'!$C$1:$D$500,2,FALSE)</f>
        <v>31.79</v>
      </c>
      <c r="F25" s="1434" t="s">
        <v>445</v>
      </c>
      <c r="G25" s="1438">
        <f>VLOOKUP(F25,'Beleidsregel materieel 2005'!$C$1:$D$500,2,FALSE)</f>
        <v>6.32</v>
      </c>
      <c r="I25" s="1440">
        <f t="shared" si="0"/>
        <v>38.11</v>
      </c>
    </row>
    <row r="26" spans="1:9" ht="12.75">
      <c r="A26" s="645" t="s">
        <v>1193</v>
      </c>
      <c r="B26" s="570" t="s">
        <v>1129</v>
      </c>
      <c r="C26" s="1434" t="s">
        <v>447</v>
      </c>
      <c r="D26" s="1438">
        <f>VLOOKUP(C26,'Beleidsregel loon 2005'!$C$1:$D$500,2,FALSE)</f>
        <v>30.6</v>
      </c>
      <c r="F26" s="1434" t="s">
        <v>534</v>
      </c>
      <c r="G26" s="1438">
        <f>VLOOKUP(F26,'Beleidsregel materieel 2005'!$C$1:$D$500,2,FALSE)</f>
        <v>11.67</v>
      </c>
      <c r="I26" s="1440">
        <f t="shared" si="0"/>
        <v>42.27</v>
      </c>
    </row>
    <row r="27" spans="1:9" ht="12.75">
      <c r="A27" s="645" t="s">
        <v>1194</v>
      </c>
      <c r="B27" s="570" t="s">
        <v>1127</v>
      </c>
      <c r="C27" s="1434" t="s">
        <v>449</v>
      </c>
      <c r="D27" s="1438">
        <f>VLOOKUP(C27,'Beleidsregel loon 2005'!$C$1:$D$500,2,FALSE)</f>
        <v>82.91</v>
      </c>
      <c r="F27" s="1434" t="s">
        <v>534</v>
      </c>
      <c r="G27" s="1438">
        <f>VLOOKUP(F27,'Beleidsregel materieel 2005'!$C$1:$D$500,2,FALSE)</f>
        <v>11.67</v>
      </c>
      <c r="I27" s="1440">
        <f t="shared" si="0"/>
        <v>94.58</v>
      </c>
    </row>
    <row r="28" spans="1:9" ht="12.75">
      <c r="A28" s="645" t="s">
        <v>1195</v>
      </c>
      <c r="B28" s="570" t="s">
        <v>582</v>
      </c>
      <c r="C28" s="1434" t="s">
        <v>451</v>
      </c>
      <c r="D28" s="1438">
        <f>VLOOKUP(C28,'Beleidsregel loon 2005'!$C$1:$D$500,2,FALSE)</f>
        <v>49.62</v>
      </c>
      <c r="F28" s="1434" t="s">
        <v>534</v>
      </c>
      <c r="G28" s="1438">
        <f>VLOOKUP(F28,'Beleidsregel materieel 2005'!$C$1:$D$500,2,FALSE)</f>
        <v>11.67</v>
      </c>
      <c r="I28" s="1440">
        <f t="shared" si="0"/>
        <v>61.29</v>
      </c>
    </row>
    <row r="29" spans="1:9" ht="12.75">
      <c r="A29" s="645" t="s">
        <v>1196</v>
      </c>
      <c r="B29" s="570" t="s">
        <v>1127</v>
      </c>
      <c r="C29" s="1434" t="s">
        <v>453</v>
      </c>
      <c r="D29" s="1438">
        <f>VLOOKUP(C29,'Beleidsregel loon 2005'!$C$1:$D$500,2,FALSE)</f>
        <v>91.84</v>
      </c>
      <c r="F29" s="1434" t="s">
        <v>534</v>
      </c>
      <c r="G29" s="1438">
        <f>VLOOKUP(F29,'Beleidsregel materieel 2005'!$C$1:$D$500,2,FALSE)</f>
        <v>11.67</v>
      </c>
      <c r="I29" s="1440">
        <f t="shared" si="0"/>
        <v>103.51</v>
      </c>
    </row>
    <row r="30" spans="1:9" ht="13.5" thickBot="1">
      <c r="A30" s="36" t="s">
        <v>1197</v>
      </c>
      <c r="B30" s="777" t="s">
        <v>583</v>
      </c>
      <c r="C30" s="1434" t="s">
        <v>455</v>
      </c>
      <c r="D30" s="1438">
        <f>VLOOKUP(C30,'Beleidsregel loon 2005'!$C$1:$D$500,2,FALSE)</f>
        <v>133.58</v>
      </c>
      <c r="F30" s="1434" t="s">
        <v>534</v>
      </c>
      <c r="G30" s="1438">
        <f>VLOOKUP(F30,'Beleidsregel materieel 2005'!$C$1:$D$500,2,FALSE)</f>
        <v>11.67</v>
      </c>
      <c r="I30" s="1441">
        <f t="shared" si="0"/>
        <v>145.25</v>
      </c>
    </row>
    <row r="31" ht="12.75">
      <c r="I31" s="1442"/>
    </row>
    <row r="32" spans="2:9" ht="13.5" thickBot="1">
      <c r="B32" s="562" t="s">
        <v>1130</v>
      </c>
      <c r="I32" s="1442"/>
    </row>
    <row r="33" spans="1:9" ht="12.75">
      <c r="A33" s="1123" t="s">
        <v>1198</v>
      </c>
      <c r="B33" s="570" t="s">
        <v>1136</v>
      </c>
      <c r="C33" s="1434" t="s">
        <v>469</v>
      </c>
      <c r="D33" s="1438">
        <f>VLOOKUP(C33,'Beleidsregel loon 2005'!$C$1:$D$500,2,FALSE)</f>
        <v>172.96</v>
      </c>
      <c r="F33" s="1434" t="s">
        <v>530</v>
      </c>
      <c r="G33" s="1438">
        <f>VLOOKUP(F33,'Beleidsregel materieel 2005'!$C$1:$D$500,2,FALSE)</f>
        <v>12.72</v>
      </c>
      <c r="I33" s="1439">
        <f t="shared" si="0"/>
        <v>185.68</v>
      </c>
    </row>
    <row r="34" spans="1:9" ht="12.75">
      <c r="A34" s="645" t="s">
        <v>1199</v>
      </c>
      <c r="B34" s="570" t="s">
        <v>1137</v>
      </c>
      <c r="C34" s="1434" t="s">
        <v>471</v>
      </c>
      <c r="D34" s="1438">
        <f>VLOOKUP(C34,'Beleidsregel loon 2005'!$C$1:$D$500,2,FALSE)</f>
        <v>231.45</v>
      </c>
      <c r="F34" s="1434" t="s">
        <v>530</v>
      </c>
      <c r="G34" s="1438">
        <f>VLOOKUP(F34,'Beleidsregel materieel 2005'!$C$1:$D$500,2,FALSE)</f>
        <v>12.72</v>
      </c>
      <c r="I34" s="1440">
        <f t="shared" si="0"/>
        <v>244.17</v>
      </c>
    </row>
    <row r="35" spans="1:9" ht="12.75">
      <c r="A35" s="645" t="s">
        <v>1200</v>
      </c>
      <c r="B35" s="570" t="s">
        <v>1138</v>
      </c>
      <c r="C35" s="1434" t="s">
        <v>473</v>
      </c>
      <c r="D35" s="1438">
        <f>VLOOKUP(C35,'Beleidsregel loon 2005'!$C$1:$D$500,2,FALSE)</f>
        <v>176.15</v>
      </c>
      <c r="F35" s="1434" t="s">
        <v>530</v>
      </c>
      <c r="G35" s="1438">
        <f>VLOOKUP(F35,'Beleidsregel materieel 2005'!$C$1:$D$500,2,FALSE)</f>
        <v>12.72</v>
      </c>
      <c r="I35" s="1440">
        <f t="shared" si="0"/>
        <v>188.87</v>
      </c>
    </row>
    <row r="36" spans="1:9" ht="12.75">
      <c r="A36" s="645" t="s">
        <v>1201</v>
      </c>
      <c r="B36" s="570" t="s">
        <v>1139</v>
      </c>
      <c r="C36" s="1434" t="s">
        <v>475</v>
      </c>
      <c r="D36" s="1438">
        <f>VLOOKUP(C36,'Beleidsregel loon 2005'!$C$1:$D$500,2,FALSE)</f>
        <v>269.42</v>
      </c>
      <c r="F36" s="1434" t="s">
        <v>530</v>
      </c>
      <c r="G36" s="1438">
        <f>VLOOKUP(F36,'Beleidsregel materieel 2005'!$C$1:$D$500,2,FALSE)</f>
        <v>12.72</v>
      </c>
      <c r="I36" s="1440">
        <f t="shared" si="0"/>
        <v>282.14000000000004</v>
      </c>
    </row>
    <row r="37" spans="1:9" ht="12.75">
      <c r="A37" s="645" t="s">
        <v>1202</v>
      </c>
      <c r="B37" s="570" t="s">
        <v>1140</v>
      </c>
      <c r="C37" s="1434" t="s">
        <v>477</v>
      </c>
      <c r="D37" s="1438">
        <f>VLOOKUP(C37,'Beleidsregel loon 2005'!$C$1:$D$500,2,FALSE)</f>
        <v>229.04</v>
      </c>
      <c r="F37" s="1434" t="s">
        <v>530</v>
      </c>
      <c r="G37" s="1438">
        <f>VLOOKUP(F37,'Beleidsregel materieel 2005'!$C$1:$D$500,2,FALSE)</f>
        <v>12.72</v>
      </c>
      <c r="I37" s="1440">
        <f t="shared" si="0"/>
        <v>241.76</v>
      </c>
    </row>
    <row r="38" spans="1:9" ht="13.5" thickBot="1">
      <c r="A38" s="36" t="s">
        <v>1203</v>
      </c>
      <c r="B38" s="777" t="s">
        <v>1141</v>
      </c>
      <c r="C38" s="1434" t="s">
        <v>479</v>
      </c>
      <c r="D38" s="1438">
        <f>VLOOKUP(C38,'Beleidsregel loon 2005'!$C$1:$D$500,2,FALSE)</f>
        <v>291.93</v>
      </c>
      <c r="F38" s="1434" t="s">
        <v>530</v>
      </c>
      <c r="G38" s="1438">
        <f>VLOOKUP(F38,'Beleidsregel materieel 2005'!$C$1:$D$500,2,FALSE)</f>
        <v>12.72</v>
      </c>
      <c r="I38" s="1441">
        <f t="shared" si="0"/>
        <v>304.65000000000003</v>
      </c>
    </row>
    <row r="39" ht="13.5" thickBot="1">
      <c r="I39" s="1442"/>
    </row>
    <row r="40" spans="2:9" ht="13.5" thickBot="1">
      <c r="B40" s="1456" t="s">
        <v>1216</v>
      </c>
      <c r="C40" s="1434" t="s">
        <v>495</v>
      </c>
      <c r="D40" s="1438">
        <f>VLOOKUP(C40,'Beleidsregel loon 2005'!$C$1:$D$500,2,FALSE)</f>
        <v>278.67</v>
      </c>
      <c r="F40" s="1434" t="s">
        <v>495</v>
      </c>
      <c r="G40" s="1438">
        <f>VLOOKUP(F40,'Beleidsregel materieel 2005'!$C$1:$D$500,2,FALSE)</f>
        <v>12.72</v>
      </c>
      <c r="I40" s="1444">
        <f t="shared" si="0"/>
        <v>291.39000000000004</v>
      </c>
    </row>
    <row r="41" ht="12.75">
      <c r="I41" s="1442"/>
    </row>
    <row r="42" spans="2:9" ht="13.5" thickBot="1">
      <c r="B42" s="562" t="s">
        <v>137</v>
      </c>
      <c r="I42" s="1442"/>
    </row>
    <row r="43" spans="1:9" ht="12.75">
      <c r="A43" s="1123" t="s">
        <v>138</v>
      </c>
      <c r="B43" s="570" t="s">
        <v>142</v>
      </c>
      <c r="C43" s="1434" t="s">
        <v>497</v>
      </c>
      <c r="D43" s="1438">
        <f>VLOOKUP(C43,'Beleidsregel loon 2005'!$C$1:$D$500,2,FALSE)</f>
        <v>21.59</v>
      </c>
      <c r="F43" s="1434" t="s">
        <v>536</v>
      </c>
      <c r="G43" s="1438">
        <f>VLOOKUP(F43,'Beleidsregel materieel 2005'!$C$1:$D$500,2,FALSE)</f>
        <v>8.36</v>
      </c>
      <c r="I43" s="1439">
        <f t="shared" si="0"/>
        <v>29.95</v>
      </c>
    </row>
    <row r="44" spans="1:9" ht="12.75">
      <c r="A44" s="645" t="s">
        <v>139</v>
      </c>
      <c r="B44" s="570" t="s">
        <v>143</v>
      </c>
      <c r="C44" s="1434" t="s">
        <v>499</v>
      </c>
      <c r="D44" s="1438">
        <f>VLOOKUP(C44,'Beleidsregel loon 2005'!$C$1:$D$500,2,FALSE)</f>
        <v>64.07</v>
      </c>
      <c r="F44" s="1434" t="s">
        <v>536</v>
      </c>
      <c r="G44" s="1438">
        <f>VLOOKUP(F44,'Beleidsregel materieel 2005'!$C$1:$D$500,2,FALSE)</f>
        <v>8.36</v>
      </c>
      <c r="I44" s="1440">
        <f t="shared" si="0"/>
        <v>72.42999999999999</v>
      </c>
    </row>
    <row r="45" spans="1:9" ht="12.75">
      <c r="A45" s="645" t="s">
        <v>140</v>
      </c>
      <c r="B45" s="570" t="s">
        <v>584</v>
      </c>
      <c r="C45" s="1434" t="s">
        <v>501</v>
      </c>
      <c r="D45" s="1438">
        <f>VLOOKUP(C45,'Beleidsregel loon 2005'!$C$1:$D$500,2,FALSE)</f>
        <v>32.06</v>
      </c>
      <c r="F45" s="1434" t="s">
        <v>536</v>
      </c>
      <c r="G45" s="1438">
        <f>VLOOKUP(F45,'Beleidsregel materieel 2005'!$C$1:$D$500,2,FALSE)</f>
        <v>8.36</v>
      </c>
      <c r="I45" s="1440">
        <f t="shared" si="0"/>
        <v>40.42</v>
      </c>
    </row>
    <row r="46" spans="1:9" ht="13.5" thickBot="1">
      <c r="A46" s="645" t="s">
        <v>141</v>
      </c>
      <c r="B46" s="777" t="s">
        <v>585</v>
      </c>
      <c r="C46" s="1434" t="s">
        <v>503</v>
      </c>
      <c r="D46" s="1438">
        <f>VLOOKUP(C46,'Beleidsregel loon 2005'!$C$1:$D$500,2,FALSE)</f>
        <v>72.51</v>
      </c>
      <c r="F46" s="1434" t="s">
        <v>536</v>
      </c>
      <c r="G46" s="1438">
        <f>VLOOKUP(F46,'Beleidsregel materieel 2005'!$C$1:$D$500,2,FALSE)</f>
        <v>8.36</v>
      </c>
      <c r="I46" s="1441">
        <f t="shared" si="0"/>
        <v>80.87</v>
      </c>
    </row>
    <row r="47" ht="12.75">
      <c r="I47" s="1442"/>
    </row>
    <row r="48" spans="2:9" ht="12.75">
      <c r="B48" s="1437" t="s">
        <v>586</v>
      </c>
      <c r="I48" s="1442"/>
    </row>
    <row r="49" spans="2:9" ht="13.5" thickBot="1">
      <c r="B49" s="562" t="s">
        <v>1142</v>
      </c>
      <c r="I49" s="1442"/>
    </row>
    <row r="50" spans="1:9" ht="12.75">
      <c r="A50" s="1123" t="s">
        <v>1204</v>
      </c>
      <c r="B50" s="570" t="s">
        <v>963</v>
      </c>
      <c r="C50" s="1434" t="s">
        <v>326</v>
      </c>
      <c r="D50" s="1438">
        <f>VLOOKUP(C50,'Beleidsregel loon 2005'!$C$1:$D$500,2,FALSE)</f>
        <v>94.2</v>
      </c>
      <c r="F50" s="1434" t="s">
        <v>518</v>
      </c>
      <c r="G50" s="1438">
        <f>VLOOKUP(F50,'Beleidsregel materieel 2005'!$C$1:$D$500,2,FALSE)</f>
        <v>13.01</v>
      </c>
      <c r="I50" s="1439">
        <f t="shared" si="0"/>
        <v>107.21000000000001</v>
      </c>
    </row>
    <row r="51" spans="1:9" ht="13.5" thickBot="1">
      <c r="A51" s="36" t="s">
        <v>1205</v>
      </c>
      <c r="B51" s="570" t="s">
        <v>1143</v>
      </c>
      <c r="C51" s="1434" t="s">
        <v>328</v>
      </c>
      <c r="D51" s="1438">
        <f>VLOOKUP(C51,'Beleidsregel loon 2005'!$C$1:$D$500,2,FALSE)</f>
        <v>118.96</v>
      </c>
      <c r="F51" s="1434" t="s">
        <v>518</v>
      </c>
      <c r="G51" s="1438">
        <f>VLOOKUP(F51,'Beleidsregel materieel 2005'!$C$1:$D$500,2,FALSE)</f>
        <v>13.01</v>
      </c>
      <c r="I51" s="1441">
        <f t="shared" si="0"/>
        <v>131.97</v>
      </c>
    </row>
    <row r="52" ht="12.75">
      <c r="I52" s="1442"/>
    </row>
    <row r="53" spans="2:9" ht="13.5" thickBot="1">
      <c r="B53" s="562" t="s">
        <v>1144</v>
      </c>
      <c r="I53" s="1442"/>
    </row>
    <row r="54" spans="1:9" ht="12.75">
      <c r="A54" s="1123" t="s">
        <v>1206</v>
      </c>
      <c r="B54" s="570" t="s">
        <v>1145</v>
      </c>
      <c r="C54" s="1434" t="s">
        <v>332</v>
      </c>
      <c r="D54" s="1438">
        <f>VLOOKUP(C54,'Beleidsregel loon 2005'!$C$1:$D$500,2,FALSE)</f>
        <v>198.2</v>
      </c>
      <c r="F54" s="1434" t="s">
        <v>520</v>
      </c>
      <c r="G54" s="1438">
        <f>VLOOKUP(F54,'Beleidsregel materieel 2005'!$C$1:$D$500,2,FALSE)</f>
        <v>19.08</v>
      </c>
      <c r="I54" s="1439">
        <f t="shared" si="0"/>
        <v>217.27999999999997</v>
      </c>
    </row>
    <row r="55" spans="1:9" ht="12.75">
      <c r="A55" s="645" t="s">
        <v>1207</v>
      </c>
      <c r="B55" s="570" t="s">
        <v>1146</v>
      </c>
      <c r="C55" s="1434" t="s">
        <v>334</v>
      </c>
      <c r="D55" s="1438">
        <f>VLOOKUP(C55,'Beleidsregel loon 2005'!$C$1:$D$500,2,FALSE)</f>
        <v>137.3</v>
      </c>
      <c r="F55" s="1434" t="s">
        <v>520</v>
      </c>
      <c r="G55" s="1438">
        <f>VLOOKUP(F55,'Beleidsregel materieel 2005'!$C$1:$D$500,2,FALSE)</f>
        <v>19.08</v>
      </c>
      <c r="I55" s="1440">
        <f t="shared" si="0"/>
        <v>156.38</v>
      </c>
    </row>
    <row r="56" spans="1:9" ht="13.5" thickBot="1">
      <c r="A56" s="36" t="s">
        <v>1208</v>
      </c>
      <c r="B56" s="570" t="s">
        <v>1147</v>
      </c>
      <c r="C56" s="1434" t="s">
        <v>336</v>
      </c>
      <c r="D56" s="1438">
        <f>VLOOKUP(C56,'Beleidsregel loon 2005'!$C$1:$D$500,2,FALSE)</f>
        <v>159.68</v>
      </c>
      <c r="F56" s="1434" t="s">
        <v>520</v>
      </c>
      <c r="G56" s="1438">
        <f>VLOOKUP(F56,'Beleidsregel materieel 2005'!$C$1:$D$500,2,FALSE)</f>
        <v>19.08</v>
      </c>
      <c r="I56" s="1441">
        <f t="shared" si="0"/>
        <v>178.76</v>
      </c>
    </row>
    <row r="57" spans="2:9" ht="12.75">
      <c r="B57" s="697"/>
      <c r="I57" s="1442"/>
    </row>
    <row r="58" spans="2:9" ht="13.5" thickBot="1">
      <c r="B58" s="562" t="s">
        <v>1148</v>
      </c>
      <c r="I58" s="1442"/>
    </row>
    <row r="59" spans="1:9" ht="12.75">
      <c r="A59" s="1123" t="s">
        <v>1209</v>
      </c>
      <c r="B59" s="570" t="s">
        <v>592</v>
      </c>
      <c r="C59" s="1434" t="s">
        <v>313</v>
      </c>
      <c r="D59" s="1438">
        <f>VLOOKUP(C59,'Beleidsregel loon 2005'!$C$1:$D$500,2,FALSE)</f>
        <v>96.64</v>
      </c>
      <c r="F59" s="1434" t="s">
        <v>522</v>
      </c>
      <c r="G59" s="1438">
        <f>VLOOKUP(F59,'Beleidsregel materieel 2005'!$C$1:$D$500,2,FALSE)</f>
        <v>11.39</v>
      </c>
      <c r="I59" s="1439">
        <f t="shared" si="0"/>
        <v>108.03</v>
      </c>
    </row>
    <row r="60" spans="1:9" ht="12.75">
      <c r="A60" s="645" t="s">
        <v>1210</v>
      </c>
      <c r="B60" s="570" t="s">
        <v>1150</v>
      </c>
      <c r="C60" s="1434" t="s">
        <v>315</v>
      </c>
      <c r="D60" s="1438">
        <f>VLOOKUP(C60,'Beleidsregel loon 2005'!$C$1:$D$500,2,FALSE)</f>
        <v>124.49</v>
      </c>
      <c r="F60" s="1434" t="s">
        <v>522</v>
      </c>
      <c r="G60" s="1438">
        <f>VLOOKUP(F60,'Beleidsregel materieel 2005'!$C$1:$D$500,2,FALSE)</f>
        <v>11.39</v>
      </c>
      <c r="I60" s="1440">
        <f t="shared" si="0"/>
        <v>135.88</v>
      </c>
    </row>
    <row r="61" spans="1:9" ht="12.75">
      <c r="A61" s="645" t="s">
        <v>1211</v>
      </c>
      <c r="B61" s="570" t="s">
        <v>593</v>
      </c>
      <c r="C61" s="1434" t="s">
        <v>318</v>
      </c>
      <c r="D61" s="1438">
        <f>VLOOKUP(C61,'Beleidsregel loon 2005'!$C$1:$D$500,2,FALSE)</f>
        <v>110.67</v>
      </c>
      <c r="F61" s="1434" t="s">
        <v>522</v>
      </c>
      <c r="G61" s="1438">
        <f>VLOOKUP(F61,'Beleidsregel materieel 2005'!$C$1:$D$500,2,FALSE)</f>
        <v>11.39</v>
      </c>
      <c r="I61" s="1440">
        <f t="shared" si="0"/>
        <v>122.06</v>
      </c>
    </row>
    <row r="62" spans="1:9" ht="12.75">
      <c r="A62" s="645" t="s">
        <v>1212</v>
      </c>
      <c r="B62" s="570" t="s">
        <v>1150</v>
      </c>
      <c r="C62" s="1434" t="s">
        <v>320</v>
      </c>
      <c r="D62" s="1438">
        <f>VLOOKUP(C62,'Beleidsregel loon 2005'!$C$1:$D$500,2,FALSE)</f>
        <v>141.79</v>
      </c>
      <c r="F62" s="1434" t="s">
        <v>522</v>
      </c>
      <c r="G62" s="1438">
        <f>VLOOKUP(F62,'Beleidsregel materieel 2005'!$C$1:$D$500,2,FALSE)</f>
        <v>11.39</v>
      </c>
      <c r="I62" s="1440">
        <f t="shared" si="0"/>
        <v>153.18</v>
      </c>
    </row>
    <row r="63" spans="1:9" ht="12.75">
      <c r="A63" s="645" t="s">
        <v>1213</v>
      </c>
      <c r="B63" s="570" t="s">
        <v>1151</v>
      </c>
      <c r="C63" s="1434" t="s">
        <v>322</v>
      </c>
      <c r="D63" s="1438">
        <f>VLOOKUP(C63,'Beleidsregel loon 2005'!$C$1:$D$500,2,FALSE)</f>
        <v>49.97</v>
      </c>
      <c r="F63" s="1434" t="s">
        <v>522</v>
      </c>
      <c r="G63" s="1438">
        <f>VLOOKUP(F63,'Beleidsregel materieel 2005'!$C$1:$D$500,2,FALSE)</f>
        <v>11.39</v>
      </c>
      <c r="I63" s="1440">
        <f t="shared" si="0"/>
        <v>61.36</v>
      </c>
    </row>
    <row r="64" spans="1:9" ht="13.5" thickBot="1">
      <c r="A64" s="36" t="s">
        <v>1214</v>
      </c>
      <c r="B64" s="570" t="s">
        <v>1217</v>
      </c>
      <c r="C64" s="1434" t="s">
        <v>324</v>
      </c>
      <c r="D64" s="1438">
        <f>VLOOKUP(C64,'Beleidsregel loon 2005'!$C$1:$D$500,2,FALSE)</f>
        <v>74.1</v>
      </c>
      <c r="F64" s="1434" t="s">
        <v>522</v>
      </c>
      <c r="G64" s="1438">
        <f>VLOOKUP(F64,'Beleidsregel materieel 2005'!$C$1:$D$500,2,FALSE)</f>
        <v>11.39</v>
      </c>
      <c r="I64" s="1441">
        <f t="shared" si="0"/>
        <v>85.49</v>
      </c>
    </row>
    <row r="65" spans="2:9" ht="12.75">
      <c r="B65" s="697"/>
      <c r="I65" s="1442"/>
    </row>
    <row r="66" spans="2:9" ht="13.5" thickBot="1">
      <c r="B66" s="562"/>
      <c r="I66" s="1442"/>
    </row>
    <row r="67" spans="2:9" ht="13.5" thickBot="1">
      <c r="B67" s="1456" t="s">
        <v>1152</v>
      </c>
      <c r="C67" s="1434" t="s">
        <v>330</v>
      </c>
      <c r="D67" s="1438">
        <f>VLOOKUP(C67,'Beleidsregel loon 2005'!$C$1:$D$500,2,FALSE)</f>
        <v>154.93</v>
      </c>
      <c r="F67" s="1434" t="s">
        <v>330</v>
      </c>
      <c r="G67" s="1438">
        <f>VLOOKUP(F67,'Beleidsregel materieel 2005'!$C$1:$D$500,2,FALSE)</f>
        <v>13.37</v>
      </c>
      <c r="I67" s="1444">
        <f t="shared" si="0"/>
        <v>168.3</v>
      </c>
    </row>
    <row r="68" spans="2:9" ht="12.75">
      <c r="B68" s="563"/>
      <c r="I68" s="1442"/>
    </row>
    <row r="69" spans="2:9" ht="13.5" thickBot="1">
      <c r="B69" s="562" t="s">
        <v>595</v>
      </c>
      <c r="I69" s="1442"/>
    </row>
    <row r="70" spans="1:9" ht="12.75">
      <c r="A70" s="1123" t="s">
        <v>1063</v>
      </c>
      <c r="B70" s="570" t="s">
        <v>1154</v>
      </c>
      <c r="C70" s="1434" t="s">
        <v>340</v>
      </c>
      <c r="D70" s="1438">
        <f>VLOOKUP(C70,'Beleidsregel loon 2005'!$C$1:$D$500,2,FALSE)</f>
        <v>304.54</v>
      </c>
      <c r="I70" s="1439">
        <f aca="true" t="shared" si="1" ref="I70:I133">D70+G70</f>
        <v>304.54</v>
      </c>
    </row>
    <row r="71" spans="1:9" ht="12.75">
      <c r="A71" s="645" t="s">
        <v>1064</v>
      </c>
      <c r="B71" s="570" t="s">
        <v>930</v>
      </c>
      <c r="C71" s="1434" t="s">
        <v>346</v>
      </c>
      <c r="D71" s="1438">
        <f>VLOOKUP(C71,'Beleidsregel loon 2005'!$C$1:$D$500,2,FALSE)</f>
        <v>304.54</v>
      </c>
      <c r="I71" s="1440">
        <f t="shared" si="1"/>
        <v>304.54</v>
      </c>
    </row>
    <row r="72" spans="1:9" ht="12.75">
      <c r="A72" s="645" t="s">
        <v>1065</v>
      </c>
      <c r="B72" s="570" t="s">
        <v>1158</v>
      </c>
      <c r="C72" s="1434" t="s">
        <v>348</v>
      </c>
      <c r="D72" s="1438">
        <f>VLOOKUP(C72,'Beleidsregel loon 2005'!$C$1:$D$500,2,FALSE)</f>
        <v>858.43</v>
      </c>
      <c r="I72" s="1440">
        <f t="shared" si="1"/>
        <v>858.43</v>
      </c>
    </row>
    <row r="73" spans="1:9" ht="12.75">
      <c r="A73" s="645" t="s">
        <v>1066</v>
      </c>
      <c r="B73" s="570" t="s">
        <v>1058</v>
      </c>
      <c r="C73" s="1434" t="s">
        <v>344</v>
      </c>
      <c r="D73" s="1438">
        <f>VLOOKUP(C73,'Beleidsregel loon 2005'!$C$1:$D$500,2,FALSE)</f>
        <v>2483.7</v>
      </c>
      <c r="I73" s="1440">
        <f t="shared" si="1"/>
        <v>2483.7</v>
      </c>
    </row>
    <row r="74" spans="1:9" ht="13.5" thickBot="1">
      <c r="A74" s="36" t="s">
        <v>1067</v>
      </c>
      <c r="B74" s="570" t="s">
        <v>1062</v>
      </c>
      <c r="C74" s="1434" t="s">
        <v>342</v>
      </c>
      <c r="D74" s="1438">
        <f>VLOOKUP(C74,'Beleidsregel loon 2005'!$C$1:$D$500,2,FALSE)</f>
        <v>1200.46</v>
      </c>
      <c r="I74" s="1441">
        <f t="shared" si="1"/>
        <v>1200.46</v>
      </c>
    </row>
    <row r="75" ht="12.75">
      <c r="I75" s="1442"/>
    </row>
    <row r="76" ht="12.75">
      <c r="I76" s="1442"/>
    </row>
    <row r="77" spans="2:9" ht="13.5" thickBot="1">
      <c r="B77" s="562" t="s">
        <v>1159</v>
      </c>
      <c r="I77" s="1442"/>
    </row>
    <row r="78" spans="1:9" ht="12.75">
      <c r="A78" s="1123" t="s">
        <v>932</v>
      </c>
      <c r="B78" s="652" t="s">
        <v>1160</v>
      </c>
      <c r="C78" s="1434" t="s">
        <v>256</v>
      </c>
      <c r="D78" s="1438">
        <f>VLOOKUP(C78,'Beleidsregel loon 2005'!$C$1:$D$500,2,FALSE)</f>
        <v>19.05</v>
      </c>
      <c r="I78" s="1439">
        <f t="shared" si="1"/>
        <v>19.05</v>
      </c>
    </row>
    <row r="79" spans="1:9" ht="12.75">
      <c r="A79" s="645" t="s">
        <v>933</v>
      </c>
      <c r="B79" s="652" t="s">
        <v>1161</v>
      </c>
      <c r="C79" s="1434" t="s">
        <v>258</v>
      </c>
      <c r="D79" s="1438">
        <f>VLOOKUP(C79,'Beleidsregel loon 2005'!$C$1:$D$500,2,FALSE)</f>
        <v>136.52</v>
      </c>
      <c r="F79" s="1445" t="s">
        <v>264</v>
      </c>
      <c r="G79" s="1438">
        <f>VLOOKUP(F79,'Beleidsregel materieel 2005'!$C$1:$D$500,2,FALSE)</f>
        <v>9.62</v>
      </c>
      <c r="I79" s="1440">
        <f t="shared" si="1"/>
        <v>146.14000000000001</v>
      </c>
    </row>
    <row r="80" spans="1:9" ht="12.75">
      <c r="A80" s="645" t="s">
        <v>934</v>
      </c>
      <c r="B80" s="652" t="s">
        <v>1162</v>
      </c>
      <c r="C80" s="1434" t="s">
        <v>260</v>
      </c>
      <c r="D80" s="1438">
        <f>VLOOKUP(C80,'Beleidsregel loon 2005'!$C$1:$D$500,2,FALSE)</f>
        <v>388.5</v>
      </c>
      <c r="F80" s="1445" t="s">
        <v>264</v>
      </c>
      <c r="G80" s="1438">
        <f>VLOOKUP(F80,'Beleidsregel materieel 2005'!$C$1:$D$500,2,FALSE)</f>
        <v>9.62</v>
      </c>
      <c r="I80" s="1440">
        <f t="shared" si="1"/>
        <v>398.12</v>
      </c>
    </row>
    <row r="81" spans="1:9" ht="12.75">
      <c r="A81" s="645" t="s">
        <v>935</v>
      </c>
      <c r="B81" s="652" t="s">
        <v>1163</v>
      </c>
      <c r="C81" s="1434" t="s">
        <v>262</v>
      </c>
      <c r="D81" s="1438">
        <f>VLOOKUP(C81,'Beleidsregel loon 2005'!$C$1:$D$500,2,FALSE)</f>
        <v>128.71</v>
      </c>
      <c r="F81" s="1445" t="s">
        <v>264</v>
      </c>
      <c r="G81" s="1438">
        <f>VLOOKUP(F81,'Beleidsregel materieel 2005'!$C$1:$D$500,2,FALSE)</f>
        <v>9.62</v>
      </c>
      <c r="I81" s="1440">
        <f t="shared" si="1"/>
        <v>138.33</v>
      </c>
    </row>
    <row r="82" spans="1:9" ht="12.75">
      <c r="A82" s="645" t="s">
        <v>936</v>
      </c>
      <c r="B82" s="652" t="s">
        <v>1164</v>
      </c>
      <c r="C82" s="1434" t="s">
        <v>254</v>
      </c>
      <c r="D82" s="1438">
        <f>VLOOKUP(C82,'Beleidsregel loon 2005'!$C$1:$D$500,2,FALSE)</f>
        <v>79.41</v>
      </c>
      <c r="F82" s="1445" t="s">
        <v>264</v>
      </c>
      <c r="G82" s="1438">
        <f>VLOOKUP(F82,'Beleidsregel materieel 2005'!$C$1:$D$500,2,FALSE)</f>
        <v>9.62</v>
      </c>
      <c r="I82" s="1440">
        <f t="shared" si="1"/>
        <v>89.03</v>
      </c>
    </row>
    <row r="83" spans="1:9" ht="12.75">
      <c r="A83" s="645" t="s">
        <v>937</v>
      </c>
      <c r="B83" s="652" t="s">
        <v>1165</v>
      </c>
      <c r="C83" s="1434" t="s">
        <v>244</v>
      </c>
      <c r="D83" s="1438">
        <f>VLOOKUP(C83,'Beleidsregel loon 2005'!$C$1:$D$500,2,FALSE)</f>
        <v>73.99</v>
      </c>
      <c r="F83" s="1445" t="s">
        <v>264</v>
      </c>
      <c r="G83" s="1438">
        <f>VLOOKUP(F83,'Beleidsregel materieel 2005'!$C$1:$D$500,2,FALSE)</f>
        <v>9.62</v>
      </c>
      <c r="I83" s="1440">
        <f t="shared" si="1"/>
        <v>83.61</v>
      </c>
    </row>
    <row r="84" spans="1:9" ht="12.75">
      <c r="A84" s="995" t="s">
        <v>164</v>
      </c>
      <c r="B84" s="652" t="s">
        <v>162</v>
      </c>
      <c r="C84" s="1434" t="s">
        <v>264</v>
      </c>
      <c r="D84" s="1438">
        <f>VLOOKUP(C84,'Beleidsregel loon 2005'!$C$1:$D$500,2,FALSE)</f>
        <v>37</v>
      </c>
      <c r="F84" s="1445" t="s">
        <v>264</v>
      </c>
      <c r="G84" s="1438">
        <f>VLOOKUP(F84,'Beleidsregel materieel 2005'!$C$1:$D$500,2,FALSE)</f>
        <v>9.62</v>
      </c>
      <c r="I84" s="1440">
        <f t="shared" si="1"/>
        <v>46.62</v>
      </c>
    </row>
    <row r="85" spans="1:9" ht="12.75">
      <c r="A85" s="645" t="s">
        <v>938</v>
      </c>
      <c r="B85" s="652" t="s">
        <v>1166</v>
      </c>
      <c r="C85" s="1434" t="s">
        <v>252</v>
      </c>
      <c r="D85" s="1438">
        <f>VLOOKUP(C85,'Beleidsregel loon 2005'!$C$1:$D$500,2,FALSE)</f>
        <v>48.26</v>
      </c>
      <c r="F85" s="1445" t="s">
        <v>264</v>
      </c>
      <c r="G85" s="1438">
        <f>VLOOKUP(F85,'Beleidsregel materieel 2005'!$C$1:$D$500,2,FALSE)</f>
        <v>9.62</v>
      </c>
      <c r="I85" s="1440">
        <f t="shared" si="1"/>
        <v>57.879999999999995</v>
      </c>
    </row>
    <row r="86" spans="1:9" ht="12.75">
      <c r="A86" s="645" t="s">
        <v>1112</v>
      </c>
      <c r="B86" s="652" t="s">
        <v>1167</v>
      </c>
      <c r="C86" s="1434" t="s">
        <v>248</v>
      </c>
      <c r="D86" s="1438">
        <f>VLOOKUP(C86,'Beleidsregel loon 2005'!$C$1:$D$500,2,FALSE)</f>
        <v>180.64</v>
      </c>
      <c r="F86" s="1445" t="s">
        <v>264</v>
      </c>
      <c r="G86" s="1438">
        <f>VLOOKUP(F86,'Beleidsregel materieel 2005'!$C$1:$D$500,2,FALSE)</f>
        <v>9.62</v>
      </c>
      <c r="I86" s="1440">
        <f t="shared" si="1"/>
        <v>190.26</v>
      </c>
    </row>
    <row r="87" spans="1:9" ht="12.75">
      <c r="A87" s="645" t="s">
        <v>1113</v>
      </c>
      <c r="B87" s="652" t="s">
        <v>1168</v>
      </c>
      <c r="C87" s="1434" t="s">
        <v>250</v>
      </c>
      <c r="D87" s="1438">
        <f>VLOOKUP(C87,'Beleidsregel loon 2005'!$C$1:$D$500,2,FALSE)</f>
        <v>700.4</v>
      </c>
      <c r="F87" s="1445" t="s">
        <v>264</v>
      </c>
      <c r="G87" s="1438">
        <f>VLOOKUP(F87,'Beleidsregel materieel 2005'!$C$1:$D$500,2,FALSE)</f>
        <v>9.62</v>
      </c>
      <c r="I87" s="1440">
        <f t="shared" si="1"/>
        <v>710.02</v>
      </c>
    </row>
    <row r="88" spans="1:9" ht="13.5" thickBot="1">
      <c r="A88" s="36" t="s">
        <v>1114</v>
      </c>
      <c r="B88" s="652" t="s">
        <v>146</v>
      </c>
      <c r="C88" s="1434" t="s">
        <v>246</v>
      </c>
      <c r="D88" s="1438">
        <f>VLOOKUP(C88,'Beleidsregel loon 2005'!$C$1:$D$500,2,FALSE)</f>
        <v>28.3</v>
      </c>
      <c r="F88" s="1445" t="s">
        <v>246</v>
      </c>
      <c r="G88" s="1438">
        <f>VLOOKUP(F88,'Beleidsregel materieel 2005'!$C$1:$D$500,2,FALSE)</f>
        <v>7.82</v>
      </c>
      <c r="I88" s="1441">
        <f t="shared" si="1"/>
        <v>36.120000000000005</v>
      </c>
    </row>
    <row r="89" spans="2:9" ht="12.75">
      <c r="B89" s="325"/>
      <c r="F89" s="1445"/>
      <c r="I89" s="1442"/>
    </row>
    <row r="90" spans="2:9" ht="13.5" thickBot="1">
      <c r="B90" s="562" t="s">
        <v>1170</v>
      </c>
      <c r="F90" s="1445"/>
      <c r="I90" s="1442"/>
    </row>
    <row r="91" spans="1:9" ht="12.75">
      <c r="A91" s="1123" t="s">
        <v>940</v>
      </c>
      <c r="B91" s="652" t="s">
        <v>1160</v>
      </c>
      <c r="C91" s="1434" t="s">
        <v>302</v>
      </c>
      <c r="D91" s="1438">
        <f>VLOOKUP(C91,'Beleidsregel loon 2005'!$C$1:$D$500,2,FALSE)</f>
        <v>19.05</v>
      </c>
      <c r="I91" s="1439">
        <f t="shared" si="1"/>
        <v>19.05</v>
      </c>
    </row>
    <row r="92" spans="1:9" ht="12.75">
      <c r="A92" s="645" t="s">
        <v>941</v>
      </c>
      <c r="B92" s="652" t="s">
        <v>1161</v>
      </c>
      <c r="C92" s="1434" t="s">
        <v>304</v>
      </c>
      <c r="D92" s="1438">
        <f>VLOOKUP(C92,'Beleidsregel loon 2005'!$C$1:$D$500,2,FALSE)</f>
        <v>174.12</v>
      </c>
      <c r="F92" s="1434" t="s">
        <v>310</v>
      </c>
      <c r="G92" s="1438">
        <f>VLOOKUP(F92,'Beleidsregel materieel 2005'!$C$1:$D$500,2,FALSE)</f>
        <v>9.62</v>
      </c>
      <c r="I92" s="1440">
        <f t="shared" si="1"/>
        <v>183.74</v>
      </c>
    </row>
    <row r="93" spans="1:9" ht="12.75">
      <c r="A93" s="645" t="s">
        <v>942</v>
      </c>
      <c r="B93" s="652" t="s">
        <v>1162</v>
      </c>
      <c r="C93" s="1434" t="s">
        <v>306</v>
      </c>
      <c r="D93" s="1438">
        <f>VLOOKUP(C93,'Beleidsregel loon 2005'!$C$1:$D$500,2,FALSE)</f>
        <v>371.18</v>
      </c>
      <c r="F93" s="1434" t="s">
        <v>310</v>
      </c>
      <c r="G93" s="1438">
        <f>VLOOKUP(F93,'Beleidsregel materieel 2005'!$C$1:$D$500,2,FALSE)</f>
        <v>9.62</v>
      </c>
      <c r="I93" s="1440">
        <f t="shared" si="1"/>
        <v>380.8</v>
      </c>
    </row>
    <row r="94" spans="1:9" ht="12.75">
      <c r="A94" s="645" t="s">
        <v>943</v>
      </c>
      <c r="B94" s="652" t="s">
        <v>1163</v>
      </c>
      <c r="C94" s="1434" t="s">
        <v>308</v>
      </c>
      <c r="D94" s="1438">
        <f>VLOOKUP(C94,'Beleidsregel loon 2005'!$C$1:$D$500,2,FALSE)</f>
        <v>83.92</v>
      </c>
      <c r="F94" s="1434" t="s">
        <v>310</v>
      </c>
      <c r="G94" s="1438">
        <f>VLOOKUP(F94,'Beleidsregel materieel 2005'!$C$1:$D$500,2,FALSE)</f>
        <v>9.62</v>
      </c>
      <c r="I94" s="1440">
        <f t="shared" si="1"/>
        <v>93.54</v>
      </c>
    </row>
    <row r="95" spans="1:9" ht="12.75">
      <c r="A95" s="645" t="s">
        <v>944</v>
      </c>
      <c r="B95" s="652" t="s">
        <v>1164</v>
      </c>
      <c r="C95" s="1434" t="s">
        <v>300</v>
      </c>
      <c r="D95" s="1438">
        <f>VLOOKUP(C95,'Beleidsregel loon 2005'!$C$1:$D$500,2,FALSE)</f>
        <v>53.47</v>
      </c>
      <c r="F95" s="1434" t="s">
        <v>310</v>
      </c>
      <c r="G95" s="1438">
        <f>VLOOKUP(F95,'Beleidsregel materieel 2005'!$C$1:$D$500,2,FALSE)</f>
        <v>9.62</v>
      </c>
      <c r="I95" s="1440">
        <f t="shared" si="1"/>
        <v>63.089999999999996</v>
      </c>
    </row>
    <row r="96" spans="1:9" ht="12.75">
      <c r="A96" s="645" t="s">
        <v>945</v>
      </c>
      <c r="B96" s="652" t="s">
        <v>1165</v>
      </c>
      <c r="C96" s="1434" t="s">
        <v>290</v>
      </c>
      <c r="D96" s="1438">
        <f>VLOOKUP(C96,'Beleidsregel loon 2005'!$C$1:$D$500,2,FALSE)</f>
        <v>69.76</v>
      </c>
      <c r="F96" s="1434" t="s">
        <v>310</v>
      </c>
      <c r="G96" s="1438">
        <f>VLOOKUP(F96,'Beleidsregel materieel 2005'!$C$1:$D$500,2,FALSE)</f>
        <v>9.62</v>
      </c>
      <c r="I96" s="1440">
        <f t="shared" si="1"/>
        <v>79.38000000000001</v>
      </c>
    </row>
    <row r="97" spans="1:9" ht="12.75">
      <c r="A97" s="1231" t="s">
        <v>163</v>
      </c>
      <c r="B97" s="652" t="s">
        <v>162</v>
      </c>
      <c r="C97" s="1434" t="s">
        <v>310</v>
      </c>
      <c r="D97" s="1438">
        <f>VLOOKUP(C97,'Beleidsregel loon 2005'!$C$1:$D$500,2,FALSE)</f>
        <v>34.88</v>
      </c>
      <c r="F97" s="1434" t="s">
        <v>310</v>
      </c>
      <c r="G97" s="1438">
        <f>VLOOKUP(F97,'Beleidsregel materieel 2005'!$C$1:$D$500,2,FALSE)</f>
        <v>9.62</v>
      </c>
      <c r="I97" s="1440">
        <f t="shared" si="1"/>
        <v>44.5</v>
      </c>
    </row>
    <row r="98" spans="1:9" ht="12.75">
      <c r="A98" s="645" t="s">
        <v>946</v>
      </c>
      <c r="B98" s="652" t="s">
        <v>1166</v>
      </c>
      <c r="C98" s="1434" t="s">
        <v>298</v>
      </c>
      <c r="D98" s="1438">
        <f>VLOOKUP(C98,'Beleidsregel loon 2005'!$C$1:$D$500,2,FALSE)</f>
        <v>45.26</v>
      </c>
      <c r="F98" s="1434" t="s">
        <v>310</v>
      </c>
      <c r="G98" s="1438">
        <f>VLOOKUP(F98,'Beleidsregel materieel 2005'!$C$1:$D$500,2,FALSE)</f>
        <v>9.62</v>
      </c>
      <c r="I98" s="1440">
        <f t="shared" si="1"/>
        <v>54.879999999999995</v>
      </c>
    </row>
    <row r="99" spans="1:9" ht="12.75">
      <c r="A99" s="645" t="s">
        <v>1115</v>
      </c>
      <c r="B99" s="652" t="s">
        <v>1167</v>
      </c>
      <c r="C99" s="1434" t="s">
        <v>294</v>
      </c>
      <c r="D99" s="1438">
        <f>VLOOKUP(C99,'Beleidsregel loon 2005'!$C$1:$D$500,2,FALSE)</f>
        <v>180.64</v>
      </c>
      <c r="F99" s="1434" t="s">
        <v>310</v>
      </c>
      <c r="G99" s="1438">
        <f>VLOOKUP(F99,'Beleidsregel materieel 2005'!$C$1:$D$500,2,FALSE)</f>
        <v>9.62</v>
      </c>
      <c r="I99" s="1440">
        <f t="shared" si="1"/>
        <v>190.26</v>
      </c>
    </row>
    <row r="100" spans="1:9" ht="12.75">
      <c r="A100" s="645" t="s">
        <v>1116</v>
      </c>
      <c r="B100" s="652" t="s">
        <v>1168</v>
      </c>
      <c r="C100" s="1434" t="s">
        <v>296</v>
      </c>
      <c r="D100" s="1438">
        <f>VLOOKUP(C100,'Beleidsregel loon 2005'!$C$1:$D$500,2,FALSE)</f>
        <v>700.4</v>
      </c>
      <c r="F100" s="1434" t="s">
        <v>310</v>
      </c>
      <c r="G100" s="1438">
        <f>VLOOKUP(F100,'Beleidsregel materieel 2005'!$C$1:$D$500,2,FALSE)</f>
        <v>9.62</v>
      </c>
      <c r="I100" s="1440">
        <f t="shared" si="1"/>
        <v>710.02</v>
      </c>
    </row>
    <row r="101" spans="1:9" ht="13.5" thickBot="1">
      <c r="A101" s="36" t="s">
        <v>1117</v>
      </c>
      <c r="B101" s="652" t="s">
        <v>146</v>
      </c>
      <c r="C101" s="1434" t="s">
        <v>292</v>
      </c>
      <c r="D101" s="1438">
        <f>VLOOKUP(C101,'Beleidsregel loon 2005'!$C$1:$D$500,2,FALSE)</f>
        <v>28.3</v>
      </c>
      <c r="F101" s="1434" t="s">
        <v>292</v>
      </c>
      <c r="G101" s="1438">
        <f>VLOOKUP(F101,'Beleidsregel materieel 2005'!$C$1:$D$500,2,FALSE)</f>
        <v>7.82</v>
      </c>
      <c r="I101" s="1441">
        <f t="shared" si="1"/>
        <v>36.120000000000005</v>
      </c>
    </row>
    <row r="102" ht="12.75">
      <c r="I102" s="1442"/>
    </row>
    <row r="103" spans="2:9" ht="13.5" thickBot="1">
      <c r="B103" s="562" t="s">
        <v>1171</v>
      </c>
      <c r="I103" s="1442"/>
    </row>
    <row r="104" spans="1:9" ht="12.75">
      <c r="A104" s="1123" t="s">
        <v>664</v>
      </c>
      <c r="B104" s="652" t="s">
        <v>1160</v>
      </c>
      <c r="C104" s="1434" t="s">
        <v>278</v>
      </c>
      <c r="D104" s="1438">
        <f>VLOOKUP(C104,'Beleidsregel loon 2005'!$C$1:$D$500,2,FALSE)</f>
        <v>19.05</v>
      </c>
      <c r="I104" s="1439">
        <f t="shared" si="1"/>
        <v>19.05</v>
      </c>
    </row>
    <row r="105" spans="1:9" ht="12.75">
      <c r="A105" s="1123" t="s">
        <v>665</v>
      </c>
      <c r="B105" s="652" t="s">
        <v>1161</v>
      </c>
      <c r="C105" s="1434" t="s">
        <v>280</v>
      </c>
      <c r="D105" s="1438">
        <f>VLOOKUP(C105,'Beleidsregel loon 2005'!$C$1:$D$500,2,FALSE)</f>
        <v>174.12</v>
      </c>
      <c r="F105" s="1434" t="s">
        <v>286</v>
      </c>
      <c r="G105" s="1438">
        <f>VLOOKUP(F105,'Beleidsregel materieel 2005'!$C$1:$D$500,2,FALSE)</f>
        <v>9.62</v>
      </c>
      <c r="I105" s="1440">
        <f t="shared" si="1"/>
        <v>183.74</v>
      </c>
    </row>
    <row r="106" spans="1:9" ht="12.75">
      <c r="A106" s="1123" t="s">
        <v>666</v>
      </c>
      <c r="B106" s="652" t="s">
        <v>1162</v>
      </c>
      <c r="C106" s="1434" t="s">
        <v>282</v>
      </c>
      <c r="D106" s="1438">
        <f>VLOOKUP(C106,'Beleidsregel loon 2005'!$C$1:$D$500,2,FALSE)</f>
        <v>371.18</v>
      </c>
      <c r="F106" s="1434" t="s">
        <v>286</v>
      </c>
      <c r="G106" s="1438">
        <f>VLOOKUP(F106,'Beleidsregel materieel 2005'!$C$1:$D$500,2,FALSE)</f>
        <v>9.62</v>
      </c>
      <c r="I106" s="1440">
        <f t="shared" si="1"/>
        <v>380.8</v>
      </c>
    </row>
    <row r="107" spans="1:9" ht="12.75">
      <c r="A107" s="1123" t="s">
        <v>667</v>
      </c>
      <c r="B107" s="652" t="s">
        <v>1163</v>
      </c>
      <c r="C107" s="1434" t="s">
        <v>284</v>
      </c>
      <c r="D107" s="1438">
        <f>VLOOKUP(C107,'Beleidsregel loon 2005'!$C$1:$D$500,2,FALSE)</f>
        <v>83.92</v>
      </c>
      <c r="F107" s="1434" t="s">
        <v>286</v>
      </c>
      <c r="G107" s="1438">
        <f>VLOOKUP(F107,'Beleidsregel materieel 2005'!$C$1:$D$500,2,FALSE)</f>
        <v>9.62</v>
      </c>
      <c r="I107" s="1440">
        <f t="shared" si="1"/>
        <v>93.54</v>
      </c>
    </row>
    <row r="108" spans="1:9" ht="12.75">
      <c r="A108" s="1123" t="s">
        <v>668</v>
      </c>
      <c r="B108" s="652" t="s">
        <v>1164</v>
      </c>
      <c r="C108" s="1434" t="s">
        <v>276</v>
      </c>
      <c r="D108" s="1438">
        <f>VLOOKUP(C108,'Beleidsregel loon 2005'!$C$1:$D$500,2,FALSE)</f>
        <v>53.47</v>
      </c>
      <c r="F108" s="1434" t="s">
        <v>286</v>
      </c>
      <c r="G108" s="1438">
        <f>VLOOKUP(F108,'Beleidsregel materieel 2005'!$C$1:$D$500,2,FALSE)</f>
        <v>9.62</v>
      </c>
      <c r="I108" s="1440">
        <f t="shared" si="1"/>
        <v>63.089999999999996</v>
      </c>
    </row>
    <row r="109" spans="1:9" ht="12.75">
      <c r="A109" s="1123" t="s">
        <v>669</v>
      </c>
      <c r="B109" s="652" t="s">
        <v>1165</v>
      </c>
      <c r="C109" s="1434" t="s">
        <v>266</v>
      </c>
      <c r="D109" s="1438">
        <f>VLOOKUP(C109,'Beleidsregel loon 2005'!$C$1:$D$500,2,FALSE)</f>
        <v>69.76</v>
      </c>
      <c r="F109" s="1434" t="s">
        <v>286</v>
      </c>
      <c r="G109" s="1438">
        <f>VLOOKUP(F109,'Beleidsregel materieel 2005'!$C$1:$D$500,2,FALSE)</f>
        <v>9.62</v>
      </c>
      <c r="I109" s="1440">
        <f t="shared" si="1"/>
        <v>79.38000000000001</v>
      </c>
    </row>
    <row r="110" spans="1:9" ht="12.75">
      <c r="A110" s="1231" t="s">
        <v>165</v>
      </c>
      <c r="B110" s="652" t="s">
        <v>162</v>
      </c>
      <c r="C110" s="1434" t="s">
        <v>286</v>
      </c>
      <c r="D110" s="1438">
        <f>VLOOKUP(C110,'Beleidsregel loon 2005'!$C$1:$D$500,2,FALSE)</f>
        <v>34.88</v>
      </c>
      <c r="F110" s="1434" t="s">
        <v>286</v>
      </c>
      <c r="G110" s="1438">
        <f>VLOOKUP(F110,'Beleidsregel materieel 2005'!$C$1:$D$500,2,FALSE)</f>
        <v>9.62</v>
      </c>
      <c r="I110" s="1440">
        <f t="shared" si="1"/>
        <v>44.5</v>
      </c>
    </row>
    <row r="111" spans="1:9" ht="12.75">
      <c r="A111" s="1123" t="s">
        <v>670</v>
      </c>
      <c r="B111" s="652" t="s">
        <v>1166</v>
      </c>
      <c r="C111" s="1434" t="s">
        <v>274</v>
      </c>
      <c r="D111" s="1438">
        <f>VLOOKUP(C111,'Beleidsregel loon 2005'!$C$1:$D$500,2,FALSE)</f>
        <v>45.26</v>
      </c>
      <c r="F111" s="1434" t="s">
        <v>286</v>
      </c>
      <c r="G111" s="1438">
        <f>VLOOKUP(F111,'Beleidsregel materieel 2005'!$C$1:$D$500,2,FALSE)</f>
        <v>9.62</v>
      </c>
      <c r="I111" s="1440">
        <f t="shared" si="1"/>
        <v>54.879999999999995</v>
      </c>
    </row>
    <row r="112" spans="1:9" ht="12.75">
      <c r="A112" s="1123" t="s">
        <v>671</v>
      </c>
      <c r="B112" s="652" t="s">
        <v>1167</v>
      </c>
      <c r="C112" s="1434" t="s">
        <v>270</v>
      </c>
      <c r="D112" s="1438">
        <f>VLOOKUP(C112,'Beleidsregel loon 2005'!$C$1:$D$500,2,FALSE)</f>
        <v>180.64</v>
      </c>
      <c r="F112" s="1434" t="s">
        <v>286</v>
      </c>
      <c r="G112" s="1438">
        <f>VLOOKUP(F112,'Beleidsregel materieel 2005'!$C$1:$D$500,2,FALSE)</f>
        <v>9.62</v>
      </c>
      <c r="I112" s="1440">
        <f t="shared" si="1"/>
        <v>190.26</v>
      </c>
    </row>
    <row r="113" spans="1:9" ht="12.75">
      <c r="A113" s="1123" t="s">
        <v>672</v>
      </c>
      <c r="B113" s="652" t="s">
        <v>1168</v>
      </c>
      <c r="C113" s="1434" t="s">
        <v>272</v>
      </c>
      <c r="D113" s="1438">
        <f>VLOOKUP(C113,'Beleidsregel loon 2005'!$C$1:$D$500,2,FALSE)</f>
        <v>700.4</v>
      </c>
      <c r="F113" s="1434" t="s">
        <v>286</v>
      </c>
      <c r="G113" s="1438">
        <f>VLOOKUP(F113,'Beleidsregel materieel 2005'!$C$1:$D$500,2,FALSE)</f>
        <v>9.62</v>
      </c>
      <c r="I113" s="1440">
        <f t="shared" si="1"/>
        <v>710.02</v>
      </c>
    </row>
    <row r="114" spans="1:9" ht="13.5" thickBot="1">
      <c r="A114" s="1123" t="s">
        <v>673</v>
      </c>
      <c r="B114" s="652" t="s">
        <v>146</v>
      </c>
      <c r="C114" s="1434" t="s">
        <v>268</v>
      </c>
      <c r="D114" s="1438">
        <f>VLOOKUP(C114,'Beleidsregel loon 2005'!$C$1:$D$500,2,FALSE)</f>
        <v>28.3</v>
      </c>
      <c r="F114" s="1434" t="s">
        <v>268</v>
      </c>
      <c r="G114" s="1438">
        <f>VLOOKUP(F114,'Beleidsregel materieel 2005'!$C$1:$D$500,2,FALSE)</f>
        <v>7.82</v>
      </c>
      <c r="I114" s="1441">
        <f t="shared" si="1"/>
        <v>36.120000000000005</v>
      </c>
    </row>
    <row r="115" ht="12.75">
      <c r="I115" s="1442"/>
    </row>
    <row r="116" spans="2:9" ht="13.5" thickBot="1">
      <c r="B116" s="132" t="s">
        <v>1172</v>
      </c>
      <c r="I116" s="1442"/>
    </row>
    <row r="117" spans="1:9" ht="12.75">
      <c r="A117" s="1123" t="s">
        <v>674</v>
      </c>
      <c r="B117" s="652" t="s">
        <v>1160</v>
      </c>
      <c r="C117" s="1434" t="s">
        <v>218</v>
      </c>
      <c r="D117" s="1438">
        <f>VLOOKUP(C117,'Beleidsregel loon 2005'!$C$1:$D$500,2,FALSE)</f>
        <v>19.05</v>
      </c>
      <c r="I117" s="1439">
        <f t="shared" si="1"/>
        <v>19.05</v>
      </c>
    </row>
    <row r="118" spans="1:9" ht="12.75">
      <c r="A118" s="1123" t="s">
        <v>675</v>
      </c>
      <c r="B118" s="652" t="s">
        <v>1161</v>
      </c>
      <c r="C118" s="1434" t="s">
        <v>220</v>
      </c>
      <c r="D118" s="1438">
        <f>VLOOKUP(C118,'Beleidsregel loon 2005'!$C$1:$D$500,2,FALSE)</f>
        <v>174.12</v>
      </c>
      <c r="F118" s="1434" t="s">
        <v>226</v>
      </c>
      <c r="G118" s="1438">
        <f>VLOOKUP(F118,'Beleidsregel materieel 2005'!$C$1:$D$500,2,FALSE)</f>
        <v>9.62</v>
      </c>
      <c r="I118" s="1440">
        <f t="shared" si="1"/>
        <v>183.74</v>
      </c>
    </row>
    <row r="119" spans="1:9" ht="12.75">
      <c r="A119" s="1123" t="s">
        <v>676</v>
      </c>
      <c r="B119" s="652" t="s">
        <v>1162</v>
      </c>
      <c r="C119" s="1434" t="s">
        <v>222</v>
      </c>
      <c r="D119" s="1438">
        <f>VLOOKUP(C119,'Beleidsregel loon 2005'!$C$1:$D$500,2,FALSE)</f>
        <v>371.18</v>
      </c>
      <c r="F119" s="1434" t="s">
        <v>226</v>
      </c>
      <c r="G119" s="1438">
        <f>VLOOKUP(F119,'Beleidsregel materieel 2005'!$C$1:$D$500,2,FALSE)</f>
        <v>9.62</v>
      </c>
      <c r="I119" s="1440">
        <f t="shared" si="1"/>
        <v>380.8</v>
      </c>
    </row>
    <row r="120" spans="1:9" ht="12.75">
      <c r="A120" s="1123" t="s">
        <v>677</v>
      </c>
      <c r="B120" s="652" t="s">
        <v>1163</v>
      </c>
      <c r="C120" s="1434" t="s">
        <v>224</v>
      </c>
      <c r="D120" s="1438">
        <f>VLOOKUP(C120,'Beleidsregel loon 2005'!$C$1:$D$500,2,FALSE)</f>
        <v>83.92</v>
      </c>
      <c r="F120" s="1434" t="s">
        <v>226</v>
      </c>
      <c r="G120" s="1438">
        <f>VLOOKUP(F120,'Beleidsregel materieel 2005'!$C$1:$D$500,2,FALSE)</f>
        <v>9.62</v>
      </c>
      <c r="I120" s="1440">
        <f t="shared" si="1"/>
        <v>93.54</v>
      </c>
    </row>
    <row r="121" spans="1:9" ht="12.75">
      <c r="A121" s="1123" t="s">
        <v>678</v>
      </c>
      <c r="B121" s="652" t="s">
        <v>1164</v>
      </c>
      <c r="C121" s="1434" t="s">
        <v>216</v>
      </c>
      <c r="D121" s="1438">
        <f>VLOOKUP(C121,'Beleidsregel loon 2005'!$C$1:$D$500,2,FALSE)</f>
        <v>53.47</v>
      </c>
      <c r="F121" s="1434" t="s">
        <v>226</v>
      </c>
      <c r="G121" s="1438">
        <f>VLOOKUP(F121,'Beleidsregel materieel 2005'!$C$1:$D$500,2,FALSE)</f>
        <v>9.62</v>
      </c>
      <c r="I121" s="1440">
        <f t="shared" si="1"/>
        <v>63.089999999999996</v>
      </c>
    </row>
    <row r="122" spans="1:9" ht="12.75">
      <c r="A122" s="1123" t="s">
        <v>679</v>
      </c>
      <c r="B122" s="652" t="s">
        <v>1165</v>
      </c>
      <c r="C122" s="1434" t="s">
        <v>206</v>
      </c>
      <c r="D122" s="1438">
        <f>VLOOKUP(C122,'Beleidsregel loon 2005'!$C$1:$D$500,2,FALSE)</f>
        <v>69.76</v>
      </c>
      <c r="F122" s="1434" t="s">
        <v>226</v>
      </c>
      <c r="G122" s="1438">
        <f>VLOOKUP(F122,'Beleidsregel materieel 2005'!$C$1:$D$500,2,FALSE)</f>
        <v>9.62</v>
      </c>
      <c r="I122" s="1440">
        <f t="shared" si="1"/>
        <v>79.38000000000001</v>
      </c>
    </row>
    <row r="123" spans="1:9" ht="12.75">
      <c r="A123" s="1231" t="s">
        <v>166</v>
      </c>
      <c r="B123" s="652" t="s">
        <v>162</v>
      </c>
      <c r="C123" s="1434" t="s">
        <v>226</v>
      </c>
      <c r="D123" s="1438">
        <f>VLOOKUP(C123,'Beleidsregel loon 2005'!$C$1:$D$500,2,FALSE)</f>
        <v>34.88</v>
      </c>
      <c r="F123" s="1434" t="s">
        <v>226</v>
      </c>
      <c r="G123" s="1438">
        <f>VLOOKUP(F123,'Beleidsregel materieel 2005'!$C$1:$D$500,2,FALSE)</f>
        <v>9.62</v>
      </c>
      <c r="I123" s="1440">
        <f t="shared" si="1"/>
        <v>44.5</v>
      </c>
    </row>
    <row r="124" spans="1:9" ht="12.75">
      <c r="A124" s="1123" t="s">
        <v>680</v>
      </c>
      <c r="B124" s="652" t="s">
        <v>1166</v>
      </c>
      <c r="C124" s="1434" t="s">
        <v>214</v>
      </c>
      <c r="D124" s="1438">
        <f>VLOOKUP(C124,'Beleidsregel loon 2005'!$C$1:$D$500,2,FALSE)</f>
        <v>45.26</v>
      </c>
      <c r="F124" s="1434" t="s">
        <v>226</v>
      </c>
      <c r="G124" s="1438">
        <f>VLOOKUP(F124,'Beleidsregel materieel 2005'!$C$1:$D$500,2,FALSE)</f>
        <v>9.62</v>
      </c>
      <c r="I124" s="1440">
        <f t="shared" si="1"/>
        <v>54.879999999999995</v>
      </c>
    </row>
    <row r="125" spans="1:9" ht="12.75">
      <c r="A125" s="1123" t="s">
        <v>681</v>
      </c>
      <c r="B125" s="652" t="s">
        <v>1167</v>
      </c>
      <c r="C125" s="1434" t="s">
        <v>210</v>
      </c>
      <c r="D125" s="1438">
        <f>VLOOKUP(C125,'Beleidsregel loon 2005'!$C$1:$D$500,2,FALSE)</f>
        <v>180.64</v>
      </c>
      <c r="F125" s="1434" t="s">
        <v>226</v>
      </c>
      <c r="G125" s="1438">
        <f>VLOOKUP(F125,'Beleidsregel materieel 2005'!$C$1:$D$500,2,FALSE)</f>
        <v>9.62</v>
      </c>
      <c r="I125" s="1440">
        <f t="shared" si="1"/>
        <v>190.26</v>
      </c>
    </row>
    <row r="126" spans="1:9" ht="12.75">
      <c r="A126" s="1123" t="s">
        <v>682</v>
      </c>
      <c r="B126" s="652" t="s">
        <v>1168</v>
      </c>
      <c r="C126" s="1434" t="s">
        <v>212</v>
      </c>
      <c r="D126" s="1438">
        <f>VLOOKUP(C126,'Beleidsregel loon 2005'!$C$1:$D$500,2,FALSE)</f>
        <v>700.4</v>
      </c>
      <c r="F126" s="1434" t="s">
        <v>226</v>
      </c>
      <c r="G126" s="1438">
        <f>VLOOKUP(F126,'Beleidsregel materieel 2005'!$C$1:$D$500,2,FALSE)</f>
        <v>9.62</v>
      </c>
      <c r="I126" s="1440">
        <f t="shared" si="1"/>
        <v>710.02</v>
      </c>
    </row>
    <row r="127" spans="1:9" ht="13.5" thickBot="1">
      <c r="A127" s="1123" t="s">
        <v>683</v>
      </c>
      <c r="B127" s="652" t="s">
        <v>146</v>
      </c>
      <c r="C127" s="1434" t="s">
        <v>208</v>
      </c>
      <c r="D127" s="1438">
        <f>VLOOKUP(C127,'Beleidsregel loon 2005'!$C$1:$D$500,2,FALSE)</f>
        <v>28.3</v>
      </c>
      <c r="F127" s="1434" t="s">
        <v>208</v>
      </c>
      <c r="G127" s="1438">
        <f>VLOOKUP(F127,'Beleidsregel materieel 2005'!$C$1:$D$500,2,FALSE)</f>
        <v>7.82</v>
      </c>
      <c r="I127" s="1441">
        <f t="shared" si="1"/>
        <v>36.120000000000005</v>
      </c>
    </row>
    <row r="128" ht="12.75">
      <c r="I128" s="1442"/>
    </row>
    <row r="129" spans="2:9" ht="13.5" thickBot="1">
      <c r="B129" s="562" t="s">
        <v>1173</v>
      </c>
      <c r="I129" s="1442"/>
    </row>
    <row r="130" spans="1:9" ht="12.75">
      <c r="A130" s="1123" t="s">
        <v>1044</v>
      </c>
      <c r="B130" s="652" t="s">
        <v>1160</v>
      </c>
      <c r="C130" s="1434" t="s">
        <v>236</v>
      </c>
      <c r="D130" s="1438">
        <f>VLOOKUP(C130,'Beleidsregel loon 2005'!$C$1:$D$500,2,FALSE)</f>
        <v>19.05</v>
      </c>
      <c r="F130" s="1445"/>
      <c r="I130" s="1439">
        <f t="shared" si="1"/>
        <v>19.05</v>
      </c>
    </row>
    <row r="131" spans="1:9" ht="12.75">
      <c r="A131" s="645" t="s">
        <v>947</v>
      </c>
      <c r="B131" s="652" t="s">
        <v>1161</v>
      </c>
      <c r="C131" s="1434" t="s">
        <v>238</v>
      </c>
      <c r="D131" s="1438">
        <f>VLOOKUP(C131,'Beleidsregel loon 2005'!$C$1:$D$500,2,FALSE)</f>
        <v>341.27</v>
      </c>
      <c r="F131" s="1445" t="s">
        <v>242</v>
      </c>
      <c r="G131" s="1438">
        <f>VLOOKUP(F131,'Beleidsregel materieel 2005'!$C$1:$D$500,2,FALSE)</f>
        <v>9.62</v>
      </c>
      <c r="I131" s="1440">
        <f t="shared" si="1"/>
        <v>350.89</v>
      </c>
    </row>
    <row r="132" spans="1:9" ht="12.75">
      <c r="A132" s="645" t="s">
        <v>948</v>
      </c>
      <c r="B132" s="652" t="s">
        <v>1163</v>
      </c>
      <c r="C132" s="1434" t="s">
        <v>240</v>
      </c>
      <c r="D132" s="1438">
        <f>VLOOKUP(C132,'Beleidsregel loon 2005'!$C$1:$D$500,2,FALSE)</f>
        <v>175.42</v>
      </c>
      <c r="F132" s="1445" t="s">
        <v>242</v>
      </c>
      <c r="G132" s="1438">
        <f>VLOOKUP(F132,'Beleidsregel materieel 2005'!$C$1:$D$500,2,FALSE)</f>
        <v>9.62</v>
      </c>
      <c r="I132" s="1440">
        <f t="shared" si="1"/>
        <v>185.04</v>
      </c>
    </row>
    <row r="133" spans="1:9" ht="12.75">
      <c r="A133" s="645" t="s">
        <v>949</v>
      </c>
      <c r="B133" s="652" t="s">
        <v>1164</v>
      </c>
      <c r="C133" s="1434" t="s">
        <v>234</v>
      </c>
      <c r="D133" s="1438">
        <f>VLOOKUP(C133,'Beleidsregel loon 2005'!$C$1:$D$500,2,FALSE)</f>
        <v>99.78</v>
      </c>
      <c r="F133" s="1445" t="s">
        <v>242</v>
      </c>
      <c r="G133" s="1438">
        <f>VLOOKUP(F133,'Beleidsregel materieel 2005'!$C$1:$D$500,2,FALSE)</f>
        <v>9.62</v>
      </c>
      <c r="I133" s="1440">
        <f t="shared" si="1"/>
        <v>109.4</v>
      </c>
    </row>
    <row r="134" spans="1:9" ht="12.75">
      <c r="A134" s="645" t="s">
        <v>950</v>
      </c>
      <c r="B134" s="652" t="s">
        <v>1165</v>
      </c>
      <c r="C134" s="1434" t="s">
        <v>228</v>
      </c>
      <c r="D134" s="1438">
        <f>VLOOKUP(C134,'Beleidsregel loon 2005'!$C$1:$D$500,2,FALSE)</f>
        <v>91.58</v>
      </c>
      <c r="F134" s="1445" t="s">
        <v>242</v>
      </c>
      <c r="G134" s="1438">
        <f>VLOOKUP(F134,'Beleidsregel materieel 2005'!$C$1:$D$500,2,FALSE)</f>
        <v>9.62</v>
      </c>
      <c r="I134" s="1440">
        <f aca="true" t="shared" si="2" ref="I134:I182">D134+G134</f>
        <v>101.2</v>
      </c>
    </row>
    <row r="135" spans="1:9" ht="12.75">
      <c r="A135" s="1231" t="s">
        <v>167</v>
      </c>
      <c r="B135" s="652" t="s">
        <v>162</v>
      </c>
      <c r="C135" s="1434" t="s">
        <v>242</v>
      </c>
      <c r="D135" s="1438">
        <f>VLOOKUP(C135,'Beleidsregel loon 2005'!$C$1:$D$500,2,FALSE)</f>
        <v>45.79</v>
      </c>
      <c r="F135" s="1445" t="s">
        <v>242</v>
      </c>
      <c r="G135" s="1438">
        <f>VLOOKUP(F135,'Beleidsregel materieel 2005'!$C$1:$D$500,2,FALSE)</f>
        <v>9.62</v>
      </c>
      <c r="I135" s="1440">
        <f t="shared" si="2"/>
        <v>55.41</v>
      </c>
    </row>
    <row r="136" spans="1:9" ht="12.75">
      <c r="A136" s="1142" t="s">
        <v>1043</v>
      </c>
      <c r="B136" s="652" t="s">
        <v>1166</v>
      </c>
      <c r="C136" s="1434" t="s">
        <v>232</v>
      </c>
      <c r="D136" s="1438">
        <f>VLOOKUP(C136,'Beleidsregel loon 2005'!$C$1:$D$500,2,FALSE)</f>
        <v>61.63</v>
      </c>
      <c r="F136" s="1445" t="s">
        <v>242</v>
      </c>
      <c r="G136" s="1438">
        <f>VLOOKUP(F136,'Beleidsregel materieel 2005'!$C$1:$D$500,2,FALSE)</f>
        <v>9.62</v>
      </c>
      <c r="I136" s="1440">
        <f t="shared" si="2"/>
        <v>71.25</v>
      </c>
    </row>
    <row r="137" spans="1:9" ht="13.5" thickBot="1">
      <c r="A137" s="1231" t="s">
        <v>168</v>
      </c>
      <c r="B137" s="652" t="s">
        <v>146</v>
      </c>
      <c r="C137" s="1434" t="s">
        <v>230</v>
      </c>
      <c r="D137" s="1438">
        <f>VLOOKUP(C137,'Beleidsregel loon 2005'!$C$1:$D$500,2,FALSE)</f>
        <v>71.92</v>
      </c>
      <c r="F137" s="1445" t="s">
        <v>230</v>
      </c>
      <c r="G137" s="1438">
        <f>VLOOKUP(F137,'Beleidsregel materieel 2005'!$C$1:$D$500,2,FALSE)</f>
        <v>19.87</v>
      </c>
      <c r="I137" s="1441">
        <f t="shared" si="2"/>
        <v>91.79</v>
      </c>
    </row>
    <row r="138" spans="2:9" ht="12.75">
      <c r="B138" s="325"/>
      <c r="F138" s="1445"/>
      <c r="I138" s="1442"/>
    </row>
    <row r="139" spans="2:9" ht="13.5" thickBot="1">
      <c r="B139" s="325"/>
      <c r="F139" s="1445"/>
      <c r="I139" s="1442"/>
    </row>
    <row r="140" spans="1:9" ht="12.75">
      <c r="A140" s="1123" t="s">
        <v>66</v>
      </c>
      <c r="B140" s="1446" t="s">
        <v>171</v>
      </c>
      <c r="C140" s="1434" t="s">
        <v>425</v>
      </c>
      <c r="D140" s="1438">
        <f>VLOOKUP(C140,'Beleidsregel loon 2005'!$C$1:$D$500,2,FALSE)</f>
        <v>60.07</v>
      </c>
      <c r="F140" s="1434" t="s">
        <v>524</v>
      </c>
      <c r="G140" s="1438">
        <f>VLOOKUP(F140,'Beleidsregel materieel 2005'!$C$1:$D$500,2,FALSE)</f>
        <v>4.8</v>
      </c>
      <c r="I140" s="1439">
        <f t="shared" si="2"/>
        <v>64.87</v>
      </c>
    </row>
    <row r="141" spans="1:9" ht="13.5" thickBot="1">
      <c r="A141" s="645" t="s">
        <v>66</v>
      </c>
      <c r="B141" s="1446" t="s">
        <v>172</v>
      </c>
      <c r="C141" s="1434" t="s">
        <v>433</v>
      </c>
      <c r="D141" s="1438">
        <f>VLOOKUP(C141,'Beleidsregel loon 2005'!$C$1:$D$500,2,FALSE)</f>
        <v>60.07</v>
      </c>
      <c r="F141" s="1434" t="s">
        <v>524</v>
      </c>
      <c r="G141" s="1438">
        <f>VLOOKUP(F141,'Beleidsregel materieel 2005'!$C$1:$D$500,2,FALSE)</f>
        <v>4.8</v>
      </c>
      <c r="I141" s="1441">
        <f t="shared" si="2"/>
        <v>64.87</v>
      </c>
    </row>
    <row r="142" ht="12.75">
      <c r="I142" s="1442"/>
    </row>
    <row r="143" spans="2:9" ht="13.5" thickBot="1">
      <c r="B143" s="562" t="s">
        <v>596</v>
      </c>
      <c r="I143" s="1442"/>
    </row>
    <row r="144" spans="1:9" ht="12.75">
      <c r="A144" s="645" t="s">
        <v>627</v>
      </c>
      <c r="B144" s="570" t="s">
        <v>169</v>
      </c>
      <c r="C144" s="1434" t="s">
        <v>423</v>
      </c>
      <c r="D144" s="1438">
        <f>VLOOKUP(C144,'Beleidsregel loon 2005'!$C$1:$D$500,2,FALSE)</f>
        <v>114.8</v>
      </c>
      <c r="F144" s="1434" t="s">
        <v>526</v>
      </c>
      <c r="G144" s="1438">
        <f>VLOOKUP(F144,'Beleidsregel materieel 2005'!$C$1:$D$500,2,FALSE)</f>
        <v>12.03</v>
      </c>
      <c r="I144" s="1439">
        <f t="shared" si="2"/>
        <v>126.83</v>
      </c>
    </row>
    <row r="145" spans="1:9" ht="12.75">
      <c r="A145" s="645" t="s">
        <v>627</v>
      </c>
      <c r="B145" s="570" t="s">
        <v>170</v>
      </c>
      <c r="C145" s="1434" t="s">
        <v>435</v>
      </c>
      <c r="D145" s="1438">
        <f>VLOOKUP(C145,'Beleidsregel loon 2005'!$C$1:$D$500,2,FALSE)</f>
        <v>114.8</v>
      </c>
      <c r="F145" s="1434" t="s">
        <v>526</v>
      </c>
      <c r="G145" s="1438">
        <f>VLOOKUP(F145,'Beleidsregel materieel 2005'!$C$1:$D$500,2,FALSE)</f>
        <v>12.03</v>
      </c>
      <c r="I145" s="1440">
        <f t="shared" si="2"/>
        <v>126.83</v>
      </c>
    </row>
    <row r="146" spans="1:9" ht="12.75">
      <c r="A146" s="645" t="s">
        <v>628</v>
      </c>
      <c r="B146" s="570" t="s">
        <v>597</v>
      </c>
      <c r="C146" s="1434" t="s">
        <v>288</v>
      </c>
      <c r="D146" s="1438">
        <f>VLOOKUP(C146,'Beleidsregel loon 2005'!$C$1:$D$500,2,FALSE)</f>
        <v>132.78</v>
      </c>
      <c r="F146" s="1434" t="s">
        <v>288</v>
      </c>
      <c r="G146" s="1438">
        <f>VLOOKUP(F146,'Beleidsregel materieel 2005'!$C$1:$D$500,2,FALSE)</f>
        <v>11.02</v>
      </c>
      <c r="I146" s="1440">
        <f t="shared" si="2"/>
        <v>143.8</v>
      </c>
    </row>
    <row r="147" spans="1:9" ht="12.75">
      <c r="A147" s="1234" t="s">
        <v>629</v>
      </c>
      <c r="B147" s="645" t="s">
        <v>175</v>
      </c>
      <c r="C147" s="1434" t="s">
        <v>383</v>
      </c>
      <c r="D147" s="1438">
        <f>VLOOKUP(C147,'Beleidsregel loon 2005'!$C$1:$D$500,2,FALSE)</f>
        <v>1293</v>
      </c>
      <c r="F147" s="1434" t="str">
        <f>C147</f>
        <v>LZAC</v>
      </c>
      <c r="G147" s="1438">
        <f>VLOOKUP(F147,'Beleidsregel materieel 2005'!$C$1:$D$500,2,FALSE)</f>
        <v>181.28</v>
      </c>
      <c r="I147" s="1440">
        <f t="shared" si="2"/>
        <v>1474.28</v>
      </c>
    </row>
    <row r="148" spans="1:9" ht="12.75">
      <c r="A148" s="645" t="s">
        <v>705</v>
      </c>
      <c r="B148" s="777" t="s">
        <v>598</v>
      </c>
      <c r="C148" s="1434" t="s">
        <v>428</v>
      </c>
      <c r="D148" s="1438">
        <f>VLOOKUP(C148,'Beleidsregel loon 2005'!$C$1:$D$500,2,FALSE)</f>
        <v>66.03</v>
      </c>
      <c r="F148" s="1434" t="s">
        <v>428</v>
      </c>
      <c r="G148" s="1438">
        <f>VLOOKUP(F148,'Beleidsregel materieel 2005'!$C$1:$D$500,2,FALSE)</f>
        <v>9.26</v>
      </c>
      <c r="I148" s="1440">
        <f t="shared" si="2"/>
        <v>75.29</v>
      </c>
    </row>
    <row r="149" spans="1:9" ht="12.75">
      <c r="A149" s="1234" t="s">
        <v>629</v>
      </c>
      <c r="B149" s="569" t="s">
        <v>173</v>
      </c>
      <c r="C149" s="1434" t="s">
        <v>431</v>
      </c>
      <c r="D149" s="1438">
        <f>VLOOKUP(C149,'Beleidsregel loon 2005'!$C$1:$D$500,2,FALSE)</f>
        <v>2162.24</v>
      </c>
      <c r="F149" s="1434" t="s">
        <v>431</v>
      </c>
      <c r="G149" s="1438">
        <f>VLOOKUP(F149,'Beleidsregel materieel 2005'!$C$1:$D$500,2,FALSE)</f>
        <v>793.9</v>
      </c>
      <c r="I149" s="1440">
        <f t="shared" si="2"/>
        <v>2956.14</v>
      </c>
    </row>
    <row r="150" spans="1:9" ht="13.5" thickBot="1">
      <c r="A150" s="645" t="s">
        <v>75</v>
      </c>
      <c r="B150" s="570" t="s">
        <v>599</v>
      </c>
      <c r="C150" s="1434" t="s">
        <v>437</v>
      </c>
      <c r="D150" s="1438">
        <f>VLOOKUP(C150,'Beleidsregel loon 2005'!$C$1:$D$500,2,FALSE)</f>
        <v>5.11</v>
      </c>
      <c r="F150" s="1434" t="s">
        <v>437</v>
      </c>
      <c r="G150" s="1438">
        <f>VLOOKUP(F150,'Beleidsregel materieel 2005'!$C$1:$D$500,2,FALSE)</f>
        <v>2.28</v>
      </c>
      <c r="I150" s="1441">
        <f t="shared" si="2"/>
        <v>7.390000000000001</v>
      </c>
    </row>
    <row r="151" spans="2:9" ht="12.75">
      <c r="B151" s="697"/>
      <c r="I151" s="1442"/>
    </row>
    <row r="152" spans="2:9" ht="13.5" thickBot="1">
      <c r="B152" s="697"/>
      <c r="I152" s="1442"/>
    </row>
    <row r="153" spans="2:9" ht="12.75">
      <c r="B153" s="570" t="s">
        <v>83</v>
      </c>
      <c r="C153" s="1434" t="s">
        <v>178</v>
      </c>
      <c r="D153" s="1438">
        <f>VLOOKUP(C153,'Beleidsregel loon 2005'!$C$1:$D$500,2,FALSE)</f>
        <v>15609.92</v>
      </c>
      <c r="F153" s="1434" t="str">
        <f aca="true" t="shared" si="3" ref="F153:F159">C153</f>
        <v>BAD</v>
      </c>
      <c r="G153" s="1438">
        <f>VLOOKUP(F153,'Beleidsregel materieel 2005'!$C$1:$D$500,2,FALSE)</f>
        <v>4116.46</v>
      </c>
      <c r="I153" s="1439">
        <f t="shared" si="2"/>
        <v>19726.38</v>
      </c>
    </row>
    <row r="154" spans="2:9" ht="12.75">
      <c r="B154" s="570" t="s">
        <v>600</v>
      </c>
      <c r="C154" s="1434" t="s">
        <v>196</v>
      </c>
      <c r="D154" s="1438">
        <f>VLOOKUP(C154,'Beleidsregel loon 2005'!$C$1:$D$500,2,FALSE)</f>
        <v>48383.23</v>
      </c>
      <c r="F154" s="1434" t="str">
        <f t="shared" si="3"/>
        <v>BKZ</v>
      </c>
      <c r="G154" s="1438">
        <f>VLOOKUP(F154,'Beleidsregel materieel 2005'!$C$1:$D$500,2,FALSE)</f>
        <v>3215.37</v>
      </c>
      <c r="I154" s="1440">
        <f t="shared" si="2"/>
        <v>51598.600000000006</v>
      </c>
    </row>
    <row r="155" spans="2:9" ht="12.75">
      <c r="B155" s="570" t="s">
        <v>601</v>
      </c>
      <c r="C155" s="1434" t="s">
        <v>190</v>
      </c>
      <c r="D155" s="1438">
        <f>VLOOKUP(C155,'Beleidsregel loon 2005'!$C$1:$D$500,2,FALSE)</f>
        <v>24423.55</v>
      </c>
      <c r="F155" s="1434" t="str">
        <f t="shared" si="3"/>
        <v>BKB</v>
      </c>
      <c r="G155" s="1438">
        <f>VLOOKUP(F155,'Beleidsregel materieel 2005'!$C$1:$D$500,2,FALSE)</f>
        <v>3215.37</v>
      </c>
      <c r="I155" s="1440">
        <f t="shared" si="2"/>
        <v>27638.92</v>
      </c>
    </row>
    <row r="156" spans="2:9" ht="12.75">
      <c r="B156" s="570" t="s">
        <v>602</v>
      </c>
      <c r="C156" s="1434" t="s">
        <v>194</v>
      </c>
      <c r="D156" s="1438">
        <f>VLOOKUP(C156,'Beleidsregel loon 2005'!$C$1:$D$500,2,FALSE)</f>
        <v>17961.83</v>
      </c>
      <c r="F156" s="1434" t="str">
        <f t="shared" si="3"/>
        <v>BKO</v>
      </c>
      <c r="G156" s="1438">
        <f>VLOOKUP(F156,'Beleidsregel materieel 2005'!$C$1:$D$500,2,FALSE)</f>
        <v>3215.37</v>
      </c>
      <c r="I156" s="1440">
        <f t="shared" si="2"/>
        <v>21177.2</v>
      </c>
    </row>
    <row r="157" spans="2:9" ht="12.75">
      <c r="B157" s="570" t="s">
        <v>603</v>
      </c>
      <c r="C157" s="1434" t="s">
        <v>192</v>
      </c>
      <c r="D157" s="1438">
        <f>VLOOKUP(C157,'Beleidsregel loon 2005'!$C$1:$D$500,2,FALSE)</f>
        <v>10211.53</v>
      </c>
      <c r="F157" s="1434" t="str">
        <f t="shared" si="3"/>
        <v>BKL</v>
      </c>
      <c r="G157" s="1438">
        <f>VLOOKUP(F157,'Beleidsregel materieel 2005'!$C$1:$D$500,2,FALSE)</f>
        <v>1795.26</v>
      </c>
      <c r="I157" s="1440">
        <f t="shared" si="2"/>
        <v>12006.79</v>
      </c>
    </row>
    <row r="158" spans="2:9" ht="12.75">
      <c r="B158" s="570" t="s">
        <v>604</v>
      </c>
      <c r="C158" s="1434" t="s">
        <v>198</v>
      </c>
      <c r="D158" s="1438">
        <f>VLOOKUP(C158,'Beleidsregel loon 2005'!$C$1:$D$500,2,FALSE)</f>
        <v>15705.49</v>
      </c>
      <c r="F158" s="1434" t="str">
        <f t="shared" si="3"/>
        <v>BO</v>
      </c>
      <c r="G158" s="1438">
        <f>VLOOKUP(F158,'Beleidsregel materieel 2005'!$C$1:$D$500,2,FALSE)</f>
        <v>2617.11</v>
      </c>
      <c r="I158" s="1440">
        <f t="shared" si="2"/>
        <v>18322.6</v>
      </c>
    </row>
    <row r="159" spans="2:9" ht="12.75">
      <c r="B159" s="570" t="s">
        <v>605</v>
      </c>
      <c r="C159" s="1434" t="s">
        <v>187</v>
      </c>
      <c r="D159" s="1438">
        <f>VLOOKUP(C159,'Beleidsregel loon 2005'!$C$1:$D$500,2,FALSE)</f>
        <v>14846.97</v>
      </c>
      <c r="F159" s="1434" t="str">
        <f t="shared" si="3"/>
        <v>BH</v>
      </c>
      <c r="G159" s="1438">
        <f>VLOOKUP(F159,'Beleidsregel materieel 2005'!$C$1:$D$500,2,FALSE)</f>
        <v>2617.11</v>
      </c>
      <c r="I159" s="1440">
        <f t="shared" si="2"/>
        <v>17464.079999999998</v>
      </c>
    </row>
    <row r="160" spans="2:9" ht="12.75">
      <c r="B160" s="570" t="s">
        <v>606</v>
      </c>
      <c r="C160" s="1434" t="s">
        <v>183</v>
      </c>
      <c r="D160" s="1438">
        <f>VLOOKUP(C160,'Beleidsregel loon 2005'!$C$1:$D$500,2,FALSE)</f>
        <v>33847.06</v>
      </c>
      <c r="F160" s="1434" t="s">
        <v>506</v>
      </c>
      <c r="G160" s="1438">
        <f>VLOOKUP(F160,'Beleidsregel materieel 2005'!$C$1:$D$500,2,FALSE)</f>
        <v>5327.22</v>
      </c>
      <c r="I160" s="1440">
        <f t="shared" si="2"/>
        <v>39174.28</v>
      </c>
    </row>
    <row r="161" spans="2:9" ht="12.75">
      <c r="B161" s="570" t="s">
        <v>607</v>
      </c>
      <c r="C161" s="1434" t="s">
        <v>181</v>
      </c>
      <c r="D161" s="1438">
        <f>VLOOKUP(C161,'Beleidsregel loon 2005'!$C$1:$D$500,2,FALSE)</f>
        <v>22156.87</v>
      </c>
      <c r="F161" s="1434" t="s">
        <v>506</v>
      </c>
      <c r="G161" s="1438">
        <f>VLOOKUP(F161,'Beleidsregel materieel 2005'!$C$1:$D$500,2,FALSE)</f>
        <v>5327.22</v>
      </c>
      <c r="I161" s="1440">
        <f t="shared" si="2"/>
        <v>27484.09</v>
      </c>
    </row>
    <row r="162" spans="2:12" ht="12.75">
      <c r="B162" s="570" t="s">
        <v>608</v>
      </c>
      <c r="C162" s="1434" t="s">
        <v>185</v>
      </c>
      <c r="D162" s="1438">
        <f>VLOOKUP(C162,'Beleidsregel loon 2005'!$C$1:$D$500,2,FALSE)</f>
        <v>20512.75</v>
      </c>
      <c r="F162" s="1434" t="str">
        <f>C162</f>
        <v>BFO</v>
      </c>
      <c r="G162" s="1438">
        <f>VLOOKUP(F162,'Beleidsregel materieel 2005'!$C$1:$D$500,2,FALSE)</f>
        <v>3175.79</v>
      </c>
      <c r="I162" s="1440">
        <f t="shared" si="2"/>
        <v>23688.54</v>
      </c>
      <c r="L162" s="1435"/>
    </row>
    <row r="163" spans="2:9" ht="12.75">
      <c r="B163" s="570" t="s">
        <v>609</v>
      </c>
      <c r="C163" s="1434" t="s">
        <v>203</v>
      </c>
      <c r="D163" s="1438">
        <f>VLOOKUP(C163,'Beleidsregel loon 2005'!$C$1:$D$500,2,FALSE)</f>
        <v>49414.1</v>
      </c>
      <c r="F163" s="1434" t="str">
        <f>C163</f>
        <v>BSGA</v>
      </c>
      <c r="G163" s="1438">
        <f>VLOOKUP(F163,'Beleidsregel materieel 2005'!$C$1:$D$500,2,FALSE)</f>
        <v>3088.27</v>
      </c>
      <c r="I163" s="1440">
        <f t="shared" si="2"/>
        <v>52502.369999999995</v>
      </c>
    </row>
    <row r="164" spans="2:10" ht="13.5" thickBot="1">
      <c r="B164" s="570" t="s">
        <v>610</v>
      </c>
      <c r="C164" s="1434" t="s">
        <v>397</v>
      </c>
      <c r="D164" s="1438">
        <f>VLOOKUP(J164,'Beleidsregel loon 2005'!$A$1:$D$500,4,FALSE)</f>
        <v>6145.94</v>
      </c>
      <c r="F164" s="1434" t="s">
        <v>397</v>
      </c>
      <c r="G164" s="1438">
        <f>VLOOKUP(F164,'Beleidsregel materieel 2005'!$C$1:$D$500,2,FALSE)</f>
        <v>2427.25</v>
      </c>
      <c r="I164" s="1441">
        <f t="shared" si="2"/>
        <v>8573.189999999999</v>
      </c>
      <c r="J164" s="1447" t="s">
        <v>399</v>
      </c>
    </row>
    <row r="165" ht="12.75">
      <c r="I165" s="1442"/>
    </row>
    <row r="166" spans="2:9" ht="13.5" thickBot="1">
      <c r="B166" s="562" t="s">
        <v>611</v>
      </c>
      <c r="I166" s="1442"/>
    </row>
    <row r="167" spans="2:9" ht="12.75">
      <c r="B167" s="570" t="s">
        <v>612</v>
      </c>
      <c r="C167" s="1434" t="s">
        <v>407</v>
      </c>
      <c r="D167" s="1438">
        <f>VLOOKUP(C167,'Beleidsregel loon 2005'!$C$1:$D$500,2,FALSE)</f>
        <v>18886.35</v>
      </c>
      <c r="I167" s="1439">
        <f t="shared" si="2"/>
        <v>18886.35</v>
      </c>
    </row>
    <row r="168" spans="2:9" ht="12.75">
      <c r="B168" s="570" t="s">
        <v>613</v>
      </c>
      <c r="C168" s="1434" t="s">
        <v>409</v>
      </c>
      <c r="D168" s="1438">
        <f>VLOOKUP(C168,'Beleidsregel loon 2005'!$C$1:$D$500,2,FALSE)</f>
        <v>9443.18</v>
      </c>
      <c r="I168" s="1440">
        <f t="shared" si="2"/>
        <v>9443.18</v>
      </c>
    </row>
    <row r="169" spans="2:9" ht="12.75">
      <c r="B169" s="570" t="s">
        <v>614</v>
      </c>
      <c r="C169" s="1434" t="s">
        <v>411</v>
      </c>
      <c r="D169" s="1438">
        <f>VLOOKUP(C169,'Beleidsregel loon 2005'!$C$1:$D$500,2,FALSE)</f>
        <v>18886.35</v>
      </c>
      <c r="I169" s="1440">
        <f t="shared" si="2"/>
        <v>18886.35</v>
      </c>
    </row>
    <row r="170" spans="2:9" ht="12.75">
      <c r="B170" s="570" t="s">
        <v>615</v>
      </c>
      <c r="C170" s="1434" t="s">
        <v>401</v>
      </c>
      <c r="D170" s="1438">
        <f>VLOOKUP(C170,'Beleidsregel loon 2005'!$C$1:$D$500,2,FALSE)</f>
        <v>15384.98</v>
      </c>
      <c r="I170" s="1440">
        <f t="shared" si="2"/>
        <v>15384.98</v>
      </c>
    </row>
    <row r="171" spans="2:9" ht="12.75">
      <c r="B171" s="570" t="s">
        <v>616</v>
      </c>
      <c r="C171" s="1434" t="s">
        <v>405</v>
      </c>
      <c r="D171" s="1438">
        <f>VLOOKUP(C171,'Beleidsregel loon 2005'!$C$1:$D$500,2,FALSE)</f>
        <v>10256.61</v>
      </c>
      <c r="I171" s="1440">
        <f t="shared" si="2"/>
        <v>10256.61</v>
      </c>
    </row>
    <row r="172" spans="2:9" ht="12.75">
      <c r="B172" s="570" t="s">
        <v>617</v>
      </c>
      <c r="C172" s="1434" t="s">
        <v>403</v>
      </c>
      <c r="D172" s="1438">
        <f>VLOOKUP(C172,'Beleidsregel loon 2005'!$C$1:$D$500,2,FALSE)</f>
        <v>7692.49</v>
      </c>
      <c r="I172" s="1440">
        <f t="shared" si="2"/>
        <v>7692.49</v>
      </c>
    </row>
    <row r="173" spans="2:9" ht="12.75">
      <c r="B173" s="570" t="s">
        <v>618</v>
      </c>
      <c r="C173" s="1434" t="s">
        <v>413</v>
      </c>
      <c r="D173" s="1438">
        <f>VLOOKUP(C173,'Beleidsregel loon 2005'!$C$1:$D$500,2,FALSE)</f>
        <v>7692.49</v>
      </c>
      <c r="I173" s="1440">
        <f t="shared" si="2"/>
        <v>7692.49</v>
      </c>
    </row>
    <row r="174" spans="2:9" ht="13.5" thickBot="1">
      <c r="B174" s="570" t="s">
        <v>619</v>
      </c>
      <c r="C174" s="1434" t="s">
        <v>395</v>
      </c>
      <c r="D174" s="1438">
        <f>VLOOKUP(C174,'Beleidsregel loon 2005'!$C$1:$D$500,2,FALSE)</f>
        <v>2364.38</v>
      </c>
      <c r="I174" s="1441">
        <f t="shared" si="2"/>
        <v>2364.38</v>
      </c>
    </row>
    <row r="175" ht="12.75">
      <c r="I175" s="1442"/>
    </row>
    <row r="176" spans="2:9" ht="13.5" thickBot="1">
      <c r="B176" s="562" t="s">
        <v>620</v>
      </c>
      <c r="I176" s="1442"/>
    </row>
    <row r="177" spans="2:9" ht="13.5" thickBot="1">
      <c r="B177" s="1451" t="s">
        <v>621</v>
      </c>
      <c r="C177" s="1434" t="s">
        <v>386</v>
      </c>
      <c r="D177" s="1438">
        <f>VLOOKUP(C177,'Beleidsregel loon 2005'!$C$1:$D$500,2,FALSE)</f>
        <v>19.65</v>
      </c>
      <c r="I177" s="1439">
        <f t="shared" si="2"/>
        <v>19.65</v>
      </c>
    </row>
    <row r="178" spans="2:9" ht="12.75">
      <c r="B178" s="1452" t="s">
        <v>622</v>
      </c>
      <c r="C178" s="1434" t="s">
        <v>389</v>
      </c>
      <c r="D178" s="1450">
        <v>14.01</v>
      </c>
      <c r="I178" s="1448">
        <f t="shared" si="2"/>
        <v>14.01</v>
      </c>
    </row>
    <row r="179" spans="2:9" ht="13.5" thickBot="1">
      <c r="B179" s="1453" t="s">
        <v>623</v>
      </c>
      <c r="C179" s="1434" t="s">
        <v>397</v>
      </c>
      <c r="D179" s="1449">
        <v>863.72</v>
      </c>
      <c r="I179" s="1449">
        <f t="shared" si="2"/>
        <v>863.72</v>
      </c>
    </row>
    <row r="180" ht="12.75">
      <c r="I180" s="1442"/>
    </row>
    <row r="181" spans="2:9" ht="13.5" thickBot="1">
      <c r="B181" s="71"/>
      <c r="I181" s="1442"/>
    </row>
    <row r="182" spans="2:9" ht="13.5" thickBot="1">
      <c r="B182" s="71" t="s">
        <v>624</v>
      </c>
      <c r="C182" s="1434" t="s">
        <v>338</v>
      </c>
      <c r="D182" s="1438">
        <f>VLOOKUP(C182,'Beleidsregel loon 2005'!$C$1:$D$500,2,FALSE)</f>
        <v>743.95</v>
      </c>
      <c r="F182" s="1434" t="s">
        <v>338</v>
      </c>
      <c r="G182" s="1438">
        <f>VLOOKUP(F182,'Beleidsregel materieel 2005'!$C$1:$D$500,2,FALSE)</f>
        <v>111.56</v>
      </c>
      <c r="I182" s="1444">
        <f t="shared" si="2"/>
        <v>855.51</v>
      </c>
    </row>
    <row r="183" ht="12.75">
      <c r="I183" s="1442"/>
    </row>
    <row r="186" ht="12.75">
      <c r="B186" s="1435" t="s">
        <v>625</v>
      </c>
    </row>
    <row r="187" ht="12.75">
      <c r="B187" s="1435"/>
    </row>
    <row r="188" ht="13.5" thickBot="1">
      <c r="B188" s="562" t="s">
        <v>1142</v>
      </c>
    </row>
    <row r="189" spans="1:9" ht="12.75">
      <c r="A189" s="36" t="s">
        <v>84</v>
      </c>
      <c r="B189" s="570" t="s">
        <v>963</v>
      </c>
      <c r="C189" s="1434" t="s">
        <v>326</v>
      </c>
      <c r="D189" s="1438">
        <f>VLOOKUP(C189,'Opbrengstenregistratie 2005'!$C$1:$D$53,2,FALSE)</f>
        <v>121</v>
      </c>
      <c r="I189" s="1439">
        <f>D189</f>
        <v>121</v>
      </c>
    </row>
    <row r="190" spans="1:9" ht="13.5" thickBot="1">
      <c r="A190" s="36" t="s">
        <v>85</v>
      </c>
      <c r="B190" s="570" t="s">
        <v>1143</v>
      </c>
      <c r="C190" s="1434" t="s">
        <v>328</v>
      </c>
      <c r="D190" s="1438">
        <f>VLOOKUP(C190,'Opbrengstenregistratie 2005'!$C$1:$D$53,2,FALSE)</f>
        <v>149</v>
      </c>
      <c r="I190" s="1441">
        <f>D190</f>
        <v>149</v>
      </c>
    </row>
    <row r="191" ht="12.75">
      <c r="I191" s="1438"/>
    </row>
    <row r="192" spans="2:9" ht="13.5" thickBot="1">
      <c r="B192" s="562" t="s">
        <v>1144</v>
      </c>
      <c r="I192" s="1438"/>
    </row>
    <row r="193" spans="1:9" ht="12.75">
      <c r="A193" s="36" t="s">
        <v>86</v>
      </c>
      <c r="B193" s="570" t="s">
        <v>1145</v>
      </c>
      <c r="C193" s="1434" t="s">
        <v>332</v>
      </c>
      <c r="D193" s="1438">
        <f>VLOOKUP(C193,'Opbrengstenregistratie 2005'!$C$1:$D$53,2,FALSE)</f>
        <v>246</v>
      </c>
      <c r="I193" s="1439">
        <f aca="true" t="shared" si="4" ref="I193:I252">D193</f>
        <v>246</v>
      </c>
    </row>
    <row r="194" spans="1:9" ht="12.75">
      <c r="A194" s="36" t="s">
        <v>87</v>
      </c>
      <c r="B194" s="570" t="s">
        <v>1146</v>
      </c>
      <c r="C194" s="1434" t="s">
        <v>334</v>
      </c>
      <c r="D194" s="1438">
        <f>VLOOKUP(C194,'Opbrengstenregistratie 2005'!$C$1:$D$53,2,FALSE)</f>
        <v>176</v>
      </c>
      <c r="I194" s="1440">
        <f t="shared" si="4"/>
        <v>176</v>
      </c>
    </row>
    <row r="195" spans="1:9" ht="13.5" thickBot="1">
      <c r="A195" s="36" t="s">
        <v>88</v>
      </c>
      <c r="B195" s="570" t="s">
        <v>1147</v>
      </c>
      <c r="C195" s="1434" t="s">
        <v>336</v>
      </c>
      <c r="D195" s="1438">
        <f>VLOOKUP(C195,'Opbrengstenregistratie 2005'!$C$1:$D$53,2,FALSE)</f>
        <v>202</v>
      </c>
      <c r="I195" s="1441">
        <f t="shared" si="4"/>
        <v>202</v>
      </c>
    </row>
    <row r="196" spans="2:9" ht="12.75">
      <c r="B196" s="697"/>
      <c r="I196" s="1438"/>
    </row>
    <row r="197" spans="2:9" ht="13.5" thickBot="1">
      <c r="B197" s="562" t="s">
        <v>1148</v>
      </c>
      <c r="I197" s="1438"/>
    </row>
    <row r="198" spans="1:9" ht="12.75">
      <c r="A198" s="36" t="s">
        <v>89</v>
      </c>
      <c r="B198" s="570" t="s">
        <v>592</v>
      </c>
      <c r="C198" s="1434" t="s">
        <v>313</v>
      </c>
      <c r="D198" s="1438">
        <f>VLOOKUP(C198,'Opbrengstenregistratie 2005'!$C$1:$D$53,2,FALSE)</f>
        <v>122</v>
      </c>
      <c r="I198" s="1439">
        <f t="shared" si="4"/>
        <v>122</v>
      </c>
    </row>
    <row r="199" spans="1:9" ht="12.75">
      <c r="A199" s="36" t="s">
        <v>90</v>
      </c>
      <c r="B199" s="570" t="s">
        <v>1150</v>
      </c>
      <c r="C199" s="1434" t="s">
        <v>315</v>
      </c>
      <c r="D199" s="1438">
        <f>VLOOKUP(C199,'Opbrengstenregistratie 2005'!$C$1:$D$53,2,FALSE)</f>
        <v>154</v>
      </c>
      <c r="I199" s="1440">
        <f t="shared" si="4"/>
        <v>154</v>
      </c>
    </row>
    <row r="200" spans="1:9" ht="12.75">
      <c r="A200" s="36" t="s">
        <v>91</v>
      </c>
      <c r="B200" s="570" t="s">
        <v>593</v>
      </c>
      <c r="C200" s="1434" t="s">
        <v>318</v>
      </c>
      <c r="D200" s="1438">
        <f>VLOOKUP(C200,'Opbrengstenregistratie 2005'!$C$1:$D$53,2,FALSE)</f>
        <v>138</v>
      </c>
      <c r="I200" s="1440">
        <f t="shared" si="4"/>
        <v>138</v>
      </c>
    </row>
    <row r="201" spans="1:9" ht="12.75">
      <c r="A201" s="36" t="s">
        <v>92</v>
      </c>
      <c r="B201" s="570" t="s">
        <v>1150</v>
      </c>
      <c r="C201" s="1434" t="s">
        <v>320</v>
      </c>
      <c r="D201" s="1438">
        <f>VLOOKUP(C201,'Opbrengstenregistratie 2005'!$C$1:$D$53,2,FALSE)</f>
        <v>174</v>
      </c>
      <c r="I201" s="1440">
        <f t="shared" si="4"/>
        <v>174</v>
      </c>
    </row>
    <row r="202" spans="1:9" ht="12.75">
      <c r="A202" s="36" t="s">
        <v>93</v>
      </c>
      <c r="B202" s="570" t="s">
        <v>1151</v>
      </c>
      <c r="C202" s="1434" t="s">
        <v>322</v>
      </c>
      <c r="D202" s="1438">
        <f>VLOOKUP(C202,'Opbrengstenregistratie 2005'!$C$1:$D$53,2,FALSE)</f>
        <v>69</v>
      </c>
      <c r="I202" s="1440">
        <f t="shared" si="4"/>
        <v>69</v>
      </c>
    </row>
    <row r="203" spans="1:9" ht="13.5" thickBot="1">
      <c r="A203" s="36" t="s">
        <v>94</v>
      </c>
      <c r="B203" s="570" t="s">
        <v>1217</v>
      </c>
      <c r="C203" s="1434" t="s">
        <v>324</v>
      </c>
      <c r="D203" s="1438">
        <f>VLOOKUP(C203,'Opbrengstenregistratie 2005'!$C$1:$D$53,2,FALSE)</f>
        <v>96</v>
      </c>
      <c r="I203" s="1441">
        <f t="shared" si="4"/>
        <v>96</v>
      </c>
    </row>
    <row r="204" spans="2:9" ht="12.75">
      <c r="B204" s="697"/>
      <c r="I204" s="1438"/>
    </row>
    <row r="205" spans="2:9" ht="13.5" thickBot="1">
      <c r="B205" s="562" t="s">
        <v>1152</v>
      </c>
      <c r="I205" s="1438"/>
    </row>
    <row r="206" spans="1:9" ht="13.5" thickBot="1">
      <c r="A206" s="36" t="s">
        <v>95</v>
      </c>
      <c r="B206" s="1443" t="s">
        <v>594</v>
      </c>
      <c r="C206" s="1434" t="s">
        <v>330</v>
      </c>
      <c r="D206" s="1438">
        <f>VLOOKUP(C206,'Opbrengstenregistratie 2005'!$C$1:$D$53,2,FALSE)</f>
        <v>191</v>
      </c>
      <c r="I206" s="1444">
        <f t="shared" si="4"/>
        <v>191</v>
      </c>
    </row>
    <row r="207" spans="2:9" ht="12.75">
      <c r="B207" s="563"/>
      <c r="I207" s="1438"/>
    </row>
    <row r="208" spans="2:9" ht="13.5" thickBot="1">
      <c r="B208" s="562" t="s">
        <v>595</v>
      </c>
      <c r="I208" s="1438"/>
    </row>
    <row r="209" spans="1:9" ht="12.75">
      <c r="A209" s="645" t="s">
        <v>1063</v>
      </c>
      <c r="B209" s="570" t="s">
        <v>1154</v>
      </c>
      <c r="C209" s="1434" t="s">
        <v>340</v>
      </c>
      <c r="D209" s="1438">
        <f>VLOOKUP(C209,'Opbrengstenregistratie 2005'!$C$1:$D$53,2,FALSE)</f>
        <v>349</v>
      </c>
      <c r="I209" s="1439">
        <f t="shared" si="4"/>
        <v>349</v>
      </c>
    </row>
    <row r="210" spans="1:9" ht="12.75">
      <c r="A210" s="645" t="s">
        <v>1064</v>
      </c>
      <c r="B210" s="570" t="s">
        <v>930</v>
      </c>
      <c r="C210" s="1434" t="s">
        <v>346</v>
      </c>
      <c r="D210" s="1438">
        <f>VLOOKUP(C210,'Opbrengstenregistratie 2005'!$C$1:$D$53,2,FALSE)</f>
        <v>349</v>
      </c>
      <c r="I210" s="1440">
        <f t="shared" si="4"/>
        <v>349</v>
      </c>
    </row>
    <row r="211" spans="1:9" ht="12.75">
      <c r="A211" s="645" t="s">
        <v>1065</v>
      </c>
      <c r="B211" s="570" t="s">
        <v>1158</v>
      </c>
      <c r="C211" s="1434" t="s">
        <v>348</v>
      </c>
      <c r="D211" s="1438">
        <f>VLOOKUP(C211,'Opbrengstenregistratie 2005'!$C$1:$D$53,2,FALSE)</f>
        <v>984</v>
      </c>
      <c r="I211" s="1440">
        <f t="shared" si="4"/>
        <v>984</v>
      </c>
    </row>
    <row r="212" spans="1:9" ht="12.75">
      <c r="A212" s="645" t="s">
        <v>1066</v>
      </c>
      <c r="B212" s="570" t="s">
        <v>1058</v>
      </c>
      <c r="C212" s="1434" t="s">
        <v>344</v>
      </c>
      <c r="D212" s="1438">
        <f>VLOOKUP(C212,'Opbrengstenregistratie 2005'!$C$1:$D$53,2,FALSE)</f>
        <v>2846</v>
      </c>
      <c r="I212" s="1440">
        <f t="shared" si="4"/>
        <v>2846</v>
      </c>
    </row>
    <row r="213" spans="1:9" ht="13.5" thickBot="1">
      <c r="A213" s="36" t="s">
        <v>1067</v>
      </c>
      <c r="B213" s="570" t="s">
        <v>1062</v>
      </c>
      <c r="C213" s="1434" t="s">
        <v>342</v>
      </c>
      <c r="D213" s="1438">
        <f>VLOOKUP(C213,'Opbrengstenregistratie 2005'!$C$1:$D$53,2,FALSE)</f>
        <v>1376</v>
      </c>
      <c r="I213" s="1441">
        <f t="shared" si="4"/>
        <v>1376</v>
      </c>
    </row>
    <row r="214" ht="12.75">
      <c r="I214" s="1438"/>
    </row>
    <row r="215" spans="2:9" ht="13.5" thickBot="1">
      <c r="B215" s="562" t="s">
        <v>1159</v>
      </c>
      <c r="I215" s="1438"/>
    </row>
    <row r="216" spans="1:9" ht="12.75">
      <c r="A216" s="1142" t="s">
        <v>932</v>
      </c>
      <c r="B216" s="652" t="s">
        <v>1160</v>
      </c>
      <c r="C216" s="1434" t="s">
        <v>256</v>
      </c>
      <c r="D216" s="1438">
        <f>VLOOKUP(C216,'Opbrengstenregistratie 2005'!$C$1:$D$53,2,FALSE)</f>
        <v>22</v>
      </c>
      <c r="I216" s="1439">
        <f t="shared" si="4"/>
        <v>22</v>
      </c>
    </row>
    <row r="217" spans="1:9" ht="12.75">
      <c r="A217" s="1142" t="s">
        <v>933</v>
      </c>
      <c r="B217" s="652" t="s">
        <v>1161</v>
      </c>
      <c r="C217" s="1434" t="s">
        <v>258</v>
      </c>
      <c r="D217" s="1438">
        <f>VLOOKUP(C217,'Opbrengstenregistratie 2005'!$C$1:$D$53,2,FALSE)</f>
        <v>168</v>
      </c>
      <c r="I217" s="1440">
        <f t="shared" si="4"/>
        <v>168</v>
      </c>
    </row>
    <row r="218" spans="1:9" ht="12.75">
      <c r="A218" s="1142" t="s">
        <v>934</v>
      </c>
      <c r="B218" s="652" t="s">
        <v>1162</v>
      </c>
      <c r="C218" s="1434" t="s">
        <v>260</v>
      </c>
      <c r="D218" s="1438">
        <f>VLOOKUP(C218,'Opbrengstenregistratie 2005'!$C$1:$D$53,2,FALSE)</f>
        <v>461</v>
      </c>
      <c r="I218" s="1440">
        <f t="shared" si="4"/>
        <v>461</v>
      </c>
    </row>
    <row r="219" spans="1:9" ht="12.75">
      <c r="A219" s="1142" t="s">
        <v>935</v>
      </c>
      <c r="B219" s="652" t="s">
        <v>1163</v>
      </c>
      <c r="C219" s="1434" t="s">
        <v>262</v>
      </c>
      <c r="D219" s="1438">
        <f>VLOOKUP(C219,'Opbrengstenregistratie 2005'!$C$1:$D$53,2,FALSE)</f>
        <v>159</v>
      </c>
      <c r="I219" s="1440">
        <f t="shared" si="4"/>
        <v>159</v>
      </c>
    </row>
    <row r="220" spans="1:9" ht="12.75">
      <c r="A220" s="1142" t="s">
        <v>936</v>
      </c>
      <c r="B220" s="652" t="s">
        <v>1164</v>
      </c>
      <c r="C220" s="1434" t="s">
        <v>254</v>
      </c>
      <c r="D220" s="1438">
        <f>VLOOKUP(C220,'Opbrengstenregistratie 2005'!$C$1:$D$53,2,FALSE)</f>
        <v>102</v>
      </c>
      <c r="I220" s="1440">
        <f t="shared" si="4"/>
        <v>102</v>
      </c>
    </row>
    <row r="221" spans="1:9" ht="12.75">
      <c r="A221" s="1142" t="s">
        <v>937</v>
      </c>
      <c r="B221" s="652" t="s">
        <v>1165</v>
      </c>
      <c r="C221" s="1434" t="s">
        <v>244</v>
      </c>
      <c r="D221" s="1438">
        <f>VLOOKUP(C221,'Opbrengstenregistratie 2005'!$C$1:$D$53,2,FALSE)</f>
        <v>95</v>
      </c>
      <c r="I221" s="1440">
        <f t="shared" si="4"/>
        <v>95</v>
      </c>
    </row>
    <row r="222" spans="1:9" ht="12.75">
      <c r="A222" s="1142" t="s">
        <v>164</v>
      </c>
      <c r="B222" s="652" t="s">
        <v>162</v>
      </c>
      <c r="C222" s="1434" t="s">
        <v>264</v>
      </c>
      <c r="D222" s="1438">
        <f>VLOOKUP(C222,'Opbrengstenregistratie 2005'!$C$1:$D$53,2,FALSE)</f>
        <v>51</v>
      </c>
      <c r="I222" s="1440">
        <f t="shared" si="4"/>
        <v>51</v>
      </c>
    </row>
    <row r="223" spans="1:9" ht="12.75">
      <c r="A223" s="1142" t="s">
        <v>938</v>
      </c>
      <c r="B223" s="652" t="s">
        <v>1166</v>
      </c>
      <c r="C223" s="1434" t="s">
        <v>252</v>
      </c>
      <c r="D223" s="1438">
        <f>VLOOKUP(C223,'Opbrengstenregistratie 2005'!$C$1:$D$53,2,FALSE)</f>
        <v>66</v>
      </c>
      <c r="I223" s="1440">
        <f t="shared" si="4"/>
        <v>66</v>
      </c>
    </row>
    <row r="224" spans="1:9" ht="12.75">
      <c r="A224" s="1142" t="s">
        <v>1112</v>
      </c>
      <c r="B224" s="652" t="s">
        <v>1167</v>
      </c>
      <c r="C224" s="1434" t="s">
        <v>248</v>
      </c>
      <c r="D224" s="1438">
        <f>VLOOKUP(C224,'Opbrengstenregistratie 2005'!$C$1:$D$53,2,FALSE)</f>
        <v>219</v>
      </c>
      <c r="I224" s="1440">
        <f t="shared" si="4"/>
        <v>219</v>
      </c>
    </row>
    <row r="225" spans="1:9" ht="12.75">
      <c r="A225" s="1142" t="s">
        <v>1113</v>
      </c>
      <c r="B225" s="652" t="s">
        <v>1168</v>
      </c>
      <c r="C225" s="1434" t="s">
        <v>250</v>
      </c>
      <c r="D225" s="1438">
        <f>VLOOKUP(C225,'Opbrengstenregistratie 2005'!$C$1:$D$53,2,FALSE)</f>
        <v>821</v>
      </c>
      <c r="I225" s="1440">
        <f t="shared" si="4"/>
        <v>821</v>
      </c>
    </row>
    <row r="226" spans="1:9" ht="13.5" thickBot="1">
      <c r="A226" s="1142" t="s">
        <v>1114</v>
      </c>
      <c r="B226" s="652" t="s">
        <v>146</v>
      </c>
      <c r="C226" s="1434" t="s">
        <v>246</v>
      </c>
      <c r="D226" s="1438">
        <f>VLOOKUP(C226,'Opbrengstenregistratie 2005'!$C$1:$D$53,2,FALSE)</f>
        <v>32</v>
      </c>
      <c r="I226" s="1441">
        <f t="shared" si="4"/>
        <v>32</v>
      </c>
    </row>
    <row r="227" spans="2:9" ht="12.75">
      <c r="B227" s="325"/>
      <c r="I227" s="1438"/>
    </row>
    <row r="228" spans="2:9" ht="13.5" thickBot="1">
      <c r="B228" s="562" t="s">
        <v>1170</v>
      </c>
      <c r="I228" s="1438"/>
    </row>
    <row r="229" spans="1:9" ht="12.75">
      <c r="A229" s="1142" t="s">
        <v>151</v>
      </c>
      <c r="B229" s="652" t="s">
        <v>1160</v>
      </c>
      <c r="C229" s="1434" t="s">
        <v>553</v>
      </c>
      <c r="D229" s="1438">
        <f>VLOOKUP(C229,'Opbrengstenregistratie 2005'!$C$1:$D$53,2,FALSE)</f>
        <v>22</v>
      </c>
      <c r="I229" s="1439">
        <f t="shared" si="4"/>
        <v>22</v>
      </c>
    </row>
    <row r="230" spans="1:9" ht="12.75">
      <c r="A230" s="1142" t="s">
        <v>152</v>
      </c>
      <c r="B230" s="652" t="s">
        <v>1161</v>
      </c>
      <c r="C230" s="1434" t="s">
        <v>555</v>
      </c>
      <c r="D230" s="1438">
        <f>VLOOKUP(C230,'Opbrengstenregistratie 2005'!$C$1:$D$53,2,FALSE)</f>
        <v>209</v>
      </c>
      <c r="I230" s="1440">
        <f t="shared" si="4"/>
        <v>209</v>
      </c>
    </row>
    <row r="231" spans="1:9" ht="12.75">
      <c r="A231" s="1142" t="s">
        <v>153</v>
      </c>
      <c r="B231" s="652" t="s">
        <v>1162</v>
      </c>
      <c r="C231" s="1434" t="s">
        <v>557</v>
      </c>
      <c r="D231" s="1438">
        <f>VLOOKUP(C231,'Opbrengstenregistratie 2005'!$C$1:$D$53,2,FALSE)</f>
        <v>434</v>
      </c>
      <c r="I231" s="1440">
        <f t="shared" si="4"/>
        <v>434</v>
      </c>
    </row>
    <row r="232" spans="1:9" ht="12.75">
      <c r="A232" s="1142" t="s">
        <v>154</v>
      </c>
      <c r="B232" s="652" t="s">
        <v>1163</v>
      </c>
      <c r="C232" s="1434" t="s">
        <v>559</v>
      </c>
      <c r="D232" s="1438">
        <f>VLOOKUP(C232,'Opbrengstenregistratie 2005'!$C$1:$D$53,2,FALSE)</f>
        <v>106</v>
      </c>
      <c r="I232" s="1440">
        <f t="shared" si="4"/>
        <v>106</v>
      </c>
    </row>
    <row r="233" spans="1:9" ht="12.75">
      <c r="A233" s="1142" t="s">
        <v>155</v>
      </c>
      <c r="B233" s="652" t="s">
        <v>1164</v>
      </c>
      <c r="C233" s="1434" t="s">
        <v>551</v>
      </c>
      <c r="D233" s="1438">
        <f>VLOOKUP(C233,'Opbrengstenregistratie 2005'!$C$1:$D$53,2,FALSE)</f>
        <v>71</v>
      </c>
      <c r="I233" s="1440">
        <f t="shared" si="4"/>
        <v>71</v>
      </c>
    </row>
    <row r="234" spans="1:9" ht="12.75">
      <c r="A234" s="1142" t="s">
        <v>156</v>
      </c>
      <c r="B234" s="652" t="s">
        <v>1165</v>
      </c>
      <c r="C234" s="1434" t="s">
        <v>541</v>
      </c>
      <c r="D234" s="1438">
        <f>VLOOKUP(C234,'Opbrengstenregistratie 2005'!$C$1:$D$53,2,FALSE)</f>
        <v>89</v>
      </c>
      <c r="I234" s="1440">
        <f t="shared" si="4"/>
        <v>89</v>
      </c>
    </row>
    <row r="235" spans="1:9" ht="12.75">
      <c r="A235" s="1142" t="s">
        <v>702</v>
      </c>
      <c r="B235" s="652" t="s">
        <v>162</v>
      </c>
      <c r="C235" s="1434" t="s">
        <v>561</v>
      </c>
      <c r="D235" s="1438">
        <f>VLOOKUP(C235,'Opbrengstenregistratie 2005'!$C$1:$D$53,2,FALSE)</f>
        <v>49</v>
      </c>
      <c r="I235" s="1440">
        <f t="shared" si="4"/>
        <v>49</v>
      </c>
    </row>
    <row r="236" spans="1:9" ht="12.75">
      <c r="A236" s="1142" t="s">
        <v>158</v>
      </c>
      <c r="B236" s="652" t="s">
        <v>1166</v>
      </c>
      <c r="C236" s="1434" t="s">
        <v>549</v>
      </c>
      <c r="D236" s="1438">
        <f>VLOOKUP(C236,'Opbrengstenregistratie 2005'!$C$1:$D$53,2,FALSE)</f>
        <v>61</v>
      </c>
      <c r="I236" s="1440">
        <f t="shared" si="4"/>
        <v>61</v>
      </c>
    </row>
    <row r="237" spans="1:9" ht="12.75">
      <c r="A237" s="1142" t="s">
        <v>159</v>
      </c>
      <c r="B237" s="652" t="s">
        <v>1167</v>
      </c>
      <c r="C237" s="1434" t="s">
        <v>545</v>
      </c>
      <c r="D237" s="1438">
        <f>VLOOKUP(C237,'Opbrengstenregistratie 2005'!$C$1:$D$53,2,FALSE)</f>
        <v>216</v>
      </c>
      <c r="I237" s="1440">
        <f t="shared" si="4"/>
        <v>216</v>
      </c>
    </row>
    <row r="238" spans="1:9" ht="12.75">
      <c r="A238" s="1142" t="s">
        <v>160</v>
      </c>
      <c r="B238" s="652" t="s">
        <v>1168</v>
      </c>
      <c r="C238" s="1434" t="s">
        <v>547</v>
      </c>
      <c r="D238" s="1438">
        <f>VLOOKUP(C238,'Opbrengstenregistratie 2005'!$C$1:$D$53,2,FALSE)</f>
        <v>809</v>
      </c>
      <c r="I238" s="1440">
        <f t="shared" si="4"/>
        <v>809</v>
      </c>
    </row>
    <row r="239" spans="1:9" ht="13.5" thickBot="1">
      <c r="A239" s="1142" t="s">
        <v>161</v>
      </c>
      <c r="B239" s="652" t="s">
        <v>146</v>
      </c>
      <c r="C239" s="1434" t="s">
        <v>543</v>
      </c>
      <c r="D239" s="1438">
        <f>VLOOKUP(C239,'Opbrengstenregistratie 2005'!$C$1:$D$53,2,FALSE)</f>
        <v>34</v>
      </c>
      <c r="I239" s="1441">
        <f t="shared" si="4"/>
        <v>34</v>
      </c>
    </row>
    <row r="240" ht="12.75">
      <c r="I240" s="1438"/>
    </row>
    <row r="241" spans="2:9" ht="13.5" thickBot="1">
      <c r="B241" s="562" t="s">
        <v>1171</v>
      </c>
      <c r="I241" s="1438"/>
    </row>
    <row r="242" spans="1:9" ht="12.75">
      <c r="A242" s="1142" t="s">
        <v>151</v>
      </c>
      <c r="B242" s="652" t="s">
        <v>1160</v>
      </c>
      <c r="C242" s="1434" t="s">
        <v>553</v>
      </c>
      <c r="D242" s="1438">
        <f>VLOOKUP(C242,'Opbrengstenregistratie 2005'!$C$1:$D$53,2,FALSE)</f>
        <v>22</v>
      </c>
      <c r="I242" s="1439">
        <f t="shared" si="4"/>
        <v>22</v>
      </c>
    </row>
    <row r="243" spans="1:9" ht="12.75">
      <c r="A243" s="1142" t="s">
        <v>152</v>
      </c>
      <c r="B243" s="652" t="s">
        <v>1161</v>
      </c>
      <c r="C243" s="1434" t="s">
        <v>555</v>
      </c>
      <c r="D243" s="1438">
        <f>VLOOKUP(C243,'Opbrengstenregistratie 2005'!$C$1:$D$53,2,FALSE)</f>
        <v>209</v>
      </c>
      <c r="I243" s="1440">
        <f t="shared" si="4"/>
        <v>209</v>
      </c>
    </row>
    <row r="244" spans="1:9" ht="12.75">
      <c r="A244" s="1142" t="s">
        <v>153</v>
      </c>
      <c r="B244" s="652" t="s">
        <v>1162</v>
      </c>
      <c r="C244" s="1434" t="s">
        <v>557</v>
      </c>
      <c r="D244" s="1438">
        <f>VLOOKUP(C244,'Opbrengstenregistratie 2005'!$C$1:$D$53,2,FALSE)</f>
        <v>434</v>
      </c>
      <c r="I244" s="1440">
        <f t="shared" si="4"/>
        <v>434</v>
      </c>
    </row>
    <row r="245" spans="1:9" ht="12.75">
      <c r="A245" s="1142" t="s">
        <v>154</v>
      </c>
      <c r="B245" s="652" t="s">
        <v>1163</v>
      </c>
      <c r="C245" s="1434" t="s">
        <v>559</v>
      </c>
      <c r="D245" s="1438">
        <f>VLOOKUP(C245,'Opbrengstenregistratie 2005'!$C$1:$D$53,2,FALSE)</f>
        <v>106</v>
      </c>
      <c r="I245" s="1440">
        <f t="shared" si="4"/>
        <v>106</v>
      </c>
    </row>
    <row r="246" spans="1:9" ht="12.75">
      <c r="A246" s="1142" t="s">
        <v>155</v>
      </c>
      <c r="B246" s="652" t="s">
        <v>1164</v>
      </c>
      <c r="C246" s="1434" t="s">
        <v>551</v>
      </c>
      <c r="D246" s="1438">
        <f>VLOOKUP(C246,'Opbrengstenregistratie 2005'!$C$1:$D$53,2,FALSE)</f>
        <v>71</v>
      </c>
      <c r="I246" s="1440">
        <f t="shared" si="4"/>
        <v>71</v>
      </c>
    </row>
    <row r="247" spans="1:9" ht="12.75">
      <c r="A247" s="1142" t="s">
        <v>156</v>
      </c>
      <c r="B247" s="652" t="s">
        <v>1165</v>
      </c>
      <c r="C247" s="1434" t="s">
        <v>541</v>
      </c>
      <c r="D247" s="1438">
        <f>VLOOKUP(C247,'Opbrengstenregistratie 2005'!$C$1:$D$53,2,FALSE)</f>
        <v>89</v>
      </c>
      <c r="I247" s="1440">
        <f t="shared" si="4"/>
        <v>89</v>
      </c>
    </row>
    <row r="248" spans="1:9" ht="12.75">
      <c r="A248" s="1142" t="s">
        <v>702</v>
      </c>
      <c r="B248" s="652" t="s">
        <v>162</v>
      </c>
      <c r="C248" s="1434" t="s">
        <v>561</v>
      </c>
      <c r="D248" s="1438">
        <f>VLOOKUP(C248,'Opbrengstenregistratie 2005'!$C$1:$D$53,2,FALSE)</f>
        <v>49</v>
      </c>
      <c r="I248" s="1440">
        <f t="shared" si="4"/>
        <v>49</v>
      </c>
    </row>
    <row r="249" spans="1:9" ht="12.75">
      <c r="A249" s="1142" t="s">
        <v>158</v>
      </c>
      <c r="B249" s="652" t="s">
        <v>1166</v>
      </c>
      <c r="C249" s="1434" t="s">
        <v>549</v>
      </c>
      <c r="D249" s="1438">
        <f>VLOOKUP(C249,'Opbrengstenregistratie 2005'!$C$1:$D$53,2,FALSE)</f>
        <v>61</v>
      </c>
      <c r="I249" s="1440">
        <f t="shared" si="4"/>
        <v>61</v>
      </c>
    </row>
    <row r="250" spans="1:9" ht="12.75">
      <c r="A250" s="1142" t="s">
        <v>159</v>
      </c>
      <c r="B250" s="652" t="s">
        <v>1167</v>
      </c>
      <c r="C250" s="1434" t="s">
        <v>545</v>
      </c>
      <c r="D250" s="1438">
        <f>VLOOKUP(C250,'Opbrengstenregistratie 2005'!$C$1:$D$53,2,FALSE)</f>
        <v>216</v>
      </c>
      <c r="I250" s="1440">
        <f t="shared" si="4"/>
        <v>216</v>
      </c>
    </row>
    <row r="251" spans="1:9" ht="12.75">
      <c r="A251" s="1142" t="s">
        <v>160</v>
      </c>
      <c r="B251" s="652" t="s">
        <v>1168</v>
      </c>
      <c r="C251" s="1434" t="s">
        <v>547</v>
      </c>
      <c r="D251" s="1438">
        <f>VLOOKUP(C251,'Opbrengstenregistratie 2005'!$C$1:$D$53,2,FALSE)</f>
        <v>809</v>
      </c>
      <c r="I251" s="1440">
        <f t="shared" si="4"/>
        <v>809</v>
      </c>
    </row>
    <row r="252" spans="1:9" ht="13.5" thickBot="1">
      <c r="A252" s="1142" t="s">
        <v>161</v>
      </c>
      <c r="B252" s="652" t="s">
        <v>146</v>
      </c>
      <c r="C252" s="1434" t="s">
        <v>543</v>
      </c>
      <c r="D252" s="1438">
        <f>VLOOKUP(C252,'Opbrengstenregistratie 2005'!$C$1:$D$53,2,FALSE)</f>
        <v>34</v>
      </c>
      <c r="I252" s="1441">
        <f t="shared" si="4"/>
        <v>34</v>
      </c>
    </row>
    <row r="253" ht="12.75">
      <c r="I253" s="1438"/>
    </row>
    <row r="254" spans="2:9" ht="13.5" thickBot="1">
      <c r="B254" s="132" t="s">
        <v>1172</v>
      </c>
      <c r="I254" s="1438"/>
    </row>
    <row r="255" spans="1:9" ht="12.75">
      <c r="A255" s="1142" t="s">
        <v>151</v>
      </c>
      <c r="B255" s="652" t="s">
        <v>1160</v>
      </c>
      <c r="C255" s="1434" t="s">
        <v>553</v>
      </c>
      <c r="D255" s="1438">
        <f>VLOOKUP(C255,'Opbrengstenregistratie 2005'!$C$1:$D$53,2,FALSE)</f>
        <v>22</v>
      </c>
      <c r="I255" s="1439">
        <f aca="true" t="shared" si="5" ref="I255:I286">D255</f>
        <v>22</v>
      </c>
    </row>
    <row r="256" spans="1:9" ht="12.75">
      <c r="A256" s="1142" t="s">
        <v>152</v>
      </c>
      <c r="B256" s="652" t="s">
        <v>1161</v>
      </c>
      <c r="C256" s="1434" t="s">
        <v>555</v>
      </c>
      <c r="D256" s="1438">
        <f>VLOOKUP(C256,'Opbrengstenregistratie 2005'!$C$1:$D$53,2,FALSE)</f>
        <v>209</v>
      </c>
      <c r="I256" s="1440">
        <f t="shared" si="5"/>
        <v>209</v>
      </c>
    </row>
    <row r="257" spans="1:9" ht="12.75">
      <c r="A257" s="1142" t="s">
        <v>153</v>
      </c>
      <c r="B257" s="652" t="s">
        <v>1162</v>
      </c>
      <c r="C257" s="1434" t="s">
        <v>557</v>
      </c>
      <c r="D257" s="1438">
        <f>VLOOKUP(C257,'Opbrengstenregistratie 2005'!$C$1:$D$53,2,FALSE)</f>
        <v>434</v>
      </c>
      <c r="I257" s="1440">
        <f t="shared" si="5"/>
        <v>434</v>
      </c>
    </row>
    <row r="258" spans="1:9" ht="12.75">
      <c r="A258" s="1142" t="s">
        <v>154</v>
      </c>
      <c r="B258" s="652" t="s">
        <v>1163</v>
      </c>
      <c r="C258" s="1434" t="s">
        <v>559</v>
      </c>
      <c r="D258" s="1438">
        <f>VLOOKUP(C258,'Opbrengstenregistratie 2005'!$C$1:$D$53,2,FALSE)</f>
        <v>106</v>
      </c>
      <c r="I258" s="1440">
        <f t="shared" si="5"/>
        <v>106</v>
      </c>
    </row>
    <row r="259" spans="1:9" ht="12.75">
      <c r="A259" s="1142" t="s">
        <v>155</v>
      </c>
      <c r="B259" s="652" t="s">
        <v>1164</v>
      </c>
      <c r="C259" s="1434" t="s">
        <v>551</v>
      </c>
      <c r="D259" s="1438">
        <f>VLOOKUP(C259,'Opbrengstenregistratie 2005'!$C$1:$D$53,2,FALSE)</f>
        <v>71</v>
      </c>
      <c r="I259" s="1440">
        <f t="shared" si="5"/>
        <v>71</v>
      </c>
    </row>
    <row r="260" spans="1:9" ht="12.75">
      <c r="A260" s="1142" t="s">
        <v>156</v>
      </c>
      <c r="B260" s="652" t="s">
        <v>1165</v>
      </c>
      <c r="C260" s="1434" t="s">
        <v>541</v>
      </c>
      <c r="D260" s="1438">
        <f>VLOOKUP(C260,'Opbrengstenregistratie 2005'!$C$1:$D$53,2,FALSE)</f>
        <v>89</v>
      </c>
      <c r="I260" s="1440">
        <f t="shared" si="5"/>
        <v>89</v>
      </c>
    </row>
    <row r="261" spans="1:9" ht="12.75">
      <c r="A261" s="1142" t="s">
        <v>702</v>
      </c>
      <c r="B261" s="652" t="s">
        <v>162</v>
      </c>
      <c r="C261" s="1434" t="s">
        <v>561</v>
      </c>
      <c r="D261" s="1438">
        <f>VLOOKUP(C261,'Opbrengstenregistratie 2005'!$C$1:$D$53,2,FALSE)</f>
        <v>49</v>
      </c>
      <c r="I261" s="1440">
        <f t="shared" si="5"/>
        <v>49</v>
      </c>
    </row>
    <row r="262" spans="1:9" ht="12.75">
      <c r="A262" s="1142" t="s">
        <v>158</v>
      </c>
      <c r="B262" s="652" t="s">
        <v>1166</v>
      </c>
      <c r="C262" s="1434" t="s">
        <v>549</v>
      </c>
      <c r="D262" s="1438">
        <f>VLOOKUP(C262,'Opbrengstenregistratie 2005'!$C$1:$D$53,2,FALSE)</f>
        <v>61</v>
      </c>
      <c r="I262" s="1440">
        <f t="shared" si="5"/>
        <v>61</v>
      </c>
    </row>
    <row r="263" spans="1:9" ht="12.75">
      <c r="A263" s="1142" t="s">
        <v>159</v>
      </c>
      <c r="B263" s="652" t="s">
        <v>1167</v>
      </c>
      <c r="C263" s="1434" t="s">
        <v>545</v>
      </c>
      <c r="D263" s="1438">
        <f>VLOOKUP(C263,'Opbrengstenregistratie 2005'!$C$1:$D$53,2,FALSE)</f>
        <v>216</v>
      </c>
      <c r="I263" s="1440">
        <f t="shared" si="5"/>
        <v>216</v>
      </c>
    </row>
    <row r="264" spans="1:9" ht="12.75">
      <c r="A264" s="1142" t="s">
        <v>160</v>
      </c>
      <c r="B264" s="652" t="s">
        <v>1168</v>
      </c>
      <c r="C264" s="1434" t="s">
        <v>547</v>
      </c>
      <c r="D264" s="1438">
        <f>VLOOKUP(C264,'Opbrengstenregistratie 2005'!$C$1:$D$53,2,FALSE)</f>
        <v>809</v>
      </c>
      <c r="I264" s="1440">
        <f t="shared" si="5"/>
        <v>809</v>
      </c>
    </row>
    <row r="265" spans="1:9" ht="13.5" thickBot="1">
      <c r="A265" s="1142" t="s">
        <v>161</v>
      </c>
      <c r="B265" s="652" t="s">
        <v>146</v>
      </c>
      <c r="C265" s="1434" t="s">
        <v>543</v>
      </c>
      <c r="D265" s="1438">
        <f>VLOOKUP(C265,'Opbrengstenregistratie 2005'!$C$1:$D$53,2,FALSE)</f>
        <v>34</v>
      </c>
      <c r="I265" s="1441">
        <f t="shared" si="5"/>
        <v>34</v>
      </c>
    </row>
    <row r="266" ht="12.75">
      <c r="I266" s="1438"/>
    </row>
    <row r="267" spans="2:9" ht="13.5" thickBot="1">
      <c r="B267" s="562" t="s">
        <v>1173</v>
      </c>
      <c r="I267" s="1438"/>
    </row>
    <row r="268" spans="1:9" ht="12.75">
      <c r="A268" s="1142" t="s">
        <v>1044</v>
      </c>
      <c r="B268" s="652" t="s">
        <v>1160</v>
      </c>
      <c r="C268" s="1434" t="s">
        <v>236</v>
      </c>
      <c r="D268" s="1438">
        <f>VLOOKUP(C268,'Opbrengstenregistratie 2005'!$C$1:$D$53,2,FALSE)</f>
        <v>22</v>
      </c>
      <c r="I268" s="1439">
        <f t="shared" si="5"/>
        <v>22</v>
      </c>
    </row>
    <row r="269" spans="1:9" ht="12.75">
      <c r="A269" s="1142" t="s">
        <v>947</v>
      </c>
      <c r="B269" s="652" t="s">
        <v>1161</v>
      </c>
      <c r="C269" s="1434" t="s">
        <v>238</v>
      </c>
      <c r="D269" s="1438">
        <f>VLOOKUP(C269,'Opbrengstenregistratie 2005'!$C$1:$D$53,2,FALSE)</f>
        <v>400</v>
      </c>
      <c r="I269" s="1440">
        <f t="shared" si="5"/>
        <v>400</v>
      </c>
    </row>
    <row r="270" spans="1:9" ht="12.75">
      <c r="A270" s="1142" t="s">
        <v>948</v>
      </c>
      <c r="B270" s="652" t="s">
        <v>1163</v>
      </c>
      <c r="C270" s="1434" t="s">
        <v>240</v>
      </c>
      <c r="D270" s="1438">
        <f>VLOOKUP(C270,'Opbrengstenregistratie 2005'!$C$1:$D$53,2,FALSE)</f>
        <v>210</v>
      </c>
      <c r="I270" s="1440">
        <f t="shared" si="5"/>
        <v>210</v>
      </c>
    </row>
    <row r="271" spans="1:9" ht="12.75">
      <c r="A271" s="1142" t="s">
        <v>949</v>
      </c>
      <c r="B271" s="652" t="s">
        <v>1164</v>
      </c>
      <c r="C271" s="1434" t="s">
        <v>234</v>
      </c>
      <c r="D271" s="1438">
        <f>VLOOKUP(C271,'Opbrengstenregistratie 2005'!$C$1:$D$53,2,FALSE)</f>
        <v>124</v>
      </c>
      <c r="I271" s="1440">
        <f t="shared" si="5"/>
        <v>124</v>
      </c>
    </row>
    <row r="272" spans="1:9" ht="12.75">
      <c r="A272" s="1142" t="s">
        <v>950</v>
      </c>
      <c r="B272" s="652" t="s">
        <v>1165</v>
      </c>
      <c r="C272" s="1434" t="s">
        <v>228</v>
      </c>
      <c r="D272" s="1438">
        <f>VLOOKUP(C272,'Opbrengstenregistratie 2005'!$C$1:$D$53,2,FALSE)</f>
        <v>114</v>
      </c>
      <c r="I272" s="1440">
        <f t="shared" si="5"/>
        <v>114</v>
      </c>
    </row>
    <row r="273" spans="1:9" ht="12.75">
      <c r="A273" s="1142" t="s">
        <v>167</v>
      </c>
      <c r="B273" s="652" t="s">
        <v>162</v>
      </c>
      <c r="C273" s="1434" t="s">
        <v>242</v>
      </c>
      <c r="D273" s="1438">
        <f>VLOOKUP(C273,'Opbrengstenregistratie 2005'!$C$1:$D$53,2,FALSE)</f>
        <v>61</v>
      </c>
      <c r="I273" s="1440">
        <f t="shared" si="5"/>
        <v>61</v>
      </c>
    </row>
    <row r="274" spans="1:9" ht="12.75">
      <c r="A274" s="1142" t="s">
        <v>1043</v>
      </c>
      <c r="B274" s="652" t="s">
        <v>1166</v>
      </c>
      <c r="C274" s="1434" t="s">
        <v>232</v>
      </c>
      <c r="D274" s="1438">
        <f>VLOOKUP(C274,'Opbrengstenregistratie 2005'!$C$1:$D$53,2,FALSE)</f>
        <v>80</v>
      </c>
      <c r="I274" s="1440">
        <f t="shared" si="5"/>
        <v>80</v>
      </c>
    </row>
    <row r="275" spans="1:9" ht="13.5" thickBot="1">
      <c r="A275" s="1142" t="s">
        <v>168</v>
      </c>
      <c r="B275" s="652" t="s">
        <v>146</v>
      </c>
      <c r="C275" s="1434" t="s">
        <v>230</v>
      </c>
      <c r="D275" s="1438">
        <f>VLOOKUP(C275,'Opbrengstenregistratie 2005'!$C$1:$D$53,2,FALSE)</f>
        <v>93</v>
      </c>
      <c r="I275" s="1441">
        <f t="shared" si="5"/>
        <v>93</v>
      </c>
    </row>
    <row r="276" spans="2:9" ht="12.75">
      <c r="B276" s="325"/>
      <c r="I276" s="1438"/>
    </row>
    <row r="277" spans="2:9" ht="13.5" thickBot="1">
      <c r="B277" s="325"/>
      <c r="I277" s="1438"/>
    </row>
    <row r="278" spans="1:9" ht="12.75">
      <c r="A278" s="1143" t="s">
        <v>123</v>
      </c>
      <c r="B278" s="1446" t="s">
        <v>171</v>
      </c>
      <c r="C278" s="1434" t="s">
        <v>524</v>
      </c>
      <c r="D278" s="1438">
        <f>VLOOKUP(C278,'Opbrengstenregistratie 2005'!$C$1:$D$53,2,FALSE)</f>
        <v>73</v>
      </c>
      <c r="I278" s="1439">
        <f t="shared" si="5"/>
        <v>73</v>
      </c>
    </row>
    <row r="279" spans="1:9" ht="13.5" thickBot="1">
      <c r="A279" s="1143" t="s">
        <v>123</v>
      </c>
      <c r="B279" s="1446" t="s">
        <v>172</v>
      </c>
      <c r="C279" s="1434" t="s">
        <v>524</v>
      </c>
      <c r="D279" s="1438">
        <f>VLOOKUP(C279,'Opbrengstenregistratie 2005'!$C$1:$D$53,2,FALSE)</f>
        <v>73</v>
      </c>
      <c r="I279" s="1441">
        <f t="shared" si="5"/>
        <v>73</v>
      </c>
    </row>
    <row r="280" ht="12.75">
      <c r="I280" s="1438"/>
    </row>
    <row r="281" spans="2:9" ht="13.5" thickBot="1">
      <c r="B281" s="562" t="s">
        <v>596</v>
      </c>
      <c r="I281" s="1438"/>
    </row>
    <row r="282" spans="1:9" ht="12.75">
      <c r="A282" s="1142" t="s">
        <v>118</v>
      </c>
      <c r="B282" s="570" t="s">
        <v>169</v>
      </c>
      <c r="C282" s="1434" t="s">
        <v>526</v>
      </c>
      <c r="D282" s="1438">
        <f>VLOOKUP(C282,'Opbrengstenregistratie 2005'!$C$1:$D$53,2,FALSE)</f>
        <v>131.3</v>
      </c>
      <c r="I282" s="1439">
        <f t="shared" si="5"/>
        <v>131.3</v>
      </c>
    </row>
    <row r="283" spans="1:9" ht="12.75">
      <c r="A283" s="1142" t="s">
        <v>118</v>
      </c>
      <c r="B283" s="570" t="s">
        <v>170</v>
      </c>
      <c r="C283" s="1434" t="s">
        <v>526</v>
      </c>
      <c r="D283" s="1438">
        <f>VLOOKUP(C283,'Opbrengstenregistratie 2005'!$C$1:$D$53,2,FALSE)</f>
        <v>131.3</v>
      </c>
      <c r="I283" s="1440">
        <f t="shared" si="5"/>
        <v>131.3</v>
      </c>
    </row>
    <row r="284" spans="1:9" ht="12.75">
      <c r="A284" s="1142" t="s">
        <v>120</v>
      </c>
      <c r="B284" s="570" t="s">
        <v>597</v>
      </c>
      <c r="C284" s="1434" t="s">
        <v>288</v>
      </c>
      <c r="D284" s="1438">
        <f>VLOOKUP(C284,'Opbrengstenregistratie 2005'!$C$1:$D$53,2,FALSE)</f>
        <v>150.6</v>
      </c>
      <c r="I284" s="1440">
        <f t="shared" si="5"/>
        <v>150.6</v>
      </c>
    </row>
    <row r="285" spans="1:9" ht="12.75">
      <c r="A285" s="1142" t="s">
        <v>121</v>
      </c>
      <c r="B285" s="777" t="s">
        <v>598</v>
      </c>
      <c r="C285" s="1434" t="s">
        <v>428</v>
      </c>
      <c r="D285" s="1438">
        <f>VLOOKUP(C285,'Opbrengstenregistratie 2005'!$C$1:$D$53,2,FALSE)</f>
        <v>79</v>
      </c>
      <c r="I285" s="1440">
        <f t="shared" si="5"/>
        <v>79</v>
      </c>
    </row>
    <row r="286" spans="1:9" ht="13.5" thickBot="1">
      <c r="A286" s="645" t="s">
        <v>75</v>
      </c>
      <c r="B286" s="570" t="s">
        <v>599</v>
      </c>
      <c r="C286" s="1434" t="s">
        <v>437</v>
      </c>
      <c r="D286" s="1438">
        <f>VLOOKUP(C286,'Opbrengstenregistratie 2005'!$C$1:$D$53,2,FALSE)</f>
        <v>8</v>
      </c>
      <c r="I286" s="1441">
        <f t="shared" si="5"/>
        <v>8</v>
      </c>
    </row>
    <row r="287" ht="13.5" thickBot="1"/>
    <row r="288" spans="1:9" ht="12.75">
      <c r="A288" s="237" t="s">
        <v>1074</v>
      </c>
      <c r="B288" s="1454" t="s">
        <v>1075</v>
      </c>
      <c r="D288" s="1450">
        <v>146</v>
      </c>
      <c r="I288" s="1450">
        <f>D288</f>
        <v>146</v>
      </c>
    </row>
    <row r="289" spans="1:9" ht="13.5" thickBot="1">
      <c r="A289" s="652" t="s">
        <v>631</v>
      </c>
      <c r="B289" s="1455" t="s">
        <v>68</v>
      </c>
      <c r="D289" s="1449">
        <v>14.1</v>
      </c>
      <c r="I289" s="1449">
        <f>D289</f>
        <v>14.1</v>
      </c>
    </row>
  </sheetData>
  <sheetProtection password="958F"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Blad2"/>
  <dimension ref="A1:T69"/>
  <sheetViews>
    <sheetView showGridLines="0" tabSelected="1" zoomScale="86" zoomScaleNormal="86" workbookViewId="0" topLeftCell="A1">
      <selection activeCell="A1" sqref="A1"/>
    </sheetView>
  </sheetViews>
  <sheetFormatPr defaultColWidth="9.140625" defaultRowHeight="12.75"/>
  <cols>
    <col min="1" max="1" width="6.7109375" style="440" customWidth="1"/>
    <col min="2" max="2" width="6.7109375" style="436" customWidth="1"/>
    <col min="3" max="4" width="8.140625" style="440" customWidth="1"/>
    <col min="5" max="5" width="26.28125" style="440" customWidth="1"/>
    <col min="6" max="7" width="6.7109375" style="440" customWidth="1"/>
    <col min="8" max="8" width="2.7109375" style="440" customWidth="1"/>
    <col min="9" max="9" width="6.7109375" style="440" customWidth="1"/>
    <col min="10" max="10" width="6.7109375" style="436" customWidth="1"/>
    <col min="11" max="11" width="8.57421875" style="436" customWidth="1"/>
    <col min="12" max="12" width="10.7109375" style="436" customWidth="1"/>
    <col min="13" max="13" width="24.7109375" style="436" customWidth="1"/>
    <col min="14" max="15" width="6.7109375" style="440" customWidth="1"/>
    <col min="16" max="16384" width="9.140625" style="440" customWidth="1"/>
  </cols>
  <sheetData>
    <row r="1" spans="1:15" s="523" customFormat="1" ht="15" customHeight="1">
      <c r="A1" s="733" t="s">
        <v>69</v>
      </c>
      <c r="B1" s="734"/>
      <c r="C1" s="734"/>
      <c r="D1" s="734"/>
      <c r="E1" s="734"/>
      <c r="F1" s="735"/>
      <c r="G1" s="1363"/>
      <c r="H1" s="736"/>
      <c r="I1" s="736"/>
      <c r="J1" s="737"/>
      <c r="K1" s="737"/>
      <c r="L1" s="737"/>
      <c r="M1" s="737"/>
      <c r="N1" s="736"/>
      <c r="O1" s="736"/>
    </row>
    <row r="2" spans="1:15" s="524" customFormat="1" ht="12.75" customHeight="1">
      <c r="A2" s="738"/>
      <c r="B2" s="738"/>
      <c r="C2" s="738"/>
      <c r="D2" s="738"/>
      <c r="E2" s="738"/>
      <c r="F2" s="738"/>
      <c r="G2" s="738"/>
      <c r="H2" s="738"/>
      <c r="I2" s="738"/>
      <c r="J2" s="739"/>
      <c r="K2" s="739"/>
      <c r="L2" s="739"/>
      <c r="M2" s="739"/>
      <c r="N2" s="738"/>
      <c r="O2" s="738"/>
    </row>
    <row r="3" spans="1:16" ht="25.5">
      <c r="A3" s="740" t="s">
        <v>1027</v>
      </c>
      <c r="B3" s="740"/>
      <c r="C3" s="740"/>
      <c r="D3" s="740"/>
      <c r="E3" s="741">
        <v>2005</v>
      </c>
      <c r="F3" s="742" t="str">
        <f>CONCATENATE("INZENDEN VOOR 1 OKTOBER ",E3+1)</f>
        <v>INZENDEN VOOR 1 OKTOBER 2006</v>
      </c>
      <c r="G3" s="743"/>
      <c r="H3" s="744"/>
      <c r="I3" s="744"/>
      <c r="J3" s="745"/>
      <c r="K3" s="745"/>
      <c r="L3" s="745"/>
      <c r="M3" s="746">
        <f>IF(OR(Voorblad!E3=2004,Voorblad!E3=2008,Voorblad!E3=2012),366,365)</f>
        <v>365</v>
      </c>
      <c r="N3" s="745"/>
      <c r="O3" s="745"/>
      <c r="P3" s="463"/>
    </row>
    <row r="4" spans="1:15" ht="12.75">
      <c r="A4" s="692"/>
      <c r="B4" s="2"/>
      <c r="C4" s="692"/>
      <c r="D4" s="692"/>
      <c r="E4" s="692"/>
      <c r="F4" s="692"/>
      <c r="G4" s="692"/>
      <c r="H4" s="747"/>
      <c r="I4" s="692"/>
      <c r="J4" s="2"/>
      <c r="K4" s="2"/>
      <c r="L4" s="2"/>
      <c r="M4" s="2"/>
      <c r="N4" s="692"/>
      <c r="O4" s="692"/>
    </row>
    <row r="5" spans="1:15" s="436" customFormat="1" ht="20.25" customHeight="1">
      <c r="A5" s="1311" t="s">
        <v>133</v>
      </c>
      <c r="B5" s="2"/>
      <c r="C5" s="2"/>
      <c r="D5" s="2"/>
      <c r="E5" s="2"/>
      <c r="F5" s="2"/>
      <c r="G5" s="933"/>
      <c r="H5" s="5"/>
      <c r="I5" s="2"/>
      <c r="J5" s="2"/>
      <c r="K5" s="2"/>
      <c r="L5" s="2"/>
      <c r="M5" s="1617" t="s">
        <v>1038</v>
      </c>
      <c r="N5" s="1618"/>
      <c r="O5" s="1619"/>
    </row>
    <row r="6" spans="1:15" s="436" customFormat="1" ht="15.75">
      <c r="A6" s="1312" t="s">
        <v>1406</v>
      </c>
      <c r="B6" s="2"/>
      <c r="C6" s="2"/>
      <c r="D6" s="2"/>
      <c r="E6" s="2"/>
      <c r="F6" s="2"/>
      <c r="G6" s="2"/>
      <c r="H6" s="5"/>
      <c r="I6" s="2"/>
      <c r="J6" s="2"/>
      <c r="K6" s="2"/>
      <c r="L6" s="1059" t="s">
        <v>1039</v>
      </c>
      <c r="M6" s="1599" t="str">
        <f>CONCATENATE(RIGHT(E3,4),"-5/1")</f>
        <v>2005-5/1</v>
      </c>
      <c r="N6" s="1600"/>
      <c r="O6" s="1601"/>
    </row>
    <row r="7" spans="1:15" s="436" customFormat="1" ht="12.75">
      <c r="A7" s="2"/>
      <c r="B7" s="2"/>
      <c r="C7" s="2"/>
      <c r="D7" s="2"/>
      <c r="E7" s="2"/>
      <c r="F7" s="2"/>
      <c r="G7" s="2"/>
      <c r="H7" s="5"/>
      <c r="I7" s="2"/>
      <c r="J7" s="2"/>
      <c r="K7" s="2"/>
      <c r="L7" s="748" t="s">
        <v>836</v>
      </c>
      <c r="M7" s="1602"/>
      <c r="N7" s="1603"/>
      <c r="O7" s="1604"/>
    </row>
    <row r="8" spans="1:15" s="436" customFormat="1" ht="12.75">
      <c r="A8" s="1620" t="str">
        <f>IF(OR($G9=0),"U dient het CTG/ZAio-nummer in te vullen.","")</f>
        <v>U dient het CTG/ZAio-nummer in te vullen.</v>
      </c>
      <c r="B8" s="1621"/>
      <c r="C8" s="1621"/>
      <c r="D8" s="1621"/>
      <c r="E8" s="1605"/>
      <c r="F8" s="1292" t="s">
        <v>1111</v>
      </c>
      <c r="G8" s="1298" t="s">
        <v>1110</v>
      </c>
      <c r="H8" s="5"/>
      <c r="I8" s="2"/>
      <c r="J8" s="2"/>
      <c r="K8" s="2"/>
      <c r="L8" s="949" t="s">
        <v>1037</v>
      </c>
      <c r="M8" s="1612"/>
      <c r="N8" s="1613"/>
      <c r="O8" s="1614"/>
    </row>
    <row r="9" spans="1:15" s="463" customFormat="1" ht="12.75">
      <c r="A9" s="1293" t="s">
        <v>706</v>
      </c>
      <c r="B9" s="351"/>
      <c r="C9" s="351"/>
      <c r="D9" s="351"/>
      <c r="E9" s="659"/>
      <c r="F9" s="1297">
        <v>120</v>
      </c>
      <c r="G9" s="1339"/>
      <c r="H9" s="747"/>
      <c r="I9" s="747"/>
      <c r="J9" s="5"/>
      <c r="K9" s="5"/>
      <c r="L9" s="949" t="s">
        <v>749</v>
      </c>
      <c r="M9" s="1590">
        <v>38742</v>
      </c>
      <c r="N9" s="1591"/>
      <c r="O9" s="1592"/>
    </row>
    <row r="10" spans="2:15" s="463" customFormat="1" ht="12.75">
      <c r="B10" s="2"/>
      <c r="C10" s="692"/>
      <c r="D10" s="692"/>
      <c r="E10" s="692"/>
      <c r="F10" s="692"/>
      <c r="G10" s="692"/>
      <c r="H10" s="747"/>
      <c r="I10" s="747"/>
      <c r="J10" s="5"/>
      <c r="K10" s="5"/>
      <c r="L10" s="5"/>
      <c r="M10" s="90"/>
      <c r="N10" s="749"/>
      <c r="O10" s="749"/>
    </row>
    <row r="11" spans="1:15" s="451" customFormat="1" ht="12.75" customHeight="1">
      <c r="A11" s="1615" t="str">
        <f>CONCATENATE("Met het oog op de tijdige indiening wordt de instelling verzocht het formulier na gereedkoming direct te ondertekenen en gelijktijdig te verzenden aan het zorgkantoor en aan CTG/ZAio (per post en per e-mail). CTG/ZAio zal tot 1 oktober ",E3+1," wachten met afhandeling, zodat partijen de gelegenheid hebben het nacalculatieverzoek gezamenlijk in te dienen. ")</f>
        <v>Met het oog op de tijdige indiening wordt de instelling verzocht het formulier na gereedkoming direct te ondertekenen en gelijktijdig te verzenden aan het zorgkantoor en aan CTG/ZAio (per post en per e-mail). CTG/ZAio zal tot 1 oktober 2006 wachten met afhandeling, zodat partijen de gelegenheid hebben het nacalculatieverzoek gezamenlijk in te dienen. </v>
      </c>
      <c r="B11" s="1616"/>
      <c r="C11" s="1616"/>
      <c r="D11" s="1616"/>
      <c r="E11" s="1616"/>
      <c r="F11" s="1616"/>
      <c r="G11" s="1616"/>
      <c r="H11" s="1616"/>
      <c r="I11" s="1616"/>
      <c r="J11" s="1616"/>
      <c r="K11" s="1616"/>
      <c r="L11" s="1616"/>
      <c r="M11" s="1616"/>
      <c r="N11" s="1616"/>
      <c r="O11" s="1616"/>
    </row>
    <row r="12" spans="1:15" s="451" customFormat="1" ht="12.75" customHeight="1">
      <c r="A12" s="1616"/>
      <c r="B12" s="1616"/>
      <c r="C12" s="1616"/>
      <c r="D12" s="1616"/>
      <c r="E12" s="1616"/>
      <c r="F12" s="1616"/>
      <c r="G12" s="1616"/>
      <c r="H12" s="1616"/>
      <c r="I12" s="1616"/>
      <c r="J12" s="1616"/>
      <c r="K12" s="1616"/>
      <c r="L12" s="1616"/>
      <c r="M12" s="1616"/>
      <c r="N12" s="1616"/>
      <c r="O12" s="1616"/>
    </row>
    <row r="13" spans="1:15" s="451" customFormat="1" ht="12.75" customHeight="1">
      <c r="A13" s="1616"/>
      <c r="B13" s="1616"/>
      <c r="C13" s="1616"/>
      <c r="D13" s="1616"/>
      <c r="E13" s="1616"/>
      <c r="F13" s="1616"/>
      <c r="G13" s="1616"/>
      <c r="H13" s="1616"/>
      <c r="I13" s="1616"/>
      <c r="J13" s="1616"/>
      <c r="K13" s="1616"/>
      <c r="L13" s="1616"/>
      <c r="M13" s="1616"/>
      <c r="N13" s="1616"/>
      <c r="O13" s="1616"/>
    </row>
    <row r="14" spans="1:15" s="451" customFormat="1" ht="12.75" customHeight="1" thickBot="1">
      <c r="A14" s="525"/>
      <c r="B14" s="525"/>
      <c r="C14" s="525"/>
      <c r="D14" s="525"/>
      <c r="E14" s="525"/>
      <c r="F14" s="525"/>
      <c r="G14" s="525"/>
      <c r="H14" s="525"/>
      <c r="I14" s="525"/>
      <c r="J14" s="525"/>
      <c r="K14" s="525"/>
      <c r="L14" s="525"/>
      <c r="M14" s="525"/>
      <c r="N14" s="525"/>
      <c r="O14" s="525"/>
    </row>
    <row r="15" spans="2:14" ht="12.75">
      <c r="B15" s="526"/>
      <c r="C15" s="527" t="s">
        <v>73</v>
      </c>
      <c r="D15" s="527"/>
      <c r="E15" s="528"/>
      <c r="F15" s="528"/>
      <c r="G15" s="528"/>
      <c r="H15" s="528"/>
      <c r="I15" s="528"/>
      <c r="J15" s="529"/>
      <c r="K15" s="529"/>
      <c r="L15" s="529"/>
      <c r="M15" s="529"/>
      <c r="N15" s="530"/>
    </row>
    <row r="16" spans="2:14" ht="12.75">
      <c r="B16" s="531"/>
      <c r="C16"/>
      <c r="D16"/>
      <c r="E16" s="463"/>
      <c r="F16" s="463"/>
      <c r="G16" s="463"/>
      <c r="H16" s="463"/>
      <c r="I16" s="463"/>
      <c r="J16" s="439"/>
      <c r="K16" s="439"/>
      <c r="L16" s="439"/>
      <c r="M16" s="439"/>
      <c r="N16" s="532"/>
    </row>
    <row r="17" spans="2:14" ht="12.75" customHeight="1">
      <c r="B17" s="531"/>
      <c r="C17" s="463"/>
      <c r="D17" s="463"/>
      <c r="E17" s="1611" t="s">
        <v>1407</v>
      </c>
      <c r="F17" s="1589"/>
      <c r="G17" s="1589"/>
      <c r="H17" s="1589"/>
      <c r="I17" s="1589"/>
      <c r="J17" s="1589"/>
      <c r="K17" s="1589"/>
      <c r="L17" s="1589"/>
      <c r="M17" s="1589"/>
      <c r="N17" s="532"/>
    </row>
    <row r="18" spans="2:14" ht="12.75">
      <c r="B18" s="531"/>
      <c r="C18" s="463"/>
      <c r="D18" s="463"/>
      <c r="E18" s="1611"/>
      <c r="F18" s="1589"/>
      <c r="G18" s="1589"/>
      <c r="H18" s="1589"/>
      <c r="I18" s="1589"/>
      <c r="J18" s="1589"/>
      <c r="K18" s="1589"/>
      <c r="L18" s="1589"/>
      <c r="M18" s="1589"/>
      <c r="N18" s="532"/>
    </row>
    <row r="19" spans="2:14" ht="12.75" customHeight="1">
      <c r="B19" s="531"/>
      <c r="C19"/>
      <c r="D19"/>
      <c r="E19" s="1589"/>
      <c r="F19" s="1589"/>
      <c r="G19" s="1589"/>
      <c r="H19" s="1589"/>
      <c r="I19" s="1589"/>
      <c r="J19" s="1589"/>
      <c r="K19" s="1589"/>
      <c r="L19" s="1589"/>
      <c r="M19" s="1589"/>
      <c r="N19" s="532"/>
    </row>
    <row r="20" spans="2:14" ht="12.75">
      <c r="B20" s="531"/>
      <c r="C20" s="463"/>
      <c r="D20" s="463"/>
      <c r="E20" s="1611" t="s">
        <v>1100</v>
      </c>
      <c r="F20" s="1611"/>
      <c r="G20" s="1611"/>
      <c r="H20" s="1611"/>
      <c r="I20" s="1611"/>
      <c r="J20" s="1611"/>
      <c r="K20" s="1611"/>
      <c r="L20" s="1611"/>
      <c r="M20" s="1611"/>
      <c r="N20" s="532"/>
    </row>
    <row r="21" spans="2:14" ht="12.75">
      <c r="B21" s="531"/>
      <c r="C21" s="463"/>
      <c r="D21" s="463"/>
      <c r="E21" s="1611"/>
      <c r="F21" s="1611"/>
      <c r="G21" s="1611"/>
      <c r="H21" s="1611"/>
      <c r="I21" s="1611"/>
      <c r="J21" s="1611"/>
      <c r="K21" s="1611"/>
      <c r="L21" s="1611"/>
      <c r="M21" s="1611"/>
      <c r="N21" s="532"/>
    </row>
    <row r="22" spans="2:14" ht="12.75">
      <c r="B22" s="531"/>
      <c r="C22" s="463"/>
      <c r="D22" s="463"/>
      <c r="E22" s="1611"/>
      <c r="F22" s="1611"/>
      <c r="G22" s="1611"/>
      <c r="H22" s="1611"/>
      <c r="I22" s="1611"/>
      <c r="J22" s="1611"/>
      <c r="K22" s="1611"/>
      <c r="L22" s="1611"/>
      <c r="M22" s="1611"/>
      <c r="N22" s="532"/>
    </row>
    <row r="23" spans="2:14" ht="12.75">
      <c r="B23" s="531"/>
      <c r="C23" s="463"/>
      <c r="D23" s="463"/>
      <c r="E23" s="1593" t="s">
        <v>652</v>
      </c>
      <c r="F23" s="1593"/>
      <c r="G23" s="1593"/>
      <c r="H23" s="1593"/>
      <c r="I23" s="1593"/>
      <c r="J23" s="1593"/>
      <c r="K23" s="1593"/>
      <c r="L23" s="1593"/>
      <c r="M23" s="1593"/>
      <c r="N23" s="532"/>
    </row>
    <row r="24" spans="2:14" ht="12.75">
      <c r="B24" s="531"/>
      <c r="C24" s="463"/>
      <c r="D24" s="463"/>
      <c r="E24" s="1593"/>
      <c r="F24" s="1593"/>
      <c r="G24" s="1593"/>
      <c r="H24" s="1593"/>
      <c r="I24" s="1593"/>
      <c r="J24" s="1593"/>
      <c r="K24" s="1593"/>
      <c r="L24" s="1593"/>
      <c r="M24" s="1593"/>
      <c r="N24" s="532"/>
    </row>
    <row r="25" spans="2:14" ht="12.75">
      <c r="B25" s="531"/>
      <c r="C25" s="463"/>
      <c r="D25" s="463"/>
      <c r="E25" s="1593"/>
      <c r="F25" s="1593"/>
      <c r="G25" s="1593"/>
      <c r="H25" s="1593"/>
      <c r="I25" s="1593"/>
      <c r="J25" s="1593"/>
      <c r="K25" s="1593"/>
      <c r="L25" s="1593"/>
      <c r="M25" s="1593"/>
      <c r="N25" s="532"/>
    </row>
    <row r="26" spans="2:14" ht="12.75">
      <c r="B26" s="531"/>
      <c r="C26" s="463"/>
      <c r="D26" s="463"/>
      <c r="E26" s="439"/>
      <c r="F26" s="439"/>
      <c r="G26" s="439"/>
      <c r="H26" s="439"/>
      <c r="I26" s="439"/>
      <c r="J26" s="439"/>
      <c r="K26" s="439"/>
      <c r="L26" s="439"/>
      <c r="M26" s="439"/>
      <c r="N26" s="532"/>
    </row>
    <row r="27" spans="2:14" ht="12.75">
      <c r="B27" s="531"/>
      <c r="C27" s="463"/>
      <c r="D27" s="463"/>
      <c r="E27" s="533" t="str">
        <f>IF(E28=TRUE,"      Invulvelden gearceerd","      Invulvelden niet gearceerd")</f>
        <v>      Invulvelden gearceerd</v>
      </c>
      <c r="F27" s="534"/>
      <c r="G27" s="535"/>
      <c r="H27" s="463"/>
      <c r="I27" s="463"/>
      <c r="J27" s="1296" t="s">
        <v>709</v>
      </c>
      <c r="K27"/>
      <c r="L27"/>
      <c r="M27"/>
      <c r="N27" s="536"/>
    </row>
    <row r="28" spans="2:20" s="464" customFormat="1" ht="13.5" thickBot="1">
      <c r="B28" s="537"/>
      <c r="C28" s="538"/>
      <c r="D28" s="538"/>
      <c r="E28" s="760" t="b">
        <v>1</v>
      </c>
      <c r="F28" s="539"/>
      <c r="G28" s="539"/>
      <c r="H28" s="538"/>
      <c r="I28" s="538"/>
      <c r="J28" s="760"/>
      <c r="K28" s="539"/>
      <c r="L28" s="539"/>
      <c r="M28" s="540"/>
      <c r="N28" s="541"/>
      <c r="Q28" s="440"/>
      <c r="R28" s="440"/>
      <c r="S28" s="440"/>
      <c r="T28" s="440"/>
    </row>
    <row r="29" spans="13:20" s="543" customFormat="1" ht="16.5" customHeight="1">
      <c r="M29" s="514"/>
      <c r="N29" s="544"/>
      <c r="O29" s="544"/>
      <c r="Q29" s="440"/>
      <c r="R29" s="440"/>
      <c r="S29" s="440"/>
      <c r="T29" s="440"/>
    </row>
    <row r="30" spans="1:20" s="513" customFormat="1" ht="16.5" customHeight="1">
      <c r="A30" s="1290" t="s">
        <v>707</v>
      </c>
      <c r="B30" s="1291"/>
      <c r="C30" s="750"/>
      <c r="D30" s="750"/>
      <c r="E30" s="750"/>
      <c r="F30" s="750"/>
      <c r="G30" s="1299"/>
      <c r="I30" s="1290" t="s">
        <v>1035</v>
      </c>
      <c r="J30" s="1310"/>
      <c r="K30" s="750"/>
      <c r="L30" s="750"/>
      <c r="M30" s="750"/>
      <c r="N30" s="750"/>
      <c r="O30" s="1299"/>
      <c r="Q30" s="440"/>
      <c r="R30" s="440"/>
      <c r="S30" s="440"/>
      <c r="T30" s="440"/>
    </row>
    <row r="31" spans="1:20" s="513" customFormat="1" ht="16.5" customHeight="1">
      <c r="A31" s="1293" t="s">
        <v>708</v>
      </c>
      <c r="B31" s="1294"/>
      <c r="C31" s="1606"/>
      <c r="D31" s="1609"/>
      <c r="E31" s="1609"/>
      <c r="F31" s="1609"/>
      <c r="G31" s="1610"/>
      <c r="I31" s="1293" t="s">
        <v>708</v>
      </c>
      <c r="J31" s="1299"/>
      <c r="K31" s="1606"/>
      <c r="L31" s="1609"/>
      <c r="M31" s="1609"/>
      <c r="N31" s="1609"/>
      <c r="O31" s="1610"/>
      <c r="Q31" s="440"/>
      <c r="R31" s="440"/>
      <c r="S31" s="440"/>
      <c r="T31" s="440"/>
    </row>
    <row r="32" spans="1:20" s="513" customFormat="1" ht="16.5" customHeight="1">
      <c r="A32" s="1293" t="s">
        <v>809</v>
      </c>
      <c r="B32" s="1294"/>
      <c r="C32" s="1606"/>
      <c r="D32" s="1609"/>
      <c r="E32" s="1609"/>
      <c r="F32" s="1609"/>
      <c r="G32" s="1610"/>
      <c r="I32" s="1293" t="s">
        <v>809</v>
      </c>
      <c r="J32" s="1299"/>
      <c r="K32" s="1606"/>
      <c r="L32" s="1609"/>
      <c r="M32" s="1609"/>
      <c r="N32" s="1609"/>
      <c r="O32" s="1610"/>
      <c r="Q32" s="440"/>
      <c r="R32" s="440"/>
      <c r="S32" s="440"/>
      <c r="T32" s="440"/>
    </row>
    <row r="33" spans="1:20" s="513" customFormat="1" ht="19.5" customHeight="1">
      <c r="A33" s="1293" t="s">
        <v>1028</v>
      </c>
      <c r="B33" s="1294"/>
      <c r="C33" s="1288"/>
      <c r="D33" s="545"/>
      <c r="E33" s="1609"/>
      <c r="F33" s="1607"/>
      <c r="G33" s="1608"/>
      <c r="I33" s="1293" t="s">
        <v>1028</v>
      </c>
      <c r="J33" s="1299"/>
      <c r="K33" s="1288"/>
      <c r="L33" s="545"/>
      <c r="M33" s="545"/>
      <c r="N33" s="545"/>
      <c r="O33" s="1289"/>
      <c r="Q33" s="440"/>
      <c r="R33" s="440"/>
      <c r="S33" s="440"/>
      <c r="T33" s="440"/>
    </row>
    <row r="34" spans="1:20" s="513" customFormat="1" ht="16.5" customHeight="1">
      <c r="A34" s="1293" t="s">
        <v>1029</v>
      </c>
      <c r="B34" s="1294"/>
      <c r="C34" s="1606"/>
      <c r="D34" s="1607"/>
      <c r="E34" s="1607"/>
      <c r="F34" s="1607"/>
      <c r="G34" s="1608"/>
      <c r="I34" s="1293" t="s">
        <v>1029</v>
      </c>
      <c r="J34" s="1299"/>
      <c r="K34" s="1606"/>
      <c r="L34" s="1607"/>
      <c r="M34" s="1607"/>
      <c r="N34" s="1607"/>
      <c r="O34" s="1608"/>
      <c r="Q34" s="440"/>
      <c r="R34" s="440"/>
      <c r="S34" s="440"/>
      <c r="T34" s="440"/>
    </row>
    <row r="35" spans="1:20" s="513" customFormat="1" ht="16.5" customHeight="1">
      <c r="A35" s="1293" t="s">
        <v>1030</v>
      </c>
      <c r="B35" s="1294"/>
      <c r="C35" s="1606"/>
      <c r="D35" s="1609"/>
      <c r="E35" s="1609"/>
      <c r="F35" s="1609"/>
      <c r="G35" s="1610"/>
      <c r="I35" s="1293" t="s">
        <v>1030</v>
      </c>
      <c r="J35" s="1299"/>
      <c r="K35" s="1606"/>
      <c r="L35" s="1607"/>
      <c r="M35" s="1607"/>
      <c r="N35" s="1607"/>
      <c r="O35" s="1608"/>
      <c r="Q35" s="440"/>
      <c r="R35" s="440"/>
      <c r="S35" s="440"/>
      <c r="T35" s="440"/>
    </row>
    <row r="36" spans="1:20" s="513" customFormat="1" ht="16.5" customHeight="1">
      <c r="A36" s="1293" t="s">
        <v>1031</v>
      </c>
      <c r="B36" s="1294"/>
      <c r="C36" s="1606"/>
      <c r="D36" s="1609"/>
      <c r="E36" s="1609"/>
      <c r="F36" s="1609"/>
      <c r="G36" s="1610"/>
      <c r="I36" s="1293" t="s">
        <v>1031</v>
      </c>
      <c r="J36" s="1299"/>
      <c r="K36" s="1606"/>
      <c r="L36" s="1607"/>
      <c r="M36" s="1607"/>
      <c r="N36" s="1607"/>
      <c r="O36" s="1608"/>
      <c r="Q36" s="440"/>
      <c r="R36" s="440"/>
      <c r="S36" s="440"/>
      <c r="T36" s="440"/>
    </row>
    <row r="37" spans="1:20" s="513" customFormat="1" ht="16.5" customHeight="1">
      <c r="A37" s="751"/>
      <c r="B37" s="751"/>
      <c r="C37" s="751"/>
      <c r="D37" s="751"/>
      <c r="E37" s="751"/>
      <c r="F37" s="751"/>
      <c r="G37" s="751"/>
      <c r="H37" s="514"/>
      <c r="I37" s="751"/>
      <c r="J37" s="751"/>
      <c r="K37" s="751"/>
      <c r="L37" s="751"/>
      <c r="M37" s="751"/>
      <c r="N37" s="751"/>
      <c r="O37" s="751"/>
      <c r="P37" s="514"/>
      <c r="Q37" s="440"/>
      <c r="R37" s="440"/>
      <c r="S37" s="440"/>
      <c r="T37" s="440"/>
    </row>
    <row r="38" spans="1:20" s="513" customFormat="1" ht="16.5" customHeight="1">
      <c r="A38" s="1290" t="s">
        <v>966</v>
      </c>
      <c r="B38" s="1291"/>
      <c r="C38" s="1291"/>
      <c r="D38" s="1291"/>
      <c r="E38" s="1291"/>
      <c r="F38" s="1291"/>
      <c r="G38" s="1300"/>
      <c r="I38" s="1290" t="s">
        <v>1036</v>
      </c>
      <c r="J38" s="1291"/>
      <c r="K38" s="1291"/>
      <c r="L38" s="1291"/>
      <c r="M38" s="1291"/>
      <c r="N38" s="1291"/>
      <c r="O38" s="1300"/>
      <c r="Q38" s="440"/>
      <c r="R38" s="440"/>
      <c r="S38" s="440"/>
      <c r="T38" s="440"/>
    </row>
    <row r="39" spans="1:15" s="513" customFormat="1" ht="16.5" customHeight="1">
      <c r="A39" s="1587" t="s">
        <v>967</v>
      </c>
      <c r="B39" s="1588"/>
      <c r="C39" s="1588"/>
      <c r="D39" s="1588"/>
      <c r="E39" s="1588"/>
      <c r="F39" s="1588"/>
      <c r="G39" s="1584"/>
      <c r="I39" s="1587"/>
      <c r="J39" s="1575"/>
      <c r="K39" s="1575"/>
      <c r="L39" s="1575"/>
      <c r="M39" s="1575"/>
      <c r="N39" s="1576"/>
      <c r="O39" s="1577"/>
    </row>
    <row r="40" spans="1:15" s="513" customFormat="1" ht="21" customHeight="1">
      <c r="A40" s="1585"/>
      <c r="B40" s="1581"/>
      <c r="C40" s="1581"/>
      <c r="D40" s="1581"/>
      <c r="E40" s="1581"/>
      <c r="F40" s="1581"/>
      <c r="G40" s="1582"/>
      <c r="I40" s="1578"/>
      <c r="J40" s="1579"/>
      <c r="K40" s="1579"/>
      <c r="L40" s="1579"/>
      <c r="M40" s="1579"/>
      <c r="N40" s="1580"/>
      <c r="O40" s="1568"/>
    </row>
    <row r="41" spans="1:15" s="513" customFormat="1" ht="14.25" customHeight="1">
      <c r="A41" s="1583"/>
      <c r="B41" s="1573"/>
      <c r="C41" s="1573"/>
      <c r="D41" s="1573"/>
      <c r="E41" s="1573"/>
      <c r="F41" s="1573"/>
      <c r="G41" s="1574"/>
      <c r="I41" s="1569"/>
      <c r="J41" s="1621"/>
      <c r="K41" s="1621"/>
      <c r="L41" s="1621"/>
      <c r="M41" s="1621"/>
      <c r="N41" s="1621"/>
      <c r="O41" s="1605"/>
    </row>
    <row r="42" spans="1:15" s="513" customFormat="1" ht="16.5" customHeight="1">
      <c r="A42" s="1301"/>
      <c r="B42" s="1302"/>
      <c r="C42" s="1302"/>
      <c r="D42" s="1302"/>
      <c r="E42" s="1302"/>
      <c r="F42" s="1302"/>
      <c r="G42" s="1303"/>
      <c r="I42" s="1301"/>
      <c r="J42" s="1302"/>
      <c r="K42" s="1302"/>
      <c r="L42" s="1302"/>
      <c r="M42" s="1302"/>
      <c r="N42" s="1302"/>
      <c r="O42" s="1303"/>
    </row>
    <row r="43" spans="1:15" s="513" customFormat="1" ht="16.5" customHeight="1">
      <c r="A43" s="1304"/>
      <c r="B43" s="1305"/>
      <c r="C43" s="1305"/>
      <c r="D43" s="1305"/>
      <c r="E43" s="1305"/>
      <c r="F43" s="1305"/>
      <c r="G43" s="1306"/>
      <c r="I43" s="1304"/>
      <c r="J43" s="1305"/>
      <c r="K43" s="1305"/>
      <c r="L43" s="1305"/>
      <c r="M43" s="1305"/>
      <c r="N43" s="1305"/>
      <c r="O43" s="1306"/>
    </row>
    <row r="44" spans="1:15" s="513" customFormat="1" ht="16.5" customHeight="1">
      <c r="A44" s="1307" t="s">
        <v>131</v>
      </c>
      <c r="B44" s="1308"/>
      <c r="C44" s="1308"/>
      <c r="D44" s="1308"/>
      <c r="E44" s="1308"/>
      <c r="F44" s="1308"/>
      <c r="G44" s="1309" t="s">
        <v>1034</v>
      </c>
      <c r="I44" s="1307"/>
      <c r="J44" s="1308"/>
      <c r="K44" s="1308"/>
      <c r="L44" s="1308"/>
      <c r="M44" s="1308"/>
      <c r="N44" s="1308"/>
      <c r="O44" s="1309" t="s">
        <v>1034</v>
      </c>
    </row>
    <row r="45" spans="1:15" s="513" customFormat="1" ht="16.5" customHeight="1">
      <c r="A45" s="1594"/>
      <c r="B45" s="1595"/>
      <c r="C45" s="1314" t="s">
        <v>1032</v>
      </c>
      <c r="D45" s="1606"/>
      <c r="E45" s="1609"/>
      <c r="F45" s="1610"/>
      <c r="G45" s="1314" t="s">
        <v>1033</v>
      </c>
      <c r="I45" s="1594"/>
      <c r="J45" s="1595"/>
      <c r="K45" s="1315" t="s">
        <v>1032</v>
      </c>
      <c r="L45" s="1606"/>
      <c r="M45" s="1609"/>
      <c r="N45" s="1610"/>
      <c r="O45" s="1314" t="s">
        <v>1033</v>
      </c>
    </row>
    <row r="46" s="513" customFormat="1" ht="9.75" customHeight="1">
      <c r="I46" s="1313"/>
    </row>
    <row r="47" spans="1:15" s="513" customFormat="1" ht="16.5" customHeight="1">
      <c r="A47" s="1596" t="s">
        <v>869</v>
      </c>
      <c r="B47" s="1596"/>
      <c r="C47" s="1596"/>
      <c r="D47" s="1596"/>
      <c r="E47" s="1596"/>
      <c r="F47" s="1596"/>
      <c r="G47" s="1596"/>
      <c r="H47" s="1596"/>
      <c r="I47" s="1596"/>
      <c r="J47" s="1596"/>
      <c r="K47" s="1596"/>
      <c r="L47" s="1596"/>
      <c r="M47" s="1596"/>
      <c r="N47" s="1597"/>
      <c r="O47" s="1597"/>
    </row>
    <row r="48" spans="1:15" s="513" customFormat="1" ht="16.5" customHeight="1">
      <c r="A48" s="1596"/>
      <c r="B48" s="1596"/>
      <c r="C48" s="1596"/>
      <c r="D48" s="1596"/>
      <c r="E48" s="1596"/>
      <c r="F48" s="1596"/>
      <c r="G48" s="1596"/>
      <c r="H48" s="1596"/>
      <c r="I48" s="1596"/>
      <c r="J48" s="1596"/>
      <c r="K48" s="1596"/>
      <c r="L48" s="1596"/>
      <c r="M48" s="1596"/>
      <c r="N48" s="1597"/>
      <c r="O48" s="1597"/>
    </row>
    <row r="49" spans="1:15" s="513" customFormat="1" ht="16.5" customHeight="1">
      <c r="A49" s="1596"/>
      <c r="B49" s="1596"/>
      <c r="C49" s="1596"/>
      <c r="D49" s="1596"/>
      <c r="E49" s="1596"/>
      <c r="F49" s="1596"/>
      <c r="G49" s="1596"/>
      <c r="H49" s="1596"/>
      <c r="I49" s="1596"/>
      <c r="J49" s="1596"/>
      <c r="K49" s="1596"/>
      <c r="L49" s="1596"/>
      <c r="M49" s="1596"/>
      <c r="N49" s="1597"/>
      <c r="O49" s="1597"/>
    </row>
    <row r="50" s="513" customFormat="1" ht="7.5" customHeight="1"/>
    <row r="51" spans="1:15" s="447" customFormat="1" ht="16.5" customHeight="1">
      <c r="A51" s="702" t="str">
        <f>CONCATENATE("Ondertekende partijen verzoeken de definitieve aanvaardbare kosten ",E3," goed te keuren/vast te stellen op:")</f>
        <v>Ondertekende partijen verzoeken de definitieve aanvaardbare kosten 2005 goed te keuren/vast te stellen op:</v>
      </c>
      <c r="B51" s="752"/>
      <c r="C51" s="752"/>
      <c r="D51" s="752"/>
      <c r="E51" s="752"/>
      <c r="F51" s="752"/>
      <c r="G51" s="752"/>
      <c r="H51" s="752"/>
      <c r="I51" s="752"/>
      <c r="J51" s="752"/>
      <c r="K51" s="752"/>
      <c r="L51" s="752"/>
      <c r="M51" s="1060">
        <f>Mutaties!F24</f>
        <v>0</v>
      </c>
      <c r="N51" s="1061"/>
      <c r="O51" s="1062" t="str">
        <f>CONCATENATE("(regel ",Mutaties!A24,")")</f>
        <v>(regel 2216)</v>
      </c>
    </row>
    <row r="52" spans="1:15" s="513" customFormat="1" ht="16.5" customHeight="1">
      <c r="A52" s="590" t="s">
        <v>655</v>
      </c>
      <c r="B52" s="546"/>
      <c r="E52" s="514"/>
      <c r="F52" s="547"/>
      <c r="J52" s="548"/>
      <c r="M52" s="1060">
        <f>Opbrengsten!M65</f>
        <v>0</v>
      </c>
      <c r="N52" s="1061"/>
      <c r="O52" s="1062" t="str">
        <f>CONCATENATE("(regel ",Opbrengsten!H65,")")</f>
        <v>(regel 1233)</v>
      </c>
    </row>
    <row r="53" spans="1:7" s="456" customFormat="1" ht="13.5" customHeight="1">
      <c r="A53" s="458" t="s">
        <v>747</v>
      </c>
      <c r="B53" s="472"/>
      <c r="C53" s="472"/>
      <c r="D53" s="472"/>
      <c r="E53" s="472"/>
      <c r="F53" s="472"/>
      <c r="G53" s="571"/>
    </row>
    <row r="54" spans="1:10" ht="12.75">
      <c r="A54" s="458" t="s">
        <v>870</v>
      </c>
      <c r="G54" s="571"/>
      <c r="J54" s="440"/>
    </row>
    <row r="55" ht="12.75">
      <c r="A55" s="1295"/>
    </row>
    <row r="56" spans="1:7" ht="12.75">
      <c r="A56" s="1598"/>
      <c r="B56" s="1586"/>
      <c r="C56" s="1586"/>
      <c r="D56" s="1586"/>
      <c r="E56" s="1586"/>
      <c r="F56" s="1586"/>
      <c r="G56" s="1586"/>
    </row>
    <row r="57" spans="1:7" ht="12.75">
      <c r="A57" s="1586"/>
      <c r="B57" s="1586"/>
      <c r="C57" s="1586"/>
      <c r="D57" s="1586"/>
      <c r="E57" s="1586"/>
      <c r="F57" s="1586"/>
      <c r="G57" s="1586"/>
    </row>
    <row r="68" ht="12.75">
      <c r="O68" s="986"/>
    </row>
    <row r="69" spans="9:15" ht="12.75">
      <c r="I69" s="986"/>
      <c r="J69" s="986"/>
      <c r="K69" s="986"/>
      <c r="L69" s="986"/>
      <c r="M69" s="986"/>
      <c r="N69" s="986"/>
      <c r="O69" s="986"/>
    </row>
  </sheetData>
  <sheetProtection password="958F" sheet="1" objects="1" scenarios="1"/>
  <mergeCells count="29">
    <mergeCell ref="A47:O49"/>
    <mergeCell ref="A56:G57"/>
    <mergeCell ref="L45:N45"/>
    <mergeCell ref="A39:G41"/>
    <mergeCell ref="D45:F45"/>
    <mergeCell ref="I39:O41"/>
    <mergeCell ref="E23:M25"/>
    <mergeCell ref="C35:G35"/>
    <mergeCell ref="A45:B45"/>
    <mergeCell ref="I45:J45"/>
    <mergeCell ref="C32:G32"/>
    <mergeCell ref="C34:G34"/>
    <mergeCell ref="C36:G36"/>
    <mergeCell ref="E33:G33"/>
    <mergeCell ref="K31:O31"/>
    <mergeCell ref="C31:G31"/>
    <mergeCell ref="E20:M22"/>
    <mergeCell ref="M8:O8"/>
    <mergeCell ref="A11:O13"/>
    <mergeCell ref="M5:O5"/>
    <mergeCell ref="A8:E8"/>
    <mergeCell ref="M6:O6"/>
    <mergeCell ref="M7:O7"/>
    <mergeCell ref="E17:M19"/>
    <mergeCell ref="M9:O9"/>
    <mergeCell ref="K34:O34"/>
    <mergeCell ref="K35:O35"/>
    <mergeCell ref="K36:O36"/>
    <mergeCell ref="K32:O32"/>
  </mergeCells>
  <conditionalFormatting sqref="G50:G52 I56:O59 A58:G59 L50:O54 E50:F54 E46:G46 L46:O46">
    <cfRule type="expression" priority="1" dxfId="0" stopIfTrue="1">
      <formula>$E$36=TRUE</formula>
    </cfRule>
  </conditionalFormatting>
  <conditionalFormatting sqref="J35">
    <cfRule type="expression" priority="2" dxfId="1" stopIfTrue="1">
      <formula>$J$36=TRUE</formula>
    </cfRule>
  </conditionalFormatting>
  <conditionalFormatting sqref="E27:F27 G9 D35:G36 K33:K36 I42:O45 G53:G54 D33:E33 C31:G32 L33:O33 K31:O32 A42:G45 C33:C36">
    <cfRule type="expression" priority="3" dxfId="2" stopIfTrue="1">
      <formula>$E$28=TRUE</formula>
    </cfRule>
  </conditionalFormatting>
  <conditionalFormatting sqref="A8">
    <cfRule type="expression" priority="4" dxfId="3" stopIfTrue="1">
      <formula>$A8&lt;&gt;""</formula>
    </cfRule>
  </conditionalFormatting>
  <dataValidations count="2">
    <dataValidation type="whole" allowBlank="1" showInputMessage="1" showErrorMessage="1" errorTitle="Onjuiste invoer:" error="- de invoer moet het juiste nummer zijn" sqref="G9">
      <formula1>$P9</formula1>
      <formula2>$Q9</formula2>
    </dataValidation>
    <dataValidation type="date" allowBlank="1" showInputMessage="1" showErrorMessage="1" errorTitle="Onjuiste invoer:" error="- de invoer mag geen datum zijn buiten de aangegeven periode" sqref="A45:B45 I45:J45">
      <formula1>$V45</formula1>
      <formula2>$W45</formula2>
    </dataValidation>
  </dataValidations>
  <hyperlinks>
    <hyperlink ref="J27" r:id="rId1" display="kamer3@ctgzorg.nl"/>
  </hyperlinks>
  <printOptions/>
  <pageMargins left="0.3937007874015748" right="0.3937007874015748" top="0.3937007874015748" bottom="0.3937007874015748" header="0.5118110236220472" footer="0.5118110236220472"/>
  <pageSetup horizontalDpi="300" verticalDpi="3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dimension ref="A1:G938"/>
  <sheetViews>
    <sheetView workbookViewId="0" topLeftCell="A1">
      <selection activeCell="F1" sqref="F1"/>
    </sheetView>
  </sheetViews>
  <sheetFormatPr defaultColWidth="9.140625" defaultRowHeight="11.25" customHeight="1"/>
  <cols>
    <col min="1" max="1" width="7.8515625" style="1416" bestFit="1" customWidth="1"/>
    <col min="2" max="3" width="14.8515625" style="1416" customWidth="1"/>
    <col min="4" max="4" width="11.28125" style="1430" bestFit="1" customWidth="1"/>
    <col min="5" max="5" width="9.140625" style="1432" customWidth="1"/>
    <col min="6" max="16384" width="9.140625" style="1416" customWidth="1"/>
  </cols>
  <sheetData>
    <row r="1" spans="1:5" ht="11.25" customHeight="1">
      <c r="A1" s="1413" t="s">
        <v>176</v>
      </c>
      <c r="B1" s="1413" t="s">
        <v>177</v>
      </c>
      <c r="C1" s="1413" t="s">
        <v>178</v>
      </c>
      <c r="D1" s="1414">
        <v>15609.92</v>
      </c>
      <c r="E1" s="1415"/>
    </row>
    <row r="2" spans="1:5" ht="11.25" customHeight="1">
      <c r="A2" s="1413" t="s">
        <v>179</v>
      </c>
      <c r="B2" s="1413" t="s">
        <v>180</v>
      </c>
      <c r="C2" s="1413" t="s">
        <v>181</v>
      </c>
      <c r="D2" s="1414">
        <v>22156.87</v>
      </c>
      <c r="E2" s="1415"/>
    </row>
    <row r="3" spans="1:5" ht="11.25" customHeight="1">
      <c r="A3" s="1413" t="s">
        <v>179</v>
      </c>
      <c r="B3" s="1413" t="s">
        <v>182</v>
      </c>
      <c r="C3" s="1413" t="s">
        <v>183</v>
      </c>
      <c r="D3" s="1414">
        <v>33847.06</v>
      </c>
      <c r="E3" s="1414"/>
    </row>
    <row r="4" spans="1:5" ht="11.25" customHeight="1">
      <c r="A4" s="1413" t="s">
        <v>179</v>
      </c>
      <c r="B4" s="1413" t="s">
        <v>184</v>
      </c>
      <c r="C4" s="1413" t="s">
        <v>185</v>
      </c>
      <c r="D4" s="1414">
        <v>20512.75</v>
      </c>
      <c r="E4" s="1415"/>
    </row>
    <row r="5" spans="1:5" ht="11.25" customHeight="1">
      <c r="A5" s="1413" t="s">
        <v>179</v>
      </c>
      <c r="B5" s="1413" t="s">
        <v>186</v>
      </c>
      <c r="C5" s="1413" t="s">
        <v>187</v>
      </c>
      <c r="D5" s="1414">
        <v>14846.97</v>
      </c>
      <c r="E5" s="1414"/>
    </row>
    <row r="6" spans="1:5" ht="11.25" customHeight="1">
      <c r="A6" s="1413" t="s">
        <v>188</v>
      </c>
      <c r="B6" s="1413" t="s">
        <v>189</v>
      </c>
      <c r="C6" s="1413" t="s">
        <v>190</v>
      </c>
      <c r="D6" s="1414">
        <v>24423.55</v>
      </c>
      <c r="E6" s="1414"/>
    </row>
    <row r="7" spans="1:5" ht="11.25" customHeight="1">
      <c r="A7" s="1413" t="s">
        <v>188</v>
      </c>
      <c r="B7" s="1413" t="s">
        <v>191</v>
      </c>
      <c r="C7" s="1413" t="s">
        <v>192</v>
      </c>
      <c r="D7" s="1414">
        <v>10211.53</v>
      </c>
      <c r="E7" s="1415"/>
    </row>
    <row r="8" spans="1:5" ht="11.25" customHeight="1">
      <c r="A8" s="1413" t="s">
        <v>188</v>
      </c>
      <c r="B8" s="1413" t="s">
        <v>193</v>
      </c>
      <c r="C8" s="1413" t="s">
        <v>194</v>
      </c>
      <c r="D8" s="1414">
        <v>17961.83</v>
      </c>
      <c r="E8" s="1414"/>
    </row>
    <row r="9" spans="1:5" ht="11.25" customHeight="1">
      <c r="A9" s="1413" t="s">
        <v>188</v>
      </c>
      <c r="B9" s="1413" t="s">
        <v>195</v>
      </c>
      <c r="C9" s="1413" t="s">
        <v>196</v>
      </c>
      <c r="D9" s="1414">
        <v>48383.23</v>
      </c>
      <c r="E9" s="1415"/>
    </row>
    <row r="10" spans="1:5" ht="11.25" customHeight="1">
      <c r="A10" s="1413" t="s">
        <v>179</v>
      </c>
      <c r="B10" s="1413" t="s">
        <v>197</v>
      </c>
      <c r="C10" s="1413" t="s">
        <v>198</v>
      </c>
      <c r="D10" s="1414">
        <v>15705.49</v>
      </c>
      <c r="E10" s="1415"/>
    </row>
    <row r="11" spans="1:5" ht="11.25" customHeight="1">
      <c r="A11" s="1413" t="s">
        <v>199</v>
      </c>
      <c r="B11" s="1413" t="s">
        <v>200</v>
      </c>
      <c r="C11" s="1413" t="s">
        <v>201</v>
      </c>
      <c r="D11" s="1414">
        <v>153</v>
      </c>
      <c r="E11" s="1414"/>
    </row>
    <row r="12" spans="1:5" ht="11.25" customHeight="1">
      <c r="A12" s="1413" t="s">
        <v>179</v>
      </c>
      <c r="B12" s="1413" t="s">
        <v>202</v>
      </c>
      <c r="C12" s="1413" t="s">
        <v>203</v>
      </c>
      <c r="D12" s="1414">
        <v>49414.1</v>
      </c>
      <c r="E12" s="1414"/>
    </row>
    <row r="13" spans="1:5" ht="11.25" customHeight="1">
      <c r="A13" s="1413" t="s">
        <v>204</v>
      </c>
      <c r="B13" s="1413" t="s">
        <v>205</v>
      </c>
      <c r="C13" s="1413" t="s">
        <v>206</v>
      </c>
      <c r="D13" s="1414">
        <v>69.76</v>
      </c>
      <c r="E13" s="1415"/>
    </row>
    <row r="14" spans="1:5" ht="11.25" customHeight="1">
      <c r="A14" s="1413" t="s">
        <v>204</v>
      </c>
      <c r="B14" s="1413" t="s">
        <v>207</v>
      </c>
      <c r="C14" s="1413" t="s">
        <v>208</v>
      </c>
      <c r="D14" s="1414">
        <v>28.3</v>
      </c>
      <c r="E14" s="1415"/>
    </row>
    <row r="15" spans="1:5" ht="11.25" customHeight="1">
      <c r="A15" s="1413" t="s">
        <v>204</v>
      </c>
      <c r="B15" s="1413" t="s">
        <v>209</v>
      </c>
      <c r="C15" s="1413" t="s">
        <v>210</v>
      </c>
      <c r="D15" s="1414">
        <v>180.64</v>
      </c>
      <c r="E15" s="1415"/>
    </row>
    <row r="16" spans="1:5" ht="11.25" customHeight="1">
      <c r="A16" s="1413" t="s">
        <v>204</v>
      </c>
      <c r="B16" s="1413" t="s">
        <v>211</v>
      </c>
      <c r="C16" s="1413" t="s">
        <v>212</v>
      </c>
      <c r="D16" s="1414">
        <v>700.4</v>
      </c>
      <c r="E16" s="1415"/>
    </row>
    <row r="17" spans="1:5" ht="11.25" customHeight="1">
      <c r="A17" s="1413" t="s">
        <v>204</v>
      </c>
      <c r="B17" s="1413" t="s">
        <v>213</v>
      </c>
      <c r="C17" s="1413" t="s">
        <v>214</v>
      </c>
      <c r="D17" s="1414">
        <v>45.26</v>
      </c>
      <c r="E17" s="1415"/>
    </row>
    <row r="18" spans="1:5" ht="11.25" customHeight="1">
      <c r="A18" s="1413" t="s">
        <v>204</v>
      </c>
      <c r="B18" s="1413" t="s">
        <v>215</v>
      </c>
      <c r="C18" s="1413" t="s">
        <v>216</v>
      </c>
      <c r="D18" s="1414">
        <v>53.47</v>
      </c>
      <c r="E18" s="1417"/>
    </row>
    <row r="19" spans="1:5" ht="11.25" customHeight="1">
      <c r="A19" s="1413" t="s">
        <v>204</v>
      </c>
      <c r="B19" s="1413" t="s">
        <v>217</v>
      </c>
      <c r="C19" s="1413" t="s">
        <v>218</v>
      </c>
      <c r="D19" s="1414">
        <v>19.05</v>
      </c>
      <c r="E19" s="1415"/>
    </row>
    <row r="20" spans="1:5" ht="11.25" customHeight="1">
      <c r="A20" s="1413" t="s">
        <v>204</v>
      </c>
      <c r="B20" s="1413" t="s">
        <v>219</v>
      </c>
      <c r="C20" s="1413" t="s">
        <v>220</v>
      </c>
      <c r="D20" s="1414">
        <v>174.12</v>
      </c>
      <c r="E20" s="1415"/>
    </row>
    <row r="21" spans="1:5" ht="11.25" customHeight="1">
      <c r="A21" s="1413" t="s">
        <v>204</v>
      </c>
      <c r="B21" s="1413" t="s">
        <v>221</v>
      </c>
      <c r="C21" s="1413" t="s">
        <v>222</v>
      </c>
      <c r="D21" s="1414">
        <v>371.18</v>
      </c>
      <c r="E21" s="1415"/>
    </row>
    <row r="22" spans="1:5" ht="11.25" customHeight="1">
      <c r="A22" s="1413" t="s">
        <v>204</v>
      </c>
      <c r="B22" s="1413" t="s">
        <v>223</v>
      </c>
      <c r="C22" s="1413" t="s">
        <v>224</v>
      </c>
      <c r="D22" s="1414">
        <v>83.92</v>
      </c>
      <c r="E22" s="1414"/>
    </row>
    <row r="23" spans="1:5" ht="11.25" customHeight="1">
      <c r="A23" s="1413" t="s">
        <v>204</v>
      </c>
      <c r="B23" s="1413" t="s">
        <v>225</v>
      </c>
      <c r="C23" s="1413" t="s">
        <v>226</v>
      </c>
      <c r="D23" s="1414">
        <v>34.88</v>
      </c>
      <c r="E23" s="1415"/>
    </row>
    <row r="24" spans="1:5" ht="11.25" customHeight="1">
      <c r="A24" s="1413" t="s">
        <v>204</v>
      </c>
      <c r="B24" s="1413" t="s">
        <v>227</v>
      </c>
      <c r="C24" s="1413" t="s">
        <v>228</v>
      </c>
      <c r="D24" s="1414">
        <v>91.58</v>
      </c>
      <c r="E24" s="1414"/>
    </row>
    <row r="25" spans="1:5" ht="11.25" customHeight="1">
      <c r="A25" s="1413" t="s">
        <v>204</v>
      </c>
      <c r="B25" s="1413" t="s">
        <v>229</v>
      </c>
      <c r="C25" s="1413" t="s">
        <v>230</v>
      </c>
      <c r="D25" s="1414">
        <v>71.92</v>
      </c>
      <c r="E25" s="1415"/>
    </row>
    <row r="26" spans="1:5" ht="11.25" customHeight="1">
      <c r="A26" s="1413" t="s">
        <v>204</v>
      </c>
      <c r="B26" s="1413" t="s">
        <v>231</v>
      </c>
      <c r="C26" s="1413" t="s">
        <v>232</v>
      </c>
      <c r="D26" s="1414">
        <v>61.63</v>
      </c>
      <c r="E26" s="1415"/>
    </row>
    <row r="27" spans="1:5" ht="11.25" customHeight="1">
      <c r="A27" s="1413" t="s">
        <v>204</v>
      </c>
      <c r="B27" s="1413" t="s">
        <v>233</v>
      </c>
      <c r="C27" s="1413" t="s">
        <v>234</v>
      </c>
      <c r="D27" s="1414">
        <v>99.78</v>
      </c>
      <c r="E27" s="1415"/>
    </row>
    <row r="28" spans="1:5" ht="11.25" customHeight="1">
      <c r="A28" s="1413" t="s">
        <v>204</v>
      </c>
      <c r="B28" s="1413" t="s">
        <v>235</v>
      </c>
      <c r="C28" s="1413" t="s">
        <v>236</v>
      </c>
      <c r="D28" s="1414">
        <v>19.05</v>
      </c>
      <c r="E28" s="1415"/>
    </row>
    <row r="29" spans="1:5" ht="11.25" customHeight="1">
      <c r="A29" s="1413" t="s">
        <v>204</v>
      </c>
      <c r="B29" s="1413" t="s">
        <v>237</v>
      </c>
      <c r="C29" s="1413" t="s">
        <v>238</v>
      </c>
      <c r="D29" s="1414">
        <v>341.27</v>
      </c>
      <c r="E29" s="1415"/>
    </row>
    <row r="30" spans="1:5" ht="11.25" customHeight="1">
      <c r="A30" s="1413" t="s">
        <v>204</v>
      </c>
      <c r="B30" s="1413" t="s">
        <v>239</v>
      </c>
      <c r="C30" s="1413" t="s">
        <v>240</v>
      </c>
      <c r="D30" s="1414">
        <v>175.42</v>
      </c>
      <c r="E30" s="1415"/>
    </row>
    <row r="31" spans="1:5" ht="11.25" customHeight="1">
      <c r="A31" s="1413" t="s">
        <v>204</v>
      </c>
      <c r="B31" s="1413" t="s">
        <v>241</v>
      </c>
      <c r="C31" s="1413" t="s">
        <v>242</v>
      </c>
      <c r="D31" s="1414">
        <v>45.79</v>
      </c>
      <c r="E31" s="1415"/>
    </row>
    <row r="32" spans="1:5" ht="11.25" customHeight="1">
      <c r="A32" s="1413" t="s">
        <v>204</v>
      </c>
      <c r="B32" s="1413" t="s">
        <v>243</v>
      </c>
      <c r="C32" s="1413" t="s">
        <v>244</v>
      </c>
      <c r="D32" s="1414">
        <v>73.99</v>
      </c>
      <c r="E32" s="1415"/>
    </row>
    <row r="33" spans="1:5" ht="11.25" customHeight="1">
      <c r="A33" s="1413" t="s">
        <v>204</v>
      </c>
      <c r="B33" s="1413" t="s">
        <v>245</v>
      </c>
      <c r="C33" s="1413" t="s">
        <v>246</v>
      </c>
      <c r="D33" s="1414">
        <v>28.3</v>
      </c>
      <c r="E33" s="1415"/>
    </row>
    <row r="34" spans="1:5" ht="11.25" customHeight="1">
      <c r="A34" s="1413" t="s">
        <v>204</v>
      </c>
      <c r="B34" s="1413" t="s">
        <v>247</v>
      </c>
      <c r="C34" s="1413" t="s">
        <v>248</v>
      </c>
      <c r="D34" s="1414">
        <v>180.64</v>
      </c>
      <c r="E34" s="1414"/>
    </row>
    <row r="35" spans="1:5" ht="11.25" customHeight="1">
      <c r="A35" s="1413" t="s">
        <v>204</v>
      </c>
      <c r="B35" s="1413" t="s">
        <v>249</v>
      </c>
      <c r="C35" s="1413" t="s">
        <v>250</v>
      </c>
      <c r="D35" s="1414">
        <v>700.4</v>
      </c>
      <c r="E35" s="1414"/>
    </row>
    <row r="36" spans="1:5" ht="11.25" customHeight="1">
      <c r="A36" s="1413" t="s">
        <v>204</v>
      </c>
      <c r="B36" s="1413" t="s">
        <v>251</v>
      </c>
      <c r="C36" s="1413" t="s">
        <v>252</v>
      </c>
      <c r="D36" s="1414">
        <v>48.26</v>
      </c>
      <c r="E36" s="1415"/>
    </row>
    <row r="37" spans="1:5" ht="11.25" customHeight="1">
      <c r="A37" s="1413" t="s">
        <v>204</v>
      </c>
      <c r="B37" s="1413" t="s">
        <v>253</v>
      </c>
      <c r="C37" s="1413" t="s">
        <v>254</v>
      </c>
      <c r="D37" s="1414">
        <v>79.41</v>
      </c>
      <c r="E37" s="1415"/>
    </row>
    <row r="38" spans="1:5" ht="11.25" customHeight="1">
      <c r="A38" s="1413" t="s">
        <v>204</v>
      </c>
      <c r="B38" s="1413" t="s">
        <v>255</v>
      </c>
      <c r="C38" s="1413" t="s">
        <v>256</v>
      </c>
      <c r="D38" s="1414">
        <v>19.05</v>
      </c>
      <c r="E38" s="1414"/>
    </row>
    <row r="39" spans="1:5" ht="11.25" customHeight="1">
      <c r="A39" s="1413" t="s">
        <v>204</v>
      </c>
      <c r="B39" s="1413" t="s">
        <v>257</v>
      </c>
      <c r="C39" s="1413" t="s">
        <v>258</v>
      </c>
      <c r="D39" s="1414">
        <v>136.52</v>
      </c>
      <c r="E39" s="1414"/>
    </row>
    <row r="40" spans="1:5" ht="11.25" customHeight="1">
      <c r="A40" s="1413" t="s">
        <v>204</v>
      </c>
      <c r="B40" s="1413" t="s">
        <v>259</v>
      </c>
      <c r="C40" s="1413" t="s">
        <v>260</v>
      </c>
      <c r="D40" s="1414">
        <v>388.5</v>
      </c>
      <c r="E40" s="1415"/>
    </row>
    <row r="41" spans="1:5" ht="11.25" customHeight="1">
      <c r="A41" s="1413" t="s">
        <v>204</v>
      </c>
      <c r="B41" s="1413" t="s">
        <v>261</v>
      </c>
      <c r="C41" s="1413" t="s">
        <v>262</v>
      </c>
      <c r="D41" s="1414">
        <v>128.71</v>
      </c>
      <c r="E41" s="1415"/>
    </row>
    <row r="42" spans="1:5" ht="11.25" customHeight="1">
      <c r="A42" s="1413" t="s">
        <v>204</v>
      </c>
      <c r="B42" s="1413" t="s">
        <v>263</v>
      </c>
      <c r="C42" s="1413" t="s">
        <v>264</v>
      </c>
      <c r="D42" s="1414">
        <v>37</v>
      </c>
      <c r="E42" s="1415"/>
    </row>
    <row r="43" spans="1:5" ht="11.25" customHeight="1">
      <c r="A43" s="1413" t="s">
        <v>204</v>
      </c>
      <c r="B43" s="1413" t="s">
        <v>265</v>
      </c>
      <c r="C43" s="1413" t="s">
        <v>266</v>
      </c>
      <c r="D43" s="1414">
        <v>69.76</v>
      </c>
      <c r="E43" s="1415"/>
    </row>
    <row r="44" spans="1:5" ht="11.25" customHeight="1">
      <c r="A44" s="1413" t="s">
        <v>204</v>
      </c>
      <c r="B44" s="1413" t="s">
        <v>267</v>
      </c>
      <c r="C44" s="1413" t="s">
        <v>268</v>
      </c>
      <c r="D44" s="1414">
        <v>28.3</v>
      </c>
      <c r="E44" s="1415"/>
    </row>
    <row r="45" spans="1:5" ht="11.25" customHeight="1">
      <c r="A45" s="1413" t="s">
        <v>204</v>
      </c>
      <c r="B45" s="1413" t="s">
        <v>269</v>
      </c>
      <c r="C45" s="1413" t="s">
        <v>270</v>
      </c>
      <c r="D45" s="1414">
        <v>180.64</v>
      </c>
      <c r="E45" s="1415"/>
    </row>
    <row r="46" spans="1:5" ht="11.25" customHeight="1">
      <c r="A46" s="1413" t="s">
        <v>204</v>
      </c>
      <c r="B46" s="1413" t="s">
        <v>271</v>
      </c>
      <c r="C46" s="1413" t="s">
        <v>272</v>
      </c>
      <c r="D46" s="1414">
        <v>700.4</v>
      </c>
      <c r="E46" s="1415"/>
    </row>
    <row r="47" spans="1:5" ht="11.25" customHeight="1">
      <c r="A47" s="1413" t="s">
        <v>204</v>
      </c>
      <c r="B47" s="1413" t="s">
        <v>273</v>
      </c>
      <c r="C47" s="1413" t="s">
        <v>274</v>
      </c>
      <c r="D47" s="1414">
        <v>45.26</v>
      </c>
      <c r="E47" s="1415"/>
    </row>
    <row r="48" spans="1:5" ht="11.25" customHeight="1">
      <c r="A48" s="1413" t="s">
        <v>204</v>
      </c>
      <c r="B48" s="1413" t="s">
        <v>275</v>
      </c>
      <c r="C48" s="1413" t="s">
        <v>276</v>
      </c>
      <c r="D48" s="1414">
        <v>53.47</v>
      </c>
      <c r="E48" s="1415"/>
    </row>
    <row r="49" spans="1:5" ht="11.25" customHeight="1">
      <c r="A49" s="1413" t="s">
        <v>204</v>
      </c>
      <c r="B49" s="1413" t="s">
        <v>277</v>
      </c>
      <c r="C49" s="1413" t="s">
        <v>278</v>
      </c>
      <c r="D49" s="1414">
        <v>19.05</v>
      </c>
      <c r="E49" s="1415"/>
    </row>
    <row r="50" spans="1:5" ht="11.25" customHeight="1">
      <c r="A50" s="1413" t="s">
        <v>204</v>
      </c>
      <c r="B50" s="1413" t="s">
        <v>279</v>
      </c>
      <c r="C50" s="1413" t="s">
        <v>280</v>
      </c>
      <c r="D50" s="1414">
        <v>174.12</v>
      </c>
      <c r="E50" s="1415"/>
    </row>
    <row r="51" spans="1:5" ht="11.25" customHeight="1">
      <c r="A51" s="1413" t="s">
        <v>204</v>
      </c>
      <c r="B51" s="1413" t="s">
        <v>281</v>
      </c>
      <c r="C51" s="1413" t="s">
        <v>282</v>
      </c>
      <c r="D51" s="1414">
        <v>371.18</v>
      </c>
      <c r="E51" s="1415"/>
    </row>
    <row r="52" spans="1:5" ht="11.25" customHeight="1">
      <c r="A52" s="1413" t="s">
        <v>204</v>
      </c>
      <c r="B52" s="1413" t="s">
        <v>283</v>
      </c>
      <c r="C52" s="1413" t="s">
        <v>284</v>
      </c>
      <c r="D52" s="1414">
        <v>83.92</v>
      </c>
      <c r="E52" s="1415"/>
    </row>
    <row r="53" spans="1:5" ht="11.25" customHeight="1">
      <c r="A53" s="1413" t="s">
        <v>204</v>
      </c>
      <c r="B53" s="1413" t="s">
        <v>285</v>
      </c>
      <c r="C53" s="1413" t="s">
        <v>286</v>
      </c>
      <c r="D53" s="1414">
        <v>34.88</v>
      </c>
      <c r="E53" s="1415"/>
    </row>
    <row r="54" spans="1:5" ht="11.25" customHeight="1">
      <c r="A54" s="1413" t="s">
        <v>204</v>
      </c>
      <c r="B54" s="1413" t="s">
        <v>287</v>
      </c>
      <c r="C54" s="1413" t="s">
        <v>288</v>
      </c>
      <c r="D54" s="1414">
        <v>132.78</v>
      </c>
      <c r="E54" s="1415"/>
    </row>
    <row r="55" spans="1:5" ht="11.25" customHeight="1">
      <c r="A55" s="1413" t="s">
        <v>204</v>
      </c>
      <c r="B55" s="1413" t="s">
        <v>289</v>
      </c>
      <c r="C55" s="1413" t="s">
        <v>290</v>
      </c>
      <c r="D55" s="1414">
        <v>69.76</v>
      </c>
      <c r="E55" s="1415"/>
    </row>
    <row r="56" spans="1:5" ht="11.25" customHeight="1">
      <c r="A56" s="1413" t="s">
        <v>204</v>
      </c>
      <c r="B56" s="1413" t="s">
        <v>291</v>
      </c>
      <c r="C56" s="1413" t="s">
        <v>292</v>
      </c>
      <c r="D56" s="1414">
        <v>28.3</v>
      </c>
      <c r="E56" s="1415"/>
    </row>
    <row r="57" spans="1:5" ht="11.25" customHeight="1">
      <c r="A57" s="1413" t="s">
        <v>204</v>
      </c>
      <c r="B57" s="1413" t="s">
        <v>293</v>
      </c>
      <c r="C57" s="1413" t="s">
        <v>294</v>
      </c>
      <c r="D57" s="1414">
        <v>180.64</v>
      </c>
      <c r="E57" s="1415"/>
    </row>
    <row r="58" spans="1:5" ht="11.25" customHeight="1">
      <c r="A58" s="1413" t="s">
        <v>204</v>
      </c>
      <c r="B58" s="1413" t="s">
        <v>295</v>
      </c>
      <c r="C58" s="1413" t="s">
        <v>296</v>
      </c>
      <c r="D58" s="1414">
        <v>700.4</v>
      </c>
      <c r="E58" s="1415"/>
    </row>
    <row r="59" spans="1:5" ht="11.25" customHeight="1">
      <c r="A59" s="1413" t="s">
        <v>204</v>
      </c>
      <c r="B59" s="1413" t="s">
        <v>297</v>
      </c>
      <c r="C59" s="1413" t="s">
        <v>298</v>
      </c>
      <c r="D59" s="1414">
        <v>45.26</v>
      </c>
      <c r="E59" s="1415"/>
    </row>
    <row r="60" spans="1:5" ht="11.25" customHeight="1">
      <c r="A60" s="1413" t="s">
        <v>204</v>
      </c>
      <c r="B60" s="1413" t="s">
        <v>299</v>
      </c>
      <c r="C60" s="1413" t="s">
        <v>300</v>
      </c>
      <c r="D60" s="1414">
        <v>53.47</v>
      </c>
      <c r="E60" s="1414"/>
    </row>
    <row r="61" spans="1:5" ht="11.25" customHeight="1">
      <c r="A61" s="1413" t="s">
        <v>204</v>
      </c>
      <c r="B61" s="1413" t="s">
        <v>301</v>
      </c>
      <c r="C61" s="1413" t="s">
        <v>302</v>
      </c>
      <c r="D61" s="1414">
        <v>19.05</v>
      </c>
      <c r="E61" s="1415"/>
    </row>
    <row r="62" spans="1:5" ht="11.25" customHeight="1">
      <c r="A62" s="1413" t="s">
        <v>204</v>
      </c>
      <c r="B62" s="1413" t="s">
        <v>303</v>
      </c>
      <c r="C62" s="1413" t="s">
        <v>304</v>
      </c>
      <c r="D62" s="1414">
        <v>174.12</v>
      </c>
      <c r="E62" s="1414"/>
    </row>
    <row r="63" spans="1:5" ht="11.25" customHeight="1">
      <c r="A63" s="1413" t="s">
        <v>204</v>
      </c>
      <c r="B63" s="1413" t="s">
        <v>305</v>
      </c>
      <c r="C63" s="1413" t="s">
        <v>306</v>
      </c>
      <c r="D63" s="1414">
        <v>371.18</v>
      </c>
      <c r="E63" s="1415"/>
    </row>
    <row r="64" spans="1:5" ht="11.25" customHeight="1">
      <c r="A64" s="1413" t="s">
        <v>204</v>
      </c>
      <c r="B64" s="1413" t="s">
        <v>307</v>
      </c>
      <c r="C64" s="1413" t="s">
        <v>308</v>
      </c>
      <c r="D64" s="1414">
        <v>83.92</v>
      </c>
      <c r="E64" s="1414"/>
    </row>
    <row r="65" spans="1:5" ht="11.25" customHeight="1">
      <c r="A65" s="1413" t="s">
        <v>204</v>
      </c>
      <c r="B65" s="1413" t="s">
        <v>309</v>
      </c>
      <c r="C65" s="1413" t="s">
        <v>310</v>
      </c>
      <c r="D65" s="1414">
        <v>34.88</v>
      </c>
      <c r="E65" s="1415"/>
    </row>
    <row r="66" spans="1:5" ht="11.25" customHeight="1">
      <c r="A66" s="1413" t="s">
        <v>311</v>
      </c>
      <c r="B66" s="1413" t="s">
        <v>312</v>
      </c>
      <c r="C66" s="1413" t="s">
        <v>313</v>
      </c>
      <c r="D66" s="1414">
        <v>96.64</v>
      </c>
      <c r="E66" s="1414"/>
    </row>
    <row r="67" spans="1:5" ht="11.25" customHeight="1">
      <c r="A67" s="1413" t="s">
        <v>311</v>
      </c>
      <c r="B67" s="1413" t="s">
        <v>314</v>
      </c>
      <c r="C67" s="1413" t="s">
        <v>315</v>
      </c>
      <c r="D67" s="1414">
        <v>124.49</v>
      </c>
      <c r="E67" s="1415"/>
    </row>
    <row r="68" spans="1:5" ht="11.25" customHeight="1">
      <c r="A68" s="1413" t="s">
        <v>311</v>
      </c>
      <c r="B68" s="1413" t="s">
        <v>317</v>
      </c>
      <c r="C68" s="1413" t="s">
        <v>318</v>
      </c>
      <c r="D68" s="1414">
        <v>110.67</v>
      </c>
      <c r="E68" s="1415"/>
    </row>
    <row r="69" spans="1:5" ht="11.25" customHeight="1">
      <c r="A69" s="1413" t="s">
        <v>311</v>
      </c>
      <c r="B69" s="1413" t="s">
        <v>319</v>
      </c>
      <c r="C69" s="1413" t="s">
        <v>320</v>
      </c>
      <c r="D69" s="1414">
        <v>141.79</v>
      </c>
      <c r="E69" s="1415"/>
    </row>
    <row r="70" spans="1:5" ht="11.25" customHeight="1">
      <c r="A70" s="1413" t="s">
        <v>311</v>
      </c>
      <c r="B70" s="1413" t="s">
        <v>321</v>
      </c>
      <c r="C70" s="1413" t="s">
        <v>322</v>
      </c>
      <c r="D70" s="1414">
        <v>49.97</v>
      </c>
      <c r="E70" s="1414"/>
    </row>
    <row r="71" spans="1:5" ht="11.25" customHeight="1">
      <c r="A71" s="1413" t="s">
        <v>311</v>
      </c>
      <c r="B71" s="1413" t="s">
        <v>323</v>
      </c>
      <c r="C71" s="1413" t="s">
        <v>324</v>
      </c>
      <c r="D71" s="1414">
        <v>74.1</v>
      </c>
      <c r="E71" s="1415"/>
    </row>
    <row r="72" spans="1:5" ht="11.25" customHeight="1">
      <c r="A72" s="1413" t="s">
        <v>311</v>
      </c>
      <c r="B72" s="1413" t="s">
        <v>325</v>
      </c>
      <c r="C72" s="1413" t="s">
        <v>326</v>
      </c>
      <c r="D72" s="1414">
        <v>94.2</v>
      </c>
      <c r="E72" s="1414"/>
    </row>
    <row r="73" spans="1:5" ht="11.25" customHeight="1">
      <c r="A73" s="1413" t="s">
        <v>311</v>
      </c>
      <c r="B73" s="1413" t="s">
        <v>327</v>
      </c>
      <c r="C73" s="1413" t="s">
        <v>328</v>
      </c>
      <c r="D73" s="1414">
        <v>118.96</v>
      </c>
      <c r="E73" s="1415"/>
    </row>
    <row r="74" spans="1:5" ht="11.25" customHeight="1">
      <c r="A74" s="1413" t="s">
        <v>311</v>
      </c>
      <c r="B74" s="1413" t="s">
        <v>329</v>
      </c>
      <c r="C74" s="1413" t="s">
        <v>330</v>
      </c>
      <c r="D74" s="1414">
        <v>154.93</v>
      </c>
      <c r="E74" s="1415"/>
    </row>
    <row r="75" spans="1:5" ht="11.25" customHeight="1">
      <c r="A75" s="1413" t="s">
        <v>311</v>
      </c>
      <c r="B75" s="1413" t="s">
        <v>331</v>
      </c>
      <c r="C75" s="1413" t="s">
        <v>332</v>
      </c>
      <c r="D75" s="1414">
        <v>198.2</v>
      </c>
      <c r="E75" s="1414"/>
    </row>
    <row r="76" spans="1:5" ht="11.25" customHeight="1">
      <c r="A76" s="1413" t="s">
        <v>311</v>
      </c>
      <c r="B76" s="1413" t="s">
        <v>333</v>
      </c>
      <c r="C76" s="1413" t="s">
        <v>334</v>
      </c>
      <c r="D76" s="1414">
        <v>137.3</v>
      </c>
      <c r="E76" s="1415"/>
    </row>
    <row r="77" spans="1:5" ht="11.25" customHeight="1">
      <c r="A77" s="1413" t="s">
        <v>311</v>
      </c>
      <c r="B77" s="1413" t="s">
        <v>335</v>
      </c>
      <c r="C77" s="1413" t="s">
        <v>336</v>
      </c>
      <c r="D77" s="1414">
        <v>159.68</v>
      </c>
      <c r="E77" s="1415"/>
    </row>
    <row r="78" spans="1:5" ht="11.25" customHeight="1">
      <c r="A78" s="1413" t="s">
        <v>311</v>
      </c>
      <c r="B78" s="1413" t="s">
        <v>335</v>
      </c>
      <c r="C78" s="1413" t="s">
        <v>336</v>
      </c>
      <c r="D78" s="1414">
        <v>159.68</v>
      </c>
      <c r="E78" s="1415"/>
    </row>
    <row r="79" spans="1:5" ht="11.25" customHeight="1">
      <c r="A79" s="1413" t="s">
        <v>204</v>
      </c>
      <c r="B79" s="1413" t="s">
        <v>337</v>
      </c>
      <c r="C79" s="1413" t="s">
        <v>338</v>
      </c>
      <c r="D79" s="1414">
        <v>743.95</v>
      </c>
      <c r="E79" s="1414"/>
    </row>
    <row r="80" spans="1:5" ht="11.25" customHeight="1">
      <c r="A80" s="1413" t="s">
        <v>176</v>
      </c>
      <c r="B80" s="1413" t="s">
        <v>339</v>
      </c>
      <c r="C80" s="1413" t="s">
        <v>340</v>
      </c>
      <c r="D80" s="1414">
        <v>304.54</v>
      </c>
      <c r="E80" s="1414"/>
    </row>
    <row r="81" spans="1:5" ht="11.25" customHeight="1">
      <c r="A81" s="1413" t="s">
        <v>179</v>
      </c>
      <c r="B81" s="1413" t="s">
        <v>341</v>
      </c>
      <c r="C81" s="1413" t="s">
        <v>342</v>
      </c>
      <c r="D81" s="1414">
        <v>1200.46</v>
      </c>
      <c r="E81" s="1414"/>
    </row>
    <row r="82" spans="1:5" ht="11.25" customHeight="1">
      <c r="A82" s="1413" t="s">
        <v>179</v>
      </c>
      <c r="B82" s="1413" t="s">
        <v>343</v>
      </c>
      <c r="C82" s="1413" t="s">
        <v>344</v>
      </c>
      <c r="D82" s="1414">
        <v>2483.7</v>
      </c>
      <c r="E82" s="1415"/>
    </row>
    <row r="83" spans="1:5" ht="11.25" customHeight="1">
      <c r="A83" s="1413" t="s">
        <v>188</v>
      </c>
      <c r="B83" s="1413" t="s">
        <v>345</v>
      </c>
      <c r="C83" s="1413" t="s">
        <v>346</v>
      </c>
      <c r="D83" s="1414">
        <v>304.54</v>
      </c>
      <c r="E83" s="1414"/>
    </row>
    <row r="84" spans="1:5" ht="11.25" customHeight="1">
      <c r="A84" s="1413" t="s">
        <v>179</v>
      </c>
      <c r="B84" s="1413" t="s">
        <v>347</v>
      </c>
      <c r="C84" s="1413" t="s">
        <v>348</v>
      </c>
      <c r="D84" s="1414">
        <v>858.43</v>
      </c>
      <c r="E84" s="1415"/>
    </row>
    <row r="85" spans="1:5" ht="11.25" customHeight="1">
      <c r="A85" s="1413" t="s">
        <v>349</v>
      </c>
      <c r="B85" s="1413" t="s">
        <v>350</v>
      </c>
      <c r="C85" s="1413" t="s">
        <v>351</v>
      </c>
      <c r="D85" s="1414">
        <v>0.002</v>
      </c>
      <c r="E85" s="1415"/>
    </row>
    <row r="86" spans="1:5" ht="11.25" customHeight="1">
      <c r="A86" s="1413" t="s">
        <v>349</v>
      </c>
      <c r="B86" s="1413" t="s">
        <v>352</v>
      </c>
      <c r="C86" s="1413" t="s">
        <v>353</v>
      </c>
      <c r="D86" s="1414">
        <v>0.052</v>
      </c>
      <c r="E86" s="1415"/>
    </row>
    <row r="87" spans="1:5" ht="11.25" customHeight="1">
      <c r="A87" s="1413" t="s">
        <v>349</v>
      </c>
      <c r="B87" s="1413" t="s">
        <v>354</v>
      </c>
      <c r="C87" s="1413" t="s">
        <v>355</v>
      </c>
      <c r="D87" s="1414">
        <v>0.002</v>
      </c>
      <c r="E87" s="1414"/>
    </row>
    <row r="88" spans="1:5" ht="11.25" customHeight="1">
      <c r="A88" s="1413" t="s">
        <v>349</v>
      </c>
      <c r="B88" s="1413" t="s">
        <v>356</v>
      </c>
      <c r="C88" s="1413" t="s">
        <v>357</v>
      </c>
      <c r="D88" s="1414">
        <v>0.013</v>
      </c>
      <c r="E88" s="1415"/>
    </row>
    <row r="89" spans="1:5" ht="11.25" customHeight="1">
      <c r="A89" s="1413" t="s">
        <v>358</v>
      </c>
      <c r="B89" s="1413" t="s">
        <v>359</v>
      </c>
      <c r="C89" s="1413" t="s">
        <v>360</v>
      </c>
      <c r="D89" s="1414">
        <v>88.9</v>
      </c>
      <c r="E89" s="1415"/>
    </row>
    <row r="90" spans="1:5" ht="11.25" customHeight="1">
      <c r="A90" s="1413" t="s">
        <v>358</v>
      </c>
      <c r="B90" s="1413" t="s">
        <v>361</v>
      </c>
      <c r="C90" s="1413" t="s">
        <v>362</v>
      </c>
      <c r="D90" s="1414">
        <v>88.9</v>
      </c>
      <c r="E90" s="1414"/>
    </row>
    <row r="91" spans="1:5" ht="11.25" customHeight="1">
      <c r="A91" s="1413" t="s">
        <v>363</v>
      </c>
      <c r="B91" s="1413" t="s">
        <v>364</v>
      </c>
      <c r="C91" s="1413" t="s">
        <v>365</v>
      </c>
      <c r="D91" s="1415">
        <v>1248</v>
      </c>
      <c r="E91" s="1415"/>
    </row>
    <row r="92" spans="1:5" ht="11.25" customHeight="1">
      <c r="A92" s="1413" t="s">
        <v>366</v>
      </c>
      <c r="B92" s="1413" t="s">
        <v>364</v>
      </c>
      <c r="C92" s="1413" t="s">
        <v>365</v>
      </c>
      <c r="D92" s="1415">
        <v>1301</v>
      </c>
      <c r="E92" s="1414"/>
    </row>
    <row r="93" spans="1:5" ht="11.25" customHeight="1">
      <c r="A93" s="1413" t="s">
        <v>367</v>
      </c>
      <c r="B93" s="1413" t="s">
        <v>364</v>
      </c>
      <c r="C93" s="1413" t="s">
        <v>365</v>
      </c>
      <c r="D93" s="1415">
        <v>1422</v>
      </c>
      <c r="E93" s="1415"/>
    </row>
    <row r="94" spans="1:5" ht="11.25" customHeight="1">
      <c r="A94" s="1413" t="s">
        <v>368</v>
      </c>
      <c r="B94" s="1413" t="s">
        <v>364</v>
      </c>
      <c r="C94" s="1413" t="s">
        <v>365</v>
      </c>
      <c r="D94" s="1415">
        <v>1472</v>
      </c>
      <c r="E94" s="1415"/>
    </row>
    <row r="95" spans="1:5" ht="11.25" customHeight="1">
      <c r="A95" s="1413" t="s">
        <v>369</v>
      </c>
      <c r="B95" s="1413" t="s">
        <v>364</v>
      </c>
      <c r="C95" s="1413" t="s">
        <v>365</v>
      </c>
      <c r="D95" s="1415">
        <v>1409</v>
      </c>
      <c r="E95" s="1414"/>
    </row>
    <row r="96" spans="1:5" ht="11.25" customHeight="1">
      <c r="A96" s="1413" t="s">
        <v>370</v>
      </c>
      <c r="B96" s="1413" t="s">
        <v>364</v>
      </c>
      <c r="C96" s="1413" t="s">
        <v>365</v>
      </c>
      <c r="D96" s="1415">
        <v>1422</v>
      </c>
      <c r="E96" s="1415"/>
    </row>
    <row r="97" spans="1:5" ht="11.25" customHeight="1">
      <c r="A97" s="1413" t="s">
        <v>371</v>
      </c>
      <c r="B97" s="1413" t="s">
        <v>364</v>
      </c>
      <c r="C97" s="1413" t="s">
        <v>365</v>
      </c>
      <c r="D97" s="1414">
        <v>0.56</v>
      </c>
      <c r="E97" s="1415"/>
    </row>
    <row r="98" spans="1:5" ht="11.25" customHeight="1">
      <c r="A98" s="1413" t="s">
        <v>371</v>
      </c>
      <c r="B98" s="1413" t="s">
        <v>364</v>
      </c>
      <c r="C98" s="1413" t="s">
        <v>365</v>
      </c>
      <c r="D98" s="1414">
        <v>0.56</v>
      </c>
      <c r="E98" s="1414"/>
    </row>
    <row r="99" spans="1:5" ht="11.25" customHeight="1">
      <c r="A99" s="1413" t="s">
        <v>372</v>
      </c>
      <c r="B99" s="1413" t="s">
        <v>364</v>
      </c>
      <c r="C99" s="1413" t="s">
        <v>365</v>
      </c>
      <c r="D99" s="1415">
        <v>1126</v>
      </c>
      <c r="E99" s="1415"/>
    </row>
    <row r="100" spans="1:7" ht="11.25" customHeight="1">
      <c r="A100" s="1413" t="s">
        <v>373</v>
      </c>
      <c r="B100" s="1413" t="s">
        <v>364</v>
      </c>
      <c r="C100" s="1413" t="s">
        <v>365</v>
      </c>
      <c r="D100" s="1415">
        <v>1145</v>
      </c>
      <c r="E100" s="1413"/>
      <c r="G100" s="1418"/>
    </row>
    <row r="101" spans="1:5" ht="11.25" customHeight="1">
      <c r="A101" s="1413" t="s">
        <v>374</v>
      </c>
      <c r="B101" s="1413" t="s">
        <v>364</v>
      </c>
      <c r="C101" s="1413" t="s">
        <v>365</v>
      </c>
      <c r="D101" s="1415">
        <v>1185</v>
      </c>
      <c r="E101" s="1415"/>
    </row>
    <row r="102" spans="1:5" ht="11.25" customHeight="1">
      <c r="A102" s="1413" t="s">
        <v>375</v>
      </c>
      <c r="B102" s="1413" t="s">
        <v>364</v>
      </c>
      <c r="C102" s="1413" t="s">
        <v>365</v>
      </c>
      <c r="D102" s="1414">
        <v>14.22</v>
      </c>
      <c r="E102" s="1415"/>
    </row>
    <row r="103" spans="1:5" ht="11.25" customHeight="1">
      <c r="A103" s="1413" t="s">
        <v>376</v>
      </c>
      <c r="B103" s="1413" t="s">
        <v>364</v>
      </c>
      <c r="C103" s="1413" t="s">
        <v>365</v>
      </c>
      <c r="D103" s="1415">
        <v>1297</v>
      </c>
      <c r="E103" s="1414"/>
    </row>
    <row r="104" spans="1:5" ht="11.25" customHeight="1">
      <c r="A104" s="1413" t="s">
        <v>377</v>
      </c>
      <c r="B104" s="1413" t="s">
        <v>364</v>
      </c>
      <c r="C104" s="1413" t="s">
        <v>365</v>
      </c>
      <c r="D104" s="1415">
        <v>1354</v>
      </c>
      <c r="E104" s="1415"/>
    </row>
    <row r="105" spans="1:5" ht="11.25" customHeight="1">
      <c r="A105" s="1413" t="s">
        <v>378</v>
      </c>
      <c r="B105" s="1413" t="s">
        <v>364</v>
      </c>
      <c r="C105" s="1413" t="s">
        <v>365</v>
      </c>
      <c r="D105" s="1415">
        <v>1396</v>
      </c>
      <c r="E105" s="1414"/>
    </row>
    <row r="106" spans="1:5" ht="11.25" customHeight="1">
      <c r="A106" s="1413" t="s">
        <v>379</v>
      </c>
      <c r="B106" s="1413" t="s">
        <v>364</v>
      </c>
      <c r="C106" s="1413" t="s">
        <v>365</v>
      </c>
      <c r="D106" s="1415">
        <v>1435</v>
      </c>
      <c r="E106" s="1415"/>
    </row>
    <row r="107" spans="1:5" ht="11.25" customHeight="1">
      <c r="A107" s="1413" t="s">
        <v>380</v>
      </c>
      <c r="B107" s="1413" t="s">
        <v>364</v>
      </c>
      <c r="C107" s="1413" t="s">
        <v>365</v>
      </c>
      <c r="D107" s="1415">
        <v>1447</v>
      </c>
      <c r="E107" s="1414"/>
    </row>
    <row r="108" spans="1:5" ht="11.25" customHeight="1">
      <c r="A108" s="1413" t="s">
        <v>381</v>
      </c>
      <c r="B108" s="1413" t="s">
        <v>364</v>
      </c>
      <c r="C108" s="1413" t="s">
        <v>365</v>
      </c>
      <c r="D108" s="1415">
        <v>1467</v>
      </c>
      <c r="E108" s="1415"/>
    </row>
    <row r="109" spans="1:5" ht="11.25" customHeight="1">
      <c r="A109" s="1413" t="s">
        <v>204</v>
      </c>
      <c r="B109" s="1413" t="s">
        <v>382</v>
      </c>
      <c r="C109" s="1413" t="s">
        <v>383</v>
      </c>
      <c r="D109" s="1414">
        <v>1293</v>
      </c>
      <c r="E109" s="1415"/>
    </row>
    <row r="110" spans="1:5" ht="11.25" customHeight="1">
      <c r="A110" s="1413" t="s">
        <v>384</v>
      </c>
      <c r="B110" s="1413" t="s">
        <v>385</v>
      </c>
      <c r="C110" s="1413" t="s">
        <v>386</v>
      </c>
      <c r="D110" s="1414">
        <v>19.65</v>
      </c>
      <c r="E110" s="1414"/>
    </row>
    <row r="111" spans="1:5" ht="11.25" customHeight="1">
      <c r="A111" s="1413" t="s">
        <v>387</v>
      </c>
      <c r="B111" s="1413" t="s">
        <v>388</v>
      </c>
      <c r="C111" s="1413" t="s">
        <v>389</v>
      </c>
      <c r="D111" s="1414">
        <v>10.19</v>
      </c>
      <c r="E111" s="1415"/>
    </row>
    <row r="112" spans="1:5" ht="11.25" customHeight="1">
      <c r="A112" s="1413" t="s">
        <v>390</v>
      </c>
      <c r="B112" s="1413" t="s">
        <v>388</v>
      </c>
      <c r="C112" s="1413" t="s">
        <v>389</v>
      </c>
      <c r="D112" s="1414">
        <v>16.17</v>
      </c>
      <c r="E112" s="1414"/>
    </row>
    <row r="113" spans="1:5" ht="11.25" customHeight="1">
      <c r="A113" s="1413" t="s">
        <v>391</v>
      </c>
      <c r="B113" s="1413" t="s">
        <v>388</v>
      </c>
      <c r="C113" s="1413" t="s">
        <v>389</v>
      </c>
      <c r="D113" s="1414">
        <v>189.37</v>
      </c>
      <c r="E113" s="1415"/>
    </row>
    <row r="114" spans="1:5" ht="11.25" customHeight="1">
      <c r="A114" s="1413" t="s">
        <v>384</v>
      </c>
      <c r="B114" s="1413" t="s">
        <v>388</v>
      </c>
      <c r="C114" s="1413" t="s">
        <v>389</v>
      </c>
      <c r="D114" s="1414">
        <v>14.01</v>
      </c>
      <c r="E114" s="1415"/>
    </row>
    <row r="115" spans="1:5" ht="11.25" customHeight="1">
      <c r="A115" s="1413" t="s">
        <v>349</v>
      </c>
      <c r="B115" s="1413" t="s">
        <v>392</v>
      </c>
      <c r="C115" s="1413" t="s">
        <v>393</v>
      </c>
      <c r="D115" s="1414">
        <v>0.032</v>
      </c>
      <c r="E115" s="1414"/>
    </row>
    <row r="116" spans="1:5" ht="11.25" customHeight="1">
      <c r="A116" s="1413" t="s">
        <v>179</v>
      </c>
      <c r="B116" s="1413" t="s">
        <v>394</v>
      </c>
      <c r="C116" s="1413" t="s">
        <v>395</v>
      </c>
      <c r="D116" s="1414">
        <v>2364.38</v>
      </c>
      <c r="E116" s="1415"/>
    </row>
    <row r="117" spans="1:5" ht="11.25" customHeight="1">
      <c r="A117" s="1413" t="s">
        <v>387</v>
      </c>
      <c r="B117" s="1413" t="s">
        <v>396</v>
      </c>
      <c r="C117" s="1413" t="s">
        <v>397</v>
      </c>
      <c r="D117" s="1414">
        <v>58.4</v>
      </c>
      <c r="E117" s="1414"/>
    </row>
    <row r="118" spans="1:5" ht="11.25" customHeight="1">
      <c r="A118" s="1413" t="s">
        <v>390</v>
      </c>
      <c r="B118" s="1413" t="s">
        <v>396</v>
      </c>
      <c r="C118" s="1413" t="s">
        <v>397</v>
      </c>
      <c r="D118" s="1414">
        <v>453.76</v>
      </c>
      <c r="E118" s="1415"/>
    </row>
    <row r="119" spans="1:5" ht="11.25" customHeight="1">
      <c r="A119" s="1413" t="s">
        <v>398</v>
      </c>
      <c r="B119" s="1413" t="s">
        <v>396</v>
      </c>
      <c r="C119" s="1413" t="s">
        <v>397</v>
      </c>
      <c r="D119" s="1414">
        <v>3531.4</v>
      </c>
      <c r="E119" s="1414"/>
    </row>
    <row r="120" spans="1:5" ht="11.25" customHeight="1">
      <c r="A120" s="1413" t="s">
        <v>399</v>
      </c>
      <c r="B120" s="1413" t="s">
        <v>396</v>
      </c>
      <c r="C120" s="1413" t="s">
        <v>397</v>
      </c>
      <c r="D120" s="1414">
        <v>6145.94</v>
      </c>
      <c r="E120" s="1415"/>
    </row>
    <row r="121" spans="1:5" ht="11.25" customHeight="1">
      <c r="A121" s="1413" t="s">
        <v>384</v>
      </c>
      <c r="B121" s="1413" t="s">
        <v>396</v>
      </c>
      <c r="C121" s="1413" t="s">
        <v>397</v>
      </c>
      <c r="D121" s="1414">
        <v>863.72</v>
      </c>
      <c r="E121" s="1415"/>
    </row>
    <row r="122" spans="1:5" ht="11.25" customHeight="1">
      <c r="A122" s="1413" t="s">
        <v>179</v>
      </c>
      <c r="B122" s="1413" t="s">
        <v>400</v>
      </c>
      <c r="C122" s="1413" t="s">
        <v>401</v>
      </c>
      <c r="D122" s="1414">
        <v>15384.98</v>
      </c>
      <c r="E122" s="1415"/>
    </row>
    <row r="123" spans="1:5" ht="11.25" customHeight="1">
      <c r="A123" s="1413" t="s">
        <v>179</v>
      </c>
      <c r="B123" s="1413" t="s">
        <v>402</v>
      </c>
      <c r="C123" s="1413" t="s">
        <v>403</v>
      </c>
      <c r="D123" s="1414">
        <v>7692.49</v>
      </c>
      <c r="E123" s="1415"/>
    </row>
    <row r="124" spans="1:5" ht="11.25" customHeight="1">
      <c r="A124" s="1413" t="s">
        <v>179</v>
      </c>
      <c r="B124" s="1413" t="s">
        <v>404</v>
      </c>
      <c r="C124" s="1413" t="s">
        <v>405</v>
      </c>
      <c r="D124" s="1414">
        <v>10256.61</v>
      </c>
      <c r="E124" s="1415"/>
    </row>
    <row r="125" spans="1:5" ht="11.25" customHeight="1">
      <c r="A125" s="1413" t="s">
        <v>179</v>
      </c>
      <c r="B125" s="1413" t="s">
        <v>406</v>
      </c>
      <c r="C125" s="1413" t="s">
        <v>407</v>
      </c>
      <c r="D125" s="1414">
        <v>18886.35</v>
      </c>
      <c r="E125" s="1417"/>
    </row>
    <row r="126" spans="1:5" ht="11.25" customHeight="1">
      <c r="A126" s="1413" t="s">
        <v>179</v>
      </c>
      <c r="B126" s="1413" t="s">
        <v>408</v>
      </c>
      <c r="C126" s="1413" t="s">
        <v>409</v>
      </c>
      <c r="D126" s="1414">
        <v>9443.18</v>
      </c>
      <c r="E126" s="1417"/>
    </row>
    <row r="127" spans="1:5" ht="11.25" customHeight="1">
      <c r="A127" s="1413" t="s">
        <v>179</v>
      </c>
      <c r="B127" s="1413" t="s">
        <v>410</v>
      </c>
      <c r="C127" s="1413" t="s">
        <v>411</v>
      </c>
      <c r="D127" s="1414">
        <v>18886.35</v>
      </c>
      <c r="E127" s="1417"/>
    </row>
    <row r="128" spans="1:5" ht="11.25" customHeight="1">
      <c r="A128" s="1413" t="s">
        <v>179</v>
      </c>
      <c r="B128" s="1413" t="s">
        <v>412</v>
      </c>
      <c r="C128" s="1413" t="s">
        <v>413</v>
      </c>
      <c r="D128" s="1414">
        <v>7692.49</v>
      </c>
      <c r="E128" s="1417"/>
    </row>
    <row r="129" spans="1:5" ht="11.25" customHeight="1">
      <c r="A129" s="1413" t="s">
        <v>371</v>
      </c>
      <c r="B129" s="1413" t="s">
        <v>414</v>
      </c>
      <c r="C129" s="1413" t="s">
        <v>415</v>
      </c>
      <c r="D129" s="1415">
        <v>1547</v>
      </c>
      <c r="E129" s="1415"/>
    </row>
    <row r="130" spans="1:5" ht="11.25" customHeight="1">
      <c r="A130" s="1413" t="s">
        <v>416</v>
      </c>
      <c r="B130" s="1413" t="s">
        <v>417</v>
      </c>
      <c r="C130" s="1413" t="s">
        <v>418</v>
      </c>
      <c r="D130" s="1414">
        <v>0.908</v>
      </c>
      <c r="E130" s="1414"/>
    </row>
    <row r="131" spans="1:5" ht="11.25" customHeight="1">
      <c r="A131" s="1413" t="s">
        <v>419</v>
      </c>
      <c r="B131" s="1413" t="s">
        <v>417</v>
      </c>
      <c r="C131" s="1413" t="s">
        <v>418</v>
      </c>
      <c r="D131" s="1414">
        <v>0.914</v>
      </c>
      <c r="E131" s="1415"/>
    </row>
    <row r="132" spans="1:5" ht="11.25" customHeight="1">
      <c r="A132" s="1413" t="s">
        <v>420</v>
      </c>
      <c r="B132" s="1413" t="s">
        <v>417</v>
      </c>
      <c r="C132" s="1413" t="s">
        <v>418</v>
      </c>
      <c r="D132" s="1414">
        <v>0.916</v>
      </c>
      <c r="E132" s="1414"/>
    </row>
    <row r="133" spans="1:5" ht="11.25" customHeight="1">
      <c r="A133" s="1413" t="s">
        <v>421</v>
      </c>
      <c r="B133" s="1413" t="s">
        <v>417</v>
      </c>
      <c r="C133" s="1413" t="s">
        <v>418</v>
      </c>
      <c r="D133" s="1414">
        <v>0.933</v>
      </c>
      <c r="E133" s="1415"/>
    </row>
    <row r="134" spans="1:5" ht="11.25" customHeight="1">
      <c r="A134" s="1413" t="s">
        <v>204</v>
      </c>
      <c r="B134" s="1413" t="s">
        <v>422</v>
      </c>
      <c r="C134" s="1413" t="s">
        <v>423</v>
      </c>
      <c r="D134" s="1414">
        <v>114.8</v>
      </c>
      <c r="E134" s="1414"/>
    </row>
    <row r="135" spans="1:5" ht="11.25" customHeight="1">
      <c r="A135" s="1413" t="s">
        <v>204</v>
      </c>
      <c r="B135" s="1413" t="s">
        <v>424</v>
      </c>
      <c r="C135" s="1413" t="s">
        <v>425</v>
      </c>
      <c r="D135" s="1414">
        <v>60.07</v>
      </c>
      <c r="E135" s="1415"/>
    </row>
    <row r="136" spans="1:5" ht="11.25" customHeight="1">
      <c r="A136" s="1413" t="s">
        <v>426</v>
      </c>
      <c r="B136" s="1413" t="s">
        <v>427</v>
      </c>
      <c r="C136" s="1413" t="s">
        <v>428</v>
      </c>
      <c r="D136" s="1414">
        <v>66.03</v>
      </c>
      <c r="E136" s="1417"/>
    </row>
    <row r="137" spans="1:5" ht="11.25" customHeight="1">
      <c r="A137" s="1413" t="s">
        <v>429</v>
      </c>
      <c r="B137" s="1413" t="s">
        <v>430</v>
      </c>
      <c r="C137" s="1413" t="s">
        <v>431</v>
      </c>
      <c r="D137" s="1414">
        <v>2162.24</v>
      </c>
      <c r="E137" s="1415"/>
    </row>
    <row r="138" spans="1:5" ht="11.25" customHeight="1">
      <c r="A138" s="1413" t="s">
        <v>204</v>
      </c>
      <c r="B138" s="1413" t="s">
        <v>432</v>
      </c>
      <c r="C138" s="1413" t="s">
        <v>433</v>
      </c>
      <c r="D138" s="1414">
        <v>60.07</v>
      </c>
      <c r="E138" s="1415"/>
    </row>
    <row r="139" spans="1:5" ht="11.25" customHeight="1">
      <c r="A139" s="1413" t="s">
        <v>204</v>
      </c>
      <c r="B139" s="1413" t="s">
        <v>434</v>
      </c>
      <c r="C139" s="1413" t="s">
        <v>435</v>
      </c>
      <c r="D139" s="1414">
        <v>114.8</v>
      </c>
      <c r="E139" s="1415"/>
    </row>
    <row r="140" spans="1:5" ht="11.25" customHeight="1">
      <c r="A140" s="1413" t="s">
        <v>429</v>
      </c>
      <c r="B140" s="1413" t="s">
        <v>436</v>
      </c>
      <c r="C140" s="1413" t="s">
        <v>437</v>
      </c>
      <c r="D140" s="1414">
        <v>5.11</v>
      </c>
      <c r="E140" s="1415"/>
    </row>
    <row r="141" spans="1:5" ht="11.25" customHeight="1">
      <c r="A141" s="1413" t="s">
        <v>179</v>
      </c>
      <c r="B141" s="1413" t="s">
        <v>438</v>
      </c>
      <c r="C141" s="1413" t="s">
        <v>439</v>
      </c>
      <c r="D141" s="1414">
        <v>69.92</v>
      </c>
      <c r="E141" s="1417"/>
    </row>
    <row r="142" spans="1:5" ht="11.25" customHeight="1">
      <c r="A142" s="1413" t="s">
        <v>179</v>
      </c>
      <c r="B142" s="1413" t="s">
        <v>440</v>
      </c>
      <c r="C142" s="1413" t="s">
        <v>441</v>
      </c>
      <c r="D142" s="1414">
        <v>100.04</v>
      </c>
      <c r="E142" s="1417"/>
    </row>
    <row r="143" spans="1:5" ht="11.25" customHeight="1">
      <c r="A143" s="1413" t="s">
        <v>179</v>
      </c>
      <c r="B143" s="1413" t="s">
        <v>442</v>
      </c>
      <c r="C143" s="1413" t="s">
        <v>443</v>
      </c>
      <c r="D143" s="1414">
        <v>160.98</v>
      </c>
      <c r="E143" s="1417"/>
    </row>
    <row r="144" spans="1:5" ht="11.25" customHeight="1">
      <c r="A144" s="1413" t="s">
        <v>179</v>
      </c>
      <c r="B144" s="1413" t="s">
        <v>444</v>
      </c>
      <c r="C144" s="1413" t="s">
        <v>445</v>
      </c>
      <c r="D144" s="1414">
        <v>31.79</v>
      </c>
      <c r="E144" s="1417"/>
    </row>
    <row r="145" spans="1:5" ht="11.25" customHeight="1">
      <c r="A145" s="1413" t="s">
        <v>179</v>
      </c>
      <c r="B145" s="1413" t="s">
        <v>446</v>
      </c>
      <c r="C145" s="1413" t="s">
        <v>447</v>
      </c>
      <c r="D145" s="1414">
        <v>30.6</v>
      </c>
      <c r="E145" s="1415"/>
    </row>
    <row r="146" spans="1:5" ht="11.25" customHeight="1">
      <c r="A146" s="1413" t="s">
        <v>179</v>
      </c>
      <c r="B146" s="1413" t="s">
        <v>448</v>
      </c>
      <c r="C146" s="1413" t="s">
        <v>449</v>
      </c>
      <c r="D146" s="1414">
        <v>82.91</v>
      </c>
      <c r="E146" s="1415"/>
    </row>
    <row r="147" spans="1:5" ht="11.25" customHeight="1">
      <c r="A147" s="1413" t="s">
        <v>179</v>
      </c>
      <c r="B147" s="1413" t="s">
        <v>450</v>
      </c>
      <c r="C147" s="1413" t="s">
        <v>451</v>
      </c>
      <c r="D147" s="1414">
        <v>49.62</v>
      </c>
      <c r="E147" s="1415"/>
    </row>
    <row r="148" spans="1:5" ht="11.25" customHeight="1">
      <c r="A148" s="1413" t="s">
        <v>179</v>
      </c>
      <c r="B148" s="1413" t="s">
        <v>452</v>
      </c>
      <c r="C148" s="1413" t="s">
        <v>453</v>
      </c>
      <c r="D148" s="1414">
        <v>91.84</v>
      </c>
      <c r="E148" s="1415"/>
    </row>
    <row r="149" spans="1:5" ht="11.25" customHeight="1">
      <c r="A149" s="1413" t="s">
        <v>179</v>
      </c>
      <c r="B149" s="1413" t="s">
        <v>454</v>
      </c>
      <c r="C149" s="1413" t="s">
        <v>455</v>
      </c>
      <c r="D149" s="1414">
        <v>133.58</v>
      </c>
      <c r="E149" s="1415"/>
    </row>
    <row r="150" spans="1:5" ht="11.25" customHeight="1">
      <c r="A150" s="1413" t="s">
        <v>176</v>
      </c>
      <c r="B150" s="1413" t="s">
        <v>456</v>
      </c>
      <c r="C150" s="1413" t="s">
        <v>457</v>
      </c>
      <c r="D150" s="1414">
        <v>53.5</v>
      </c>
      <c r="E150" s="1415"/>
    </row>
    <row r="151" spans="1:5" ht="11.25" customHeight="1">
      <c r="A151" s="1413" t="s">
        <v>176</v>
      </c>
      <c r="B151" s="1413" t="s">
        <v>458</v>
      </c>
      <c r="C151" s="1413" t="s">
        <v>459</v>
      </c>
      <c r="D151" s="1414">
        <v>67.75</v>
      </c>
      <c r="E151" s="1414"/>
    </row>
    <row r="152" spans="1:5" ht="11.25" customHeight="1">
      <c r="A152" s="1413" t="s">
        <v>176</v>
      </c>
      <c r="B152" s="1413" t="s">
        <v>460</v>
      </c>
      <c r="C152" s="1413" t="s">
        <v>461</v>
      </c>
      <c r="D152" s="1414">
        <v>91.66</v>
      </c>
      <c r="E152" s="1415"/>
    </row>
    <row r="153" spans="1:5" ht="11.25" customHeight="1">
      <c r="A153" s="1413" t="s">
        <v>176</v>
      </c>
      <c r="B153" s="1413" t="s">
        <v>462</v>
      </c>
      <c r="C153" s="1413" t="s">
        <v>463</v>
      </c>
      <c r="D153" s="1414">
        <v>100.35</v>
      </c>
      <c r="E153" s="1414"/>
    </row>
    <row r="154" spans="1:5" ht="11.25" customHeight="1">
      <c r="A154" s="1413" t="s">
        <v>176</v>
      </c>
      <c r="B154" s="1413" t="s">
        <v>464</v>
      </c>
      <c r="C154" s="1413" t="s">
        <v>465</v>
      </c>
      <c r="D154" s="1414">
        <v>138.72</v>
      </c>
      <c r="E154" s="1415"/>
    </row>
    <row r="155" spans="1:5" ht="11.25" customHeight="1">
      <c r="A155" s="1413" t="s">
        <v>176</v>
      </c>
      <c r="B155" s="1413" t="s">
        <v>466</v>
      </c>
      <c r="C155" s="1413" t="s">
        <v>467</v>
      </c>
      <c r="D155" s="1414">
        <v>191.98</v>
      </c>
      <c r="E155" s="1414"/>
    </row>
    <row r="156" spans="1:5" ht="11.25" customHeight="1">
      <c r="A156" s="1413" t="s">
        <v>179</v>
      </c>
      <c r="B156" s="1413" t="s">
        <v>468</v>
      </c>
      <c r="C156" s="1413" t="s">
        <v>469</v>
      </c>
      <c r="D156" s="1414">
        <v>172.96</v>
      </c>
      <c r="E156" s="1415"/>
    </row>
    <row r="157" spans="1:5" ht="11.25" customHeight="1">
      <c r="A157" s="1413" t="s">
        <v>179</v>
      </c>
      <c r="B157" s="1413" t="s">
        <v>470</v>
      </c>
      <c r="C157" s="1413" t="s">
        <v>471</v>
      </c>
      <c r="D157" s="1414">
        <v>231.45</v>
      </c>
      <c r="E157" s="1415"/>
    </row>
    <row r="158" spans="1:5" ht="11.25" customHeight="1">
      <c r="A158" s="1413" t="s">
        <v>179</v>
      </c>
      <c r="B158" s="1413" t="s">
        <v>472</v>
      </c>
      <c r="C158" s="1413" t="s">
        <v>473</v>
      </c>
      <c r="D158" s="1414">
        <v>176.15</v>
      </c>
      <c r="E158" s="1415"/>
    </row>
    <row r="159" spans="1:5" ht="11.25" customHeight="1">
      <c r="A159" s="1413" t="s">
        <v>179</v>
      </c>
      <c r="B159" s="1413" t="s">
        <v>474</v>
      </c>
      <c r="C159" s="1413" t="s">
        <v>475</v>
      </c>
      <c r="D159" s="1414">
        <v>269.42</v>
      </c>
      <c r="E159" s="1415"/>
    </row>
    <row r="160" spans="1:5" ht="11.25" customHeight="1">
      <c r="A160" s="1413" t="s">
        <v>179</v>
      </c>
      <c r="B160" s="1413" t="s">
        <v>476</v>
      </c>
      <c r="C160" s="1413" t="s">
        <v>477</v>
      </c>
      <c r="D160" s="1414">
        <v>229.04</v>
      </c>
      <c r="E160" s="1415"/>
    </row>
    <row r="161" spans="1:5" ht="11.25" customHeight="1">
      <c r="A161" s="1413" t="s">
        <v>179</v>
      </c>
      <c r="B161" s="1413" t="s">
        <v>478</v>
      </c>
      <c r="C161" s="1413" t="s">
        <v>479</v>
      </c>
      <c r="D161" s="1414">
        <v>291.93</v>
      </c>
      <c r="E161" s="1415"/>
    </row>
    <row r="162" spans="1:5" ht="11.25" customHeight="1">
      <c r="A162" s="1413" t="s">
        <v>188</v>
      </c>
      <c r="B162" s="1413" t="s">
        <v>480</v>
      </c>
      <c r="C162" s="1413" t="s">
        <v>481</v>
      </c>
      <c r="D162" s="1414">
        <v>120.8</v>
      </c>
      <c r="E162" s="1415"/>
    </row>
    <row r="163" spans="1:5" ht="11.25" customHeight="1">
      <c r="A163" s="1413" t="s">
        <v>188</v>
      </c>
      <c r="B163" s="1413" t="s">
        <v>482</v>
      </c>
      <c r="C163" s="1413" t="s">
        <v>483</v>
      </c>
      <c r="D163" s="1414">
        <v>170.3</v>
      </c>
      <c r="E163" s="1414"/>
    </row>
    <row r="164" spans="1:5" ht="11.25" customHeight="1">
      <c r="A164" s="1413" t="s">
        <v>188</v>
      </c>
      <c r="B164" s="1413" t="s">
        <v>484</v>
      </c>
      <c r="C164" s="1413" t="s">
        <v>485</v>
      </c>
      <c r="D164" s="1414">
        <v>152.38</v>
      </c>
      <c r="E164" s="1415"/>
    </row>
    <row r="165" spans="1:5" ht="11.25" customHeight="1">
      <c r="A165" s="1413" t="s">
        <v>188</v>
      </c>
      <c r="B165" s="1413" t="s">
        <v>486</v>
      </c>
      <c r="C165" s="1413" t="s">
        <v>487</v>
      </c>
      <c r="D165" s="1414">
        <v>201.85</v>
      </c>
      <c r="E165" s="1414"/>
    </row>
    <row r="166" spans="1:5" ht="11.25" customHeight="1">
      <c r="A166" s="1413" t="s">
        <v>188</v>
      </c>
      <c r="B166" s="1413" t="s">
        <v>488</v>
      </c>
      <c r="C166" s="1413" t="s">
        <v>489</v>
      </c>
      <c r="D166" s="1414">
        <v>204.72</v>
      </c>
      <c r="E166" s="1415"/>
    </row>
    <row r="167" spans="1:5" ht="11.25" customHeight="1">
      <c r="A167" s="1413" t="s">
        <v>188</v>
      </c>
      <c r="B167" s="1413" t="s">
        <v>490</v>
      </c>
      <c r="C167" s="1413" t="s">
        <v>491</v>
      </c>
      <c r="D167" s="1414">
        <v>264.38</v>
      </c>
      <c r="E167" s="1415"/>
    </row>
    <row r="168" spans="1:5" ht="11.25" customHeight="1">
      <c r="A168" s="1413" t="s">
        <v>188</v>
      </c>
      <c r="B168" s="1413" t="s">
        <v>492</v>
      </c>
      <c r="C168" s="1413" t="s">
        <v>493</v>
      </c>
      <c r="D168" s="1414">
        <v>185.84</v>
      </c>
      <c r="E168" s="1414"/>
    </row>
    <row r="169" spans="1:5" ht="11.25" customHeight="1">
      <c r="A169" s="1413" t="s">
        <v>179</v>
      </c>
      <c r="B169" s="1413" t="s">
        <v>494</v>
      </c>
      <c r="C169" s="1413" t="s">
        <v>495</v>
      </c>
      <c r="D169" s="1414">
        <v>278.67</v>
      </c>
      <c r="E169" s="1414"/>
    </row>
    <row r="170" spans="1:5" ht="11.25" customHeight="1">
      <c r="A170" s="1413" t="s">
        <v>399</v>
      </c>
      <c r="B170" s="1413" t="s">
        <v>496</v>
      </c>
      <c r="C170" s="1413" t="s">
        <v>497</v>
      </c>
      <c r="D170" s="1414">
        <v>21.59</v>
      </c>
      <c r="E170" s="1414"/>
    </row>
    <row r="171" spans="1:5" ht="11.25" customHeight="1">
      <c r="A171" s="1413" t="s">
        <v>399</v>
      </c>
      <c r="B171" s="1413" t="s">
        <v>498</v>
      </c>
      <c r="C171" s="1413" t="s">
        <v>499</v>
      </c>
      <c r="D171" s="1414">
        <v>64.07</v>
      </c>
      <c r="E171" s="1415"/>
    </row>
    <row r="172" spans="1:5" ht="11.25" customHeight="1">
      <c r="A172" s="1413" t="s">
        <v>399</v>
      </c>
      <c r="B172" s="1413" t="s">
        <v>500</v>
      </c>
      <c r="C172" s="1413" t="s">
        <v>501</v>
      </c>
      <c r="D172" s="1414">
        <v>32.06</v>
      </c>
      <c r="E172" s="1414"/>
    </row>
    <row r="173" spans="1:5" ht="11.25" customHeight="1">
      <c r="A173" s="1413" t="s">
        <v>399</v>
      </c>
      <c r="B173" s="1413" t="s">
        <v>502</v>
      </c>
      <c r="C173" s="1413" t="s">
        <v>503</v>
      </c>
      <c r="D173" s="1414">
        <v>72.51</v>
      </c>
      <c r="E173" s="1415"/>
    </row>
    <row r="174" spans="1:5" ht="11.25" customHeight="1">
      <c r="A174" s="1413"/>
      <c r="B174" s="1413"/>
      <c r="C174" s="1413"/>
      <c r="D174" s="1419"/>
      <c r="E174" s="1414"/>
    </row>
    <row r="175" spans="1:5" ht="11.25" customHeight="1">
      <c r="A175" s="1413"/>
      <c r="B175" s="1413"/>
      <c r="C175" s="1413"/>
      <c r="D175" s="1419"/>
      <c r="E175" s="1414"/>
    </row>
    <row r="176" spans="1:5" ht="11.25" customHeight="1">
      <c r="A176" s="1413"/>
      <c r="B176" s="1413"/>
      <c r="C176" s="1413"/>
      <c r="D176" s="1419"/>
      <c r="E176" s="1414"/>
    </row>
    <row r="177" spans="1:5" ht="11.25" customHeight="1">
      <c r="A177" s="1413"/>
      <c r="B177" s="1413"/>
      <c r="C177" s="1413"/>
      <c r="D177" s="1419"/>
      <c r="E177" s="1414"/>
    </row>
    <row r="178" spans="1:5" ht="11.25" customHeight="1">
      <c r="A178" s="1413"/>
      <c r="B178" s="1413"/>
      <c r="C178" s="1413"/>
      <c r="D178" s="1419"/>
      <c r="E178" s="1414"/>
    </row>
    <row r="179" spans="1:5" ht="11.25" customHeight="1">
      <c r="A179" s="1413"/>
      <c r="B179" s="1413"/>
      <c r="C179" s="1413"/>
      <c r="D179" s="1419"/>
      <c r="E179" s="1414"/>
    </row>
    <row r="180" spans="1:5" ht="11.25" customHeight="1">
      <c r="A180" s="1413"/>
      <c r="B180" s="1413"/>
      <c r="C180" s="1413"/>
      <c r="D180" s="1419"/>
      <c r="E180" s="1415"/>
    </row>
    <row r="181" spans="1:5" ht="11.25" customHeight="1">
      <c r="A181" s="1413"/>
      <c r="B181" s="1413"/>
      <c r="C181" s="1413"/>
      <c r="D181" s="1419"/>
      <c r="E181" s="1415"/>
    </row>
    <row r="182" spans="1:5" ht="11.25" customHeight="1">
      <c r="A182" s="1413"/>
      <c r="B182" s="1413"/>
      <c r="C182" s="1413"/>
      <c r="D182" s="1419"/>
      <c r="E182" s="1415"/>
    </row>
    <row r="183" spans="1:5" ht="11.25" customHeight="1">
      <c r="A183" s="1413"/>
      <c r="B183" s="1413"/>
      <c r="C183" s="1413"/>
      <c r="D183" s="1419"/>
      <c r="E183" s="1415"/>
    </row>
    <row r="184" spans="4:5" ht="11.25" customHeight="1">
      <c r="D184" s="1416"/>
      <c r="E184" s="1415"/>
    </row>
    <row r="185" spans="4:5" ht="11.25" customHeight="1">
      <c r="D185" s="1416"/>
      <c r="E185" s="1415"/>
    </row>
    <row r="186" spans="4:5" ht="11.25" customHeight="1">
      <c r="D186" s="1416"/>
      <c r="E186" s="1414"/>
    </row>
    <row r="187" spans="4:5" ht="11.25" customHeight="1">
      <c r="D187" s="1416"/>
      <c r="E187" s="1414"/>
    </row>
    <row r="188" spans="4:5" ht="11.25" customHeight="1">
      <c r="D188" s="1416"/>
      <c r="E188" s="1415"/>
    </row>
    <row r="189" spans="4:5" ht="11.25" customHeight="1">
      <c r="D189" s="1416"/>
      <c r="E189" s="1415"/>
    </row>
    <row r="190" spans="4:5" ht="11.25" customHeight="1">
      <c r="D190" s="1416"/>
      <c r="E190" s="1415"/>
    </row>
    <row r="191" spans="4:5" ht="11.25" customHeight="1">
      <c r="D191" s="1416"/>
      <c r="E191" s="1415"/>
    </row>
    <row r="192" spans="4:5" ht="11.25" customHeight="1">
      <c r="D192" s="1416"/>
      <c r="E192" s="1415"/>
    </row>
    <row r="193" spans="4:5" ht="11.25" customHeight="1">
      <c r="D193" s="1416"/>
      <c r="E193" s="1415"/>
    </row>
    <row r="194" spans="4:5" ht="11.25" customHeight="1">
      <c r="D194" s="1416"/>
      <c r="E194" s="1415"/>
    </row>
    <row r="195" spans="4:5" ht="11.25" customHeight="1">
      <c r="D195" s="1416"/>
      <c r="E195" s="1415"/>
    </row>
    <row r="196" spans="4:5" ht="11.25" customHeight="1">
      <c r="D196" s="1416"/>
      <c r="E196" s="1415"/>
    </row>
    <row r="197" spans="4:5" ht="11.25" customHeight="1">
      <c r="D197" s="1416"/>
      <c r="E197" s="1414"/>
    </row>
    <row r="198" spans="4:5" ht="11.25" customHeight="1">
      <c r="D198" s="1416"/>
      <c r="E198" s="1415"/>
    </row>
    <row r="199" spans="4:5" ht="11.25" customHeight="1">
      <c r="D199" s="1416"/>
      <c r="E199" s="1415"/>
    </row>
    <row r="200" spans="4:5" ht="11.25" customHeight="1">
      <c r="D200" s="1416"/>
      <c r="E200" s="1415"/>
    </row>
    <row r="201" spans="4:5" ht="11.25" customHeight="1">
      <c r="D201" s="1416"/>
      <c r="E201" s="1415"/>
    </row>
    <row r="202" spans="4:5" ht="11.25" customHeight="1">
      <c r="D202" s="1416"/>
      <c r="E202" s="1414"/>
    </row>
    <row r="203" spans="4:5" ht="11.25" customHeight="1">
      <c r="D203" s="1416"/>
      <c r="E203" s="1414"/>
    </row>
    <row r="204" spans="4:5" ht="11.25" customHeight="1">
      <c r="D204" s="1416"/>
      <c r="E204" s="1414"/>
    </row>
    <row r="205" spans="4:5" ht="11.25" customHeight="1">
      <c r="D205" s="1416"/>
      <c r="E205" s="1414"/>
    </row>
    <row r="206" spans="4:5" ht="11.25" customHeight="1">
      <c r="D206" s="1416"/>
      <c r="E206" s="1415"/>
    </row>
    <row r="207" spans="4:5" ht="11.25" customHeight="1">
      <c r="D207" s="1416"/>
      <c r="E207" s="1415"/>
    </row>
    <row r="208" spans="4:5" ht="11.25" customHeight="1">
      <c r="D208" s="1416"/>
      <c r="E208" s="1415"/>
    </row>
    <row r="209" spans="4:5" ht="11.25" customHeight="1">
      <c r="D209" s="1416"/>
      <c r="E209" s="1415"/>
    </row>
    <row r="210" spans="4:5" ht="11.25" customHeight="1">
      <c r="D210" s="1416"/>
      <c r="E210" s="1414"/>
    </row>
    <row r="211" spans="4:5" ht="11.25" customHeight="1">
      <c r="D211" s="1416"/>
      <c r="E211" s="1414"/>
    </row>
    <row r="212" spans="4:5" ht="11.25" customHeight="1">
      <c r="D212" s="1416"/>
      <c r="E212" s="1414"/>
    </row>
    <row r="213" spans="4:5" ht="11.25" customHeight="1">
      <c r="D213" s="1416"/>
      <c r="E213" s="1415"/>
    </row>
    <row r="214" spans="4:5" ht="11.25" customHeight="1">
      <c r="D214" s="1416"/>
      <c r="E214" s="1415"/>
    </row>
    <row r="215" spans="4:5" ht="11.25" customHeight="1">
      <c r="D215" s="1416"/>
      <c r="E215" s="1415"/>
    </row>
    <row r="216" spans="4:5" ht="11.25" customHeight="1">
      <c r="D216" s="1416"/>
      <c r="E216" s="1415"/>
    </row>
    <row r="217" spans="4:5" ht="11.25" customHeight="1">
      <c r="D217" s="1416"/>
      <c r="E217" s="1415"/>
    </row>
    <row r="218" spans="4:5" ht="11.25" customHeight="1">
      <c r="D218" s="1416"/>
      <c r="E218" s="1415"/>
    </row>
    <row r="219" spans="1:5" ht="11.25" customHeight="1">
      <c r="A219" s="1420"/>
      <c r="B219" s="1420"/>
      <c r="C219" s="1420"/>
      <c r="D219" s="1421"/>
      <c r="E219" s="1415"/>
    </row>
    <row r="220" spans="1:5" ht="11.25" customHeight="1">
      <c r="A220" s="1420"/>
      <c r="B220" s="1420"/>
      <c r="C220" s="1420"/>
      <c r="D220" s="1421"/>
      <c r="E220" s="1415"/>
    </row>
    <row r="221" spans="1:5" ht="11.25" customHeight="1">
      <c r="A221" s="1420"/>
      <c r="B221" s="1420"/>
      <c r="C221" s="1420"/>
      <c r="D221" s="1421"/>
      <c r="E221" s="1415"/>
    </row>
    <row r="222" spans="1:5" ht="11.25" customHeight="1">
      <c r="A222" s="1420"/>
      <c r="B222" s="1420"/>
      <c r="C222" s="1420"/>
      <c r="D222" s="1421"/>
      <c r="E222" s="1415"/>
    </row>
    <row r="223" spans="1:5" ht="11.25" customHeight="1">
      <c r="A223" s="1420"/>
      <c r="B223" s="1420"/>
      <c r="C223" s="1420"/>
      <c r="D223" s="1421"/>
      <c r="E223" s="1415"/>
    </row>
    <row r="224" spans="1:5" ht="11.25" customHeight="1">
      <c r="A224" s="1420"/>
      <c r="B224" s="1420"/>
      <c r="C224" s="1420"/>
      <c r="D224" s="1421"/>
      <c r="E224" s="1415"/>
    </row>
    <row r="225" spans="1:5" ht="11.25" customHeight="1">
      <c r="A225" s="1420"/>
      <c r="B225" s="1420"/>
      <c r="C225" s="1420"/>
      <c r="D225" s="1421"/>
      <c r="E225" s="1415"/>
    </row>
    <row r="226" spans="1:5" ht="11.25" customHeight="1">
      <c r="A226" s="1420"/>
      <c r="B226" s="1420"/>
      <c r="C226" s="1420"/>
      <c r="D226" s="1421"/>
      <c r="E226" s="1415"/>
    </row>
    <row r="227" spans="1:5" ht="11.25" customHeight="1">
      <c r="A227" s="1420"/>
      <c r="B227" s="1420"/>
      <c r="C227" s="1420"/>
      <c r="D227" s="1421"/>
      <c r="E227" s="1415"/>
    </row>
    <row r="228" spans="4:5" ht="11.25" customHeight="1">
      <c r="D228" s="1418"/>
      <c r="E228" s="1415"/>
    </row>
    <row r="229" spans="4:5" ht="11.25" customHeight="1">
      <c r="D229" s="1418"/>
      <c r="E229" s="1415"/>
    </row>
    <row r="230" spans="4:5" ht="11.25" customHeight="1">
      <c r="D230" s="1418"/>
      <c r="E230" s="1414"/>
    </row>
    <row r="231" spans="4:5" ht="11.25" customHeight="1">
      <c r="D231" s="1418"/>
      <c r="E231" s="1414"/>
    </row>
    <row r="232" spans="4:5" ht="11.25" customHeight="1">
      <c r="D232" s="1418"/>
      <c r="E232" s="1414"/>
    </row>
    <row r="233" spans="4:5" ht="11.25" customHeight="1">
      <c r="D233" s="1418"/>
      <c r="E233" s="1414"/>
    </row>
    <row r="234" spans="4:5" ht="11.25" customHeight="1">
      <c r="D234" s="1418"/>
      <c r="E234" s="1415"/>
    </row>
    <row r="235" spans="4:5" ht="11.25" customHeight="1">
      <c r="D235" s="1418"/>
      <c r="E235" s="1415"/>
    </row>
    <row r="236" spans="4:5" ht="11.25" customHeight="1">
      <c r="D236" s="1418"/>
      <c r="E236" s="1415"/>
    </row>
    <row r="237" spans="4:5" ht="11.25" customHeight="1">
      <c r="D237" s="1418"/>
      <c r="E237" s="1414"/>
    </row>
    <row r="238" spans="4:5" ht="11.25" customHeight="1">
      <c r="D238" s="1418"/>
      <c r="E238" s="1415"/>
    </row>
    <row r="239" spans="4:5" ht="11.25" customHeight="1">
      <c r="D239" s="1418"/>
      <c r="E239" s="1415"/>
    </row>
    <row r="240" spans="4:5" ht="11.25" customHeight="1">
      <c r="D240" s="1418"/>
      <c r="E240" s="1414"/>
    </row>
    <row r="241" spans="4:5" ht="11.25" customHeight="1">
      <c r="D241" s="1418"/>
      <c r="E241" s="1415"/>
    </row>
    <row r="242" spans="4:5" ht="11.25" customHeight="1">
      <c r="D242" s="1418"/>
      <c r="E242" s="1415"/>
    </row>
    <row r="243" spans="4:5" ht="11.25" customHeight="1">
      <c r="D243" s="1418"/>
      <c r="E243" s="1415"/>
    </row>
    <row r="244" spans="4:5" ht="11.25" customHeight="1">
      <c r="D244" s="1418"/>
      <c r="E244" s="1415"/>
    </row>
    <row r="245" spans="4:5" ht="11.25" customHeight="1">
      <c r="D245" s="1418"/>
      <c r="E245" s="1415"/>
    </row>
    <row r="246" spans="4:5" ht="11.25" customHeight="1">
      <c r="D246" s="1418"/>
      <c r="E246" s="1414"/>
    </row>
    <row r="247" spans="4:5" ht="11.25" customHeight="1">
      <c r="D247" s="1418"/>
      <c r="E247" s="1415"/>
    </row>
    <row r="248" spans="4:5" ht="11.25" customHeight="1">
      <c r="D248" s="1418"/>
      <c r="E248" s="1415"/>
    </row>
    <row r="249" spans="4:5" ht="11.25" customHeight="1">
      <c r="D249" s="1418"/>
      <c r="E249" s="1414"/>
    </row>
    <row r="250" spans="4:5" ht="11.25" customHeight="1">
      <c r="D250" s="1418"/>
      <c r="E250" s="1415"/>
    </row>
    <row r="251" spans="4:5" ht="11.25" customHeight="1">
      <c r="D251" s="1418"/>
      <c r="E251" s="1415"/>
    </row>
    <row r="252" spans="4:5" ht="11.25" customHeight="1">
      <c r="D252" s="1418"/>
      <c r="E252" s="1415"/>
    </row>
    <row r="253" spans="4:5" ht="11.25" customHeight="1">
      <c r="D253" s="1418"/>
      <c r="E253" s="1415"/>
    </row>
    <row r="254" spans="4:5" ht="11.25" customHeight="1">
      <c r="D254" s="1418"/>
      <c r="E254" s="1415"/>
    </row>
    <row r="255" spans="4:5" ht="11.25" customHeight="1">
      <c r="D255" s="1418"/>
      <c r="E255" s="1415"/>
    </row>
    <row r="256" spans="4:5" ht="11.25" customHeight="1">
      <c r="D256" s="1418"/>
      <c r="E256" s="1415"/>
    </row>
    <row r="257" spans="4:5" ht="11.25" customHeight="1">
      <c r="D257" s="1418"/>
      <c r="E257" s="1415"/>
    </row>
    <row r="258" spans="4:5" ht="11.25" customHeight="1">
      <c r="D258" s="1418"/>
      <c r="E258" s="1415"/>
    </row>
    <row r="259" spans="4:5" ht="11.25" customHeight="1">
      <c r="D259" s="1418"/>
      <c r="E259" s="1415"/>
    </row>
    <row r="260" spans="4:5" ht="11.25" customHeight="1">
      <c r="D260" s="1418"/>
      <c r="E260" s="1415"/>
    </row>
    <row r="261" spans="4:5" ht="11.25" customHeight="1">
      <c r="D261" s="1418"/>
      <c r="E261" s="1415"/>
    </row>
    <row r="262" spans="4:5" ht="11.25" customHeight="1">
      <c r="D262" s="1418"/>
      <c r="E262" s="1415"/>
    </row>
    <row r="263" spans="4:5" ht="11.25" customHeight="1">
      <c r="D263" s="1418"/>
      <c r="E263" s="1415"/>
    </row>
    <row r="264" spans="4:5" ht="11.25" customHeight="1">
      <c r="D264" s="1418"/>
      <c r="E264" s="1415"/>
    </row>
    <row r="265" spans="4:5" ht="11.25" customHeight="1">
      <c r="D265" s="1418"/>
      <c r="E265" s="1415"/>
    </row>
    <row r="266" spans="4:5" ht="11.25" customHeight="1">
      <c r="D266" s="1418"/>
      <c r="E266" s="1415"/>
    </row>
    <row r="267" spans="4:5" ht="11.25" customHeight="1">
      <c r="D267" s="1418"/>
      <c r="E267" s="1415"/>
    </row>
    <row r="268" spans="4:5" ht="11.25" customHeight="1">
      <c r="D268" s="1418"/>
      <c r="E268" s="1415"/>
    </row>
    <row r="269" spans="4:5" ht="11.25" customHeight="1">
      <c r="D269" s="1418"/>
      <c r="E269" s="1415"/>
    </row>
    <row r="270" spans="4:5" ht="11.25" customHeight="1">
      <c r="D270" s="1418"/>
      <c r="E270" s="1415"/>
    </row>
    <row r="271" spans="4:5" ht="11.25" customHeight="1">
      <c r="D271" s="1418"/>
      <c r="E271" s="1415"/>
    </row>
    <row r="272" spans="4:5" ht="11.25" customHeight="1">
      <c r="D272" s="1418"/>
      <c r="E272" s="1415"/>
    </row>
    <row r="273" spans="4:5" ht="11.25" customHeight="1">
      <c r="D273" s="1418"/>
      <c r="E273" s="1415"/>
    </row>
    <row r="274" spans="4:5" ht="11.25" customHeight="1">
      <c r="D274" s="1418"/>
      <c r="E274" s="1415"/>
    </row>
    <row r="275" spans="4:5" ht="11.25" customHeight="1">
      <c r="D275" s="1418"/>
      <c r="E275" s="1415"/>
    </row>
    <row r="276" spans="4:5" ht="11.25" customHeight="1">
      <c r="D276" s="1418"/>
      <c r="E276" s="1415"/>
    </row>
    <row r="277" spans="4:5" ht="11.25" customHeight="1">
      <c r="D277" s="1418"/>
      <c r="E277" s="1415"/>
    </row>
    <row r="278" spans="4:5" ht="11.25" customHeight="1">
      <c r="D278" s="1418"/>
      <c r="E278" s="1415"/>
    </row>
    <row r="279" spans="4:5" ht="11.25" customHeight="1">
      <c r="D279" s="1418"/>
      <c r="E279" s="1415"/>
    </row>
    <row r="280" spans="1:5" ht="11.25" customHeight="1">
      <c r="A280" s="1413"/>
      <c r="B280" s="1413"/>
      <c r="C280" s="1413"/>
      <c r="D280" s="1419"/>
      <c r="E280" s="1415"/>
    </row>
    <row r="281" spans="1:5" ht="11.25" customHeight="1">
      <c r="A281" s="1413"/>
      <c r="B281" s="1413"/>
      <c r="C281" s="1413"/>
      <c r="D281" s="1419"/>
      <c r="E281" s="1414"/>
    </row>
    <row r="282" spans="1:5" ht="11.25" customHeight="1">
      <c r="A282" s="1413"/>
      <c r="B282" s="1413"/>
      <c r="C282" s="1413"/>
      <c r="D282" s="1419"/>
      <c r="E282" s="1414"/>
    </row>
    <row r="283" spans="1:5" ht="11.25" customHeight="1">
      <c r="A283" s="1422"/>
      <c r="B283" s="1422"/>
      <c r="C283" s="1422"/>
      <c r="D283" s="1423"/>
      <c r="E283" s="1414"/>
    </row>
    <row r="284" spans="1:5" ht="11.25" customHeight="1">
      <c r="A284" s="1413"/>
      <c r="B284" s="1413"/>
      <c r="C284" s="1413"/>
      <c r="D284" s="1424"/>
      <c r="E284" s="1414"/>
    </row>
    <row r="285" spans="1:5" ht="11.25" customHeight="1">
      <c r="A285" s="1413"/>
      <c r="B285" s="1413"/>
      <c r="C285" s="1413"/>
      <c r="D285" s="1424"/>
      <c r="E285" s="1414"/>
    </row>
    <row r="286" spans="1:5" ht="11.25" customHeight="1">
      <c r="A286" s="1425"/>
      <c r="B286" s="1426"/>
      <c r="C286" s="1426"/>
      <c r="D286" s="1427"/>
      <c r="E286" s="1414"/>
    </row>
    <row r="287" spans="1:5" ht="11.25" customHeight="1">
      <c r="A287" s="1428"/>
      <c r="B287" s="1428"/>
      <c r="C287" s="1428"/>
      <c r="D287" s="1429"/>
      <c r="E287" s="1414"/>
    </row>
    <row r="288" ht="11.25" customHeight="1">
      <c r="E288" s="1414"/>
    </row>
    <row r="289" ht="11.25" customHeight="1">
      <c r="E289" s="1414"/>
    </row>
    <row r="290" spans="1:5" ht="11.25" customHeight="1">
      <c r="A290" s="1420"/>
      <c r="B290" s="1420"/>
      <c r="C290" s="1420"/>
      <c r="D290" s="1421"/>
      <c r="E290" s="1414"/>
    </row>
    <row r="291" spans="1:5" ht="11.25" customHeight="1">
      <c r="A291" s="1413"/>
      <c r="B291" s="1428"/>
      <c r="C291" s="1428"/>
      <c r="D291" s="1429"/>
      <c r="E291" s="1414"/>
    </row>
    <row r="292" spans="1:5" ht="11.25" customHeight="1">
      <c r="A292" s="1413"/>
      <c r="B292" s="1428"/>
      <c r="C292" s="1428"/>
      <c r="D292" s="1429"/>
      <c r="E292" s="1414"/>
    </row>
    <row r="293" spans="1:5" ht="11.25" customHeight="1">
      <c r="A293" s="1413"/>
      <c r="B293" s="1428"/>
      <c r="C293" s="1428"/>
      <c r="D293" s="1429"/>
      <c r="E293" s="1414"/>
    </row>
    <row r="294" spans="1:5" ht="11.25" customHeight="1">
      <c r="A294" s="1413"/>
      <c r="B294" s="1428"/>
      <c r="C294" s="1428"/>
      <c r="D294" s="1429"/>
      <c r="E294" s="1414"/>
    </row>
    <row r="295" spans="1:5" ht="11.25" customHeight="1">
      <c r="A295" s="1413"/>
      <c r="B295" s="1428"/>
      <c r="C295" s="1428"/>
      <c r="D295" s="1429"/>
      <c r="E295" s="1414"/>
    </row>
    <row r="296" spans="1:5" ht="11.25" customHeight="1">
      <c r="A296" s="1413"/>
      <c r="B296" s="1428"/>
      <c r="C296" s="1428"/>
      <c r="D296" s="1429"/>
      <c r="E296" s="1414"/>
    </row>
    <row r="297" spans="1:5" ht="11.25" customHeight="1">
      <c r="A297" s="1413"/>
      <c r="B297" s="1428"/>
      <c r="C297" s="1428"/>
      <c r="D297" s="1429"/>
      <c r="E297" s="1414"/>
    </row>
    <row r="298" spans="1:5" ht="11.25" customHeight="1">
      <c r="A298" s="1413"/>
      <c r="B298" s="1428"/>
      <c r="C298" s="1428"/>
      <c r="D298" s="1429"/>
      <c r="E298" s="1414"/>
    </row>
    <row r="299" spans="1:5" ht="11.25" customHeight="1">
      <c r="A299" s="1413"/>
      <c r="B299" s="1428"/>
      <c r="C299" s="1428"/>
      <c r="D299" s="1429"/>
      <c r="E299" s="1414"/>
    </row>
    <row r="300" spans="1:5" ht="11.25" customHeight="1">
      <c r="A300" s="1413"/>
      <c r="B300" s="1428"/>
      <c r="C300" s="1428"/>
      <c r="D300" s="1429"/>
      <c r="E300" s="1414"/>
    </row>
    <row r="301" spans="1:5" ht="11.25" customHeight="1">
      <c r="A301" s="1413"/>
      <c r="B301" s="1428"/>
      <c r="C301" s="1428"/>
      <c r="D301" s="1429"/>
      <c r="E301" s="1414"/>
    </row>
    <row r="302" spans="1:5" ht="11.25" customHeight="1">
      <c r="A302" s="1413"/>
      <c r="B302" s="1428"/>
      <c r="C302" s="1428"/>
      <c r="D302" s="1429"/>
      <c r="E302" s="1414"/>
    </row>
    <row r="303" spans="1:5" ht="11.25" customHeight="1">
      <c r="A303" s="1413"/>
      <c r="B303" s="1428"/>
      <c r="C303" s="1428"/>
      <c r="D303" s="1429"/>
      <c r="E303" s="1414"/>
    </row>
    <row r="304" spans="1:5" ht="11.25" customHeight="1">
      <c r="A304" s="1413"/>
      <c r="B304" s="1428"/>
      <c r="C304" s="1428"/>
      <c r="D304" s="1429"/>
      <c r="E304" s="1414"/>
    </row>
    <row r="305" spans="1:5" ht="11.25" customHeight="1">
      <c r="A305" s="1413"/>
      <c r="B305" s="1428"/>
      <c r="C305" s="1428"/>
      <c r="D305" s="1429"/>
      <c r="E305" s="1414"/>
    </row>
    <row r="306" spans="1:5" ht="11.25" customHeight="1">
      <c r="A306" s="1413"/>
      <c r="B306" s="1428"/>
      <c r="C306" s="1428"/>
      <c r="D306" s="1429"/>
      <c r="E306" s="1414"/>
    </row>
    <row r="307" spans="1:5" ht="11.25" customHeight="1">
      <c r="A307" s="1413"/>
      <c r="B307" s="1428"/>
      <c r="C307" s="1428"/>
      <c r="D307" s="1429"/>
      <c r="E307" s="1414"/>
    </row>
    <row r="308" spans="1:5" ht="11.25" customHeight="1">
      <c r="A308" s="1413"/>
      <c r="B308" s="1428"/>
      <c r="C308" s="1428"/>
      <c r="D308" s="1429"/>
      <c r="E308" s="1414"/>
    </row>
    <row r="309" spans="1:5" ht="11.25" customHeight="1">
      <c r="A309" s="1413"/>
      <c r="B309" s="1428"/>
      <c r="C309" s="1428"/>
      <c r="D309" s="1429"/>
      <c r="E309" s="1414"/>
    </row>
    <row r="310" spans="1:5" ht="11.25" customHeight="1">
      <c r="A310" s="1413"/>
      <c r="B310" s="1428"/>
      <c r="C310" s="1428"/>
      <c r="D310" s="1429"/>
      <c r="E310" s="1414"/>
    </row>
    <row r="311" spans="1:5" ht="11.25" customHeight="1">
      <c r="A311" s="1413"/>
      <c r="B311" s="1428"/>
      <c r="C311" s="1428"/>
      <c r="D311" s="1429"/>
      <c r="E311" s="1414"/>
    </row>
    <row r="312" spans="1:5" ht="11.25" customHeight="1">
      <c r="A312" s="1413"/>
      <c r="B312" s="1428"/>
      <c r="C312" s="1428"/>
      <c r="D312" s="1429"/>
      <c r="E312" s="1414"/>
    </row>
    <row r="313" spans="1:5" ht="11.25" customHeight="1">
      <c r="A313" s="1413"/>
      <c r="B313" s="1428"/>
      <c r="C313" s="1428"/>
      <c r="D313" s="1429"/>
      <c r="E313" s="1414"/>
    </row>
    <row r="314" spans="1:5" ht="11.25" customHeight="1">
      <c r="A314" s="1413"/>
      <c r="B314" s="1428"/>
      <c r="C314" s="1428"/>
      <c r="D314" s="1429"/>
      <c r="E314" s="1414"/>
    </row>
    <row r="315" spans="1:5" ht="11.25" customHeight="1">
      <c r="A315" s="1413"/>
      <c r="B315" s="1428"/>
      <c r="C315" s="1428"/>
      <c r="D315" s="1429"/>
      <c r="E315" s="1414"/>
    </row>
    <row r="316" spans="1:5" ht="11.25" customHeight="1">
      <c r="A316" s="1413"/>
      <c r="B316" s="1428"/>
      <c r="C316" s="1428"/>
      <c r="D316" s="1429"/>
      <c r="E316" s="1414"/>
    </row>
    <row r="317" spans="1:5" ht="11.25" customHeight="1">
      <c r="A317" s="1413"/>
      <c r="B317" s="1428"/>
      <c r="C317" s="1428"/>
      <c r="D317" s="1429"/>
      <c r="E317" s="1414"/>
    </row>
    <row r="318" spans="1:5" ht="11.25" customHeight="1">
      <c r="A318" s="1413"/>
      <c r="E318" s="1414"/>
    </row>
    <row r="319" ht="11.25" customHeight="1">
      <c r="E319" s="1414"/>
    </row>
    <row r="320" spans="2:5" ht="11.25" customHeight="1">
      <c r="B320" s="1428"/>
      <c r="C320" s="1428"/>
      <c r="D320" s="1429"/>
      <c r="E320" s="1414"/>
    </row>
    <row r="321" spans="1:5" ht="11.25" customHeight="1">
      <c r="A321" s="1428"/>
      <c r="B321" s="1428"/>
      <c r="C321" s="1428"/>
      <c r="D321" s="1429"/>
      <c r="E321" s="1414"/>
    </row>
    <row r="322" spans="1:5" ht="11.25" customHeight="1">
      <c r="A322" s="1428"/>
      <c r="B322" s="1425"/>
      <c r="C322" s="1425"/>
      <c r="D322" s="1431"/>
      <c r="E322" s="1414"/>
    </row>
    <row r="323" spans="1:5" ht="11.25" customHeight="1">
      <c r="A323" s="1413"/>
      <c r="B323" s="1422"/>
      <c r="C323" s="1422"/>
      <c r="D323" s="1423"/>
      <c r="E323" s="1414"/>
    </row>
    <row r="324" spans="1:5" ht="11.25" customHeight="1">
      <c r="A324" s="1422"/>
      <c r="B324" s="1413"/>
      <c r="C324" s="1413"/>
      <c r="D324" s="1424"/>
      <c r="E324" s="1414"/>
    </row>
    <row r="325" spans="1:5" ht="11.25" customHeight="1">
      <c r="A325" s="1413"/>
      <c r="B325" s="1413"/>
      <c r="C325" s="1413"/>
      <c r="D325" s="1424"/>
      <c r="E325" s="1414"/>
    </row>
    <row r="326" spans="1:5" ht="11.25" customHeight="1">
      <c r="A326" s="1413"/>
      <c r="B326" s="1426"/>
      <c r="C326" s="1426"/>
      <c r="D326" s="1427"/>
      <c r="E326" s="1414"/>
    </row>
    <row r="327" spans="1:5" ht="11.25" customHeight="1">
      <c r="A327" s="1425"/>
      <c r="B327" s="1428"/>
      <c r="C327" s="1428"/>
      <c r="D327" s="1429"/>
      <c r="E327" s="1414"/>
    </row>
    <row r="328" spans="1:5" ht="11.25" customHeight="1">
      <c r="A328" s="1428"/>
      <c r="E328" s="1414"/>
    </row>
    <row r="329" ht="11.25" customHeight="1">
      <c r="E329" s="1414"/>
    </row>
    <row r="330" spans="1:5" ht="11.25" customHeight="1">
      <c r="A330" s="1413"/>
      <c r="B330" s="1428"/>
      <c r="C330" s="1428"/>
      <c r="D330" s="1429"/>
      <c r="E330" s="1414"/>
    </row>
    <row r="331" spans="1:5" ht="11.25" customHeight="1">
      <c r="A331" s="1413"/>
      <c r="B331" s="1428"/>
      <c r="C331" s="1428"/>
      <c r="D331" s="1429"/>
      <c r="E331" s="1414"/>
    </row>
    <row r="332" spans="1:5" ht="11.25" customHeight="1">
      <c r="A332" s="1413"/>
      <c r="B332" s="1428"/>
      <c r="C332" s="1428"/>
      <c r="D332" s="1429"/>
      <c r="E332" s="1414"/>
    </row>
    <row r="333" spans="1:5" ht="11.25" customHeight="1">
      <c r="A333" s="1413"/>
      <c r="B333" s="1428"/>
      <c r="C333" s="1428"/>
      <c r="D333" s="1429"/>
      <c r="E333" s="1414"/>
    </row>
    <row r="334" spans="1:5" ht="11.25" customHeight="1">
      <c r="A334" s="1413"/>
      <c r="B334" s="1428"/>
      <c r="C334" s="1428"/>
      <c r="D334" s="1429"/>
      <c r="E334" s="1414"/>
    </row>
    <row r="335" spans="1:5" ht="11.25" customHeight="1">
      <c r="A335" s="1413"/>
      <c r="B335" s="1428"/>
      <c r="C335" s="1428"/>
      <c r="D335" s="1429"/>
      <c r="E335" s="1414"/>
    </row>
    <row r="336" spans="1:5" ht="11.25" customHeight="1">
      <c r="A336" s="1413"/>
      <c r="B336" s="1428"/>
      <c r="C336" s="1428"/>
      <c r="D336" s="1429"/>
      <c r="E336" s="1414"/>
    </row>
    <row r="337" spans="1:5" ht="11.25" customHeight="1">
      <c r="A337" s="1413"/>
      <c r="B337" s="1428"/>
      <c r="C337" s="1428"/>
      <c r="D337" s="1429"/>
      <c r="E337" s="1414"/>
    </row>
    <row r="338" spans="1:5" ht="11.25" customHeight="1">
      <c r="A338" s="1413"/>
      <c r="B338" s="1428"/>
      <c r="C338" s="1428"/>
      <c r="D338" s="1429"/>
      <c r="E338" s="1414"/>
    </row>
    <row r="339" spans="1:5" ht="11.25" customHeight="1">
      <c r="A339" s="1413"/>
      <c r="B339" s="1428"/>
      <c r="C339" s="1428"/>
      <c r="D339" s="1429"/>
      <c r="E339" s="1414"/>
    </row>
    <row r="340" spans="1:5" ht="11.25" customHeight="1">
      <c r="A340" s="1413"/>
      <c r="B340" s="1428"/>
      <c r="C340" s="1428"/>
      <c r="D340" s="1429"/>
      <c r="E340" s="1414"/>
    </row>
    <row r="341" spans="1:5" ht="11.25" customHeight="1">
      <c r="A341" s="1413"/>
      <c r="B341" s="1428"/>
      <c r="C341" s="1428"/>
      <c r="D341" s="1429"/>
      <c r="E341" s="1414"/>
    </row>
    <row r="342" spans="1:5" ht="11.25" customHeight="1">
      <c r="A342" s="1413"/>
      <c r="B342" s="1428"/>
      <c r="C342" s="1428"/>
      <c r="D342" s="1429"/>
      <c r="E342" s="1414"/>
    </row>
    <row r="343" spans="1:5" ht="11.25" customHeight="1">
      <c r="A343" s="1413"/>
      <c r="B343" s="1428"/>
      <c r="C343" s="1428"/>
      <c r="D343" s="1429"/>
      <c r="E343" s="1414"/>
    </row>
    <row r="344" spans="1:5" ht="11.25" customHeight="1">
      <c r="A344" s="1413"/>
      <c r="B344" s="1428"/>
      <c r="C344" s="1428"/>
      <c r="D344" s="1429"/>
      <c r="E344" s="1414"/>
    </row>
    <row r="345" spans="1:5" ht="11.25" customHeight="1">
      <c r="A345" s="1413"/>
      <c r="B345" s="1428"/>
      <c r="C345" s="1428"/>
      <c r="D345" s="1429"/>
      <c r="E345" s="1414"/>
    </row>
    <row r="346" spans="1:5" ht="11.25" customHeight="1">
      <c r="A346" s="1413"/>
      <c r="B346" s="1428"/>
      <c r="C346" s="1428"/>
      <c r="D346" s="1429"/>
      <c r="E346" s="1414"/>
    </row>
    <row r="347" spans="1:5" ht="11.25" customHeight="1">
      <c r="A347" s="1413"/>
      <c r="B347" s="1428"/>
      <c r="C347" s="1428"/>
      <c r="D347" s="1429"/>
      <c r="E347" s="1414"/>
    </row>
    <row r="348" spans="1:5" ht="11.25" customHeight="1">
      <c r="A348" s="1413"/>
      <c r="B348" s="1428"/>
      <c r="C348" s="1428"/>
      <c r="D348" s="1429"/>
      <c r="E348" s="1414"/>
    </row>
    <row r="349" spans="1:5" ht="11.25" customHeight="1">
      <c r="A349" s="1413"/>
      <c r="B349" s="1428"/>
      <c r="C349" s="1428"/>
      <c r="D349" s="1429"/>
      <c r="E349" s="1414"/>
    </row>
    <row r="350" spans="1:5" ht="11.25" customHeight="1">
      <c r="A350" s="1413"/>
      <c r="B350" s="1428"/>
      <c r="C350" s="1428"/>
      <c r="D350" s="1429"/>
      <c r="E350" s="1414"/>
    </row>
    <row r="351" spans="1:5" ht="11.25" customHeight="1">
      <c r="A351" s="1413"/>
      <c r="B351" s="1428"/>
      <c r="C351" s="1428"/>
      <c r="D351" s="1429"/>
      <c r="E351" s="1414"/>
    </row>
    <row r="352" spans="1:5" ht="11.25" customHeight="1">
      <c r="A352" s="1413"/>
      <c r="B352" s="1428"/>
      <c r="C352" s="1428"/>
      <c r="D352" s="1429"/>
      <c r="E352" s="1414"/>
    </row>
    <row r="353" spans="1:5" ht="11.25" customHeight="1">
      <c r="A353" s="1413"/>
      <c r="B353" s="1428"/>
      <c r="C353" s="1428"/>
      <c r="D353" s="1429"/>
      <c r="E353" s="1414"/>
    </row>
    <row r="354" spans="1:5" ht="11.25" customHeight="1">
      <c r="A354" s="1413"/>
      <c r="B354" s="1428"/>
      <c r="C354" s="1428"/>
      <c r="D354" s="1429"/>
      <c r="E354" s="1414"/>
    </row>
    <row r="355" spans="1:5" ht="11.25" customHeight="1">
      <c r="A355" s="1413"/>
      <c r="B355" s="1428"/>
      <c r="C355" s="1428"/>
      <c r="D355" s="1429"/>
      <c r="E355" s="1414"/>
    </row>
    <row r="356" spans="1:5" ht="11.25" customHeight="1">
      <c r="A356" s="1413"/>
      <c r="B356" s="1428"/>
      <c r="C356" s="1428"/>
      <c r="D356" s="1429"/>
      <c r="E356" s="1414"/>
    </row>
    <row r="357" spans="1:5" ht="11.25" customHeight="1">
      <c r="A357" s="1413"/>
      <c r="E357" s="1414"/>
    </row>
    <row r="358" ht="11.25" customHeight="1">
      <c r="E358" s="1414"/>
    </row>
    <row r="359" spans="2:5" ht="11.25" customHeight="1">
      <c r="B359" s="1428"/>
      <c r="C359" s="1428"/>
      <c r="D359" s="1429"/>
      <c r="E359" s="1414"/>
    </row>
    <row r="360" spans="1:5" ht="11.25" customHeight="1">
      <c r="A360" s="1428"/>
      <c r="B360" s="1428"/>
      <c r="C360" s="1428"/>
      <c r="D360" s="1429"/>
      <c r="E360" s="1414"/>
    </row>
    <row r="361" spans="1:5" ht="11.25" customHeight="1">
      <c r="A361" s="1428"/>
      <c r="B361" s="1425"/>
      <c r="C361" s="1425"/>
      <c r="D361" s="1431"/>
      <c r="E361" s="1414"/>
    </row>
    <row r="362" spans="1:5" ht="11.25" customHeight="1">
      <c r="A362" s="1413"/>
      <c r="B362" s="1422"/>
      <c r="C362" s="1422"/>
      <c r="D362" s="1423"/>
      <c r="E362" s="1414"/>
    </row>
    <row r="363" spans="1:5" ht="11.25" customHeight="1">
      <c r="A363" s="1422"/>
      <c r="B363" s="1413"/>
      <c r="C363" s="1413"/>
      <c r="D363" s="1424"/>
      <c r="E363" s="1414"/>
    </row>
    <row r="364" spans="1:5" ht="11.25" customHeight="1">
      <c r="A364" s="1413"/>
      <c r="B364" s="1413"/>
      <c r="C364" s="1413"/>
      <c r="D364" s="1424"/>
      <c r="E364" s="1414"/>
    </row>
    <row r="365" spans="1:5" ht="11.25" customHeight="1">
      <c r="A365" s="1413"/>
      <c r="B365" s="1426"/>
      <c r="C365" s="1426"/>
      <c r="D365" s="1427"/>
      <c r="E365" s="1414"/>
    </row>
    <row r="366" spans="1:5" ht="11.25" customHeight="1">
      <c r="A366" s="1425"/>
      <c r="B366" s="1428"/>
      <c r="C366" s="1428"/>
      <c r="D366" s="1429"/>
      <c r="E366" s="1414"/>
    </row>
    <row r="367" spans="1:5" ht="11.25" customHeight="1">
      <c r="A367" s="1428"/>
      <c r="E367" s="1414"/>
    </row>
    <row r="368" ht="11.25" customHeight="1">
      <c r="E368" s="1414"/>
    </row>
    <row r="369" spans="1:5" ht="11.25" customHeight="1">
      <c r="A369" s="1413"/>
      <c r="B369" s="1428"/>
      <c r="C369" s="1428"/>
      <c r="D369" s="1429"/>
      <c r="E369" s="1414"/>
    </row>
    <row r="370" spans="1:5" ht="11.25" customHeight="1">
      <c r="A370" s="1413"/>
      <c r="B370" s="1428"/>
      <c r="C370" s="1428"/>
      <c r="D370" s="1429"/>
      <c r="E370" s="1414"/>
    </row>
    <row r="371" spans="1:5" ht="11.25" customHeight="1">
      <c r="A371" s="1413"/>
      <c r="B371" s="1428"/>
      <c r="C371" s="1428"/>
      <c r="D371" s="1429"/>
      <c r="E371" s="1414"/>
    </row>
    <row r="372" spans="1:5" ht="11.25" customHeight="1">
      <c r="A372" s="1413"/>
      <c r="B372" s="1428"/>
      <c r="C372" s="1428"/>
      <c r="D372" s="1429"/>
      <c r="E372" s="1414"/>
    </row>
    <row r="373" spans="1:5" ht="11.25" customHeight="1">
      <c r="A373" s="1413"/>
      <c r="B373" s="1428"/>
      <c r="C373" s="1428"/>
      <c r="D373" s="1429"/>
      <c r="E373" s="1414"/>
    </row>
    <row r="374" spans="1:5" ht="11.25" customHeight="1">
      <c r="A374" s="1413"/>
      <c r="B374" s="1428"/>
      <c r="C374" s="1428"/>
      <c r="D374" s="1429"/>
      <c r="E374" s="1414"/>
    </row>
    <row r="375" spans="1:5" ht="11.25" customHeight="1">
      <c r="A375" s="1413"/>
      <c r="B375" s="1428"/>
      <c r="C375" s="1428"/>
      <c r="D375" s="1429"/>
      <c r="E375" s="1414"/>
    </row>
    <row r="376" spans="1:5" ht="11.25" customHeight="1">
      <c r="A376" s="1413"/>
      <c r="B376" s="1428"/>
      <c r="C376" s="1428"/>
      <c r="D376" s="1429"/>
      <c r="E376" s="1414"/>
    </row>
    <row r="377" spans="1:5" ht="11.25" customHeight="1">
      <c r="A377" s="1413"/>
      <c r="B377" s="1428"/>
      <c r="C377" s="1428"/>
      <c r="D377" s="1429"/>
      <c r="E377" s="1414"/>
    </row>
    <row r="378" spans="1:5" ht="11.25" customHeight="1">
      <c r="A378" s="1413"/>
      <c r="B378" s="1428"/>
      <c r="C378" s="1428"/>
      <c r="D378" s="1429"/>
      <c r="E378" s="1414"/>
    </row>
    <row r="379" spans="1:5" ht="11.25" customHeight="1">
      <c r="A379" s="1413"/>
      <c r="B379" s="1428"/>
      <c r="C379" s="1428"/>
      <c r="D379" s="1429"/>
      <c r="E379" s="1414"/>
    </row>
    <row r="380" spans="1:5" ht="11.25" customHeight="1">
      <c r="A380" s="1413"/>
      <c r="B380" s="1428"/>
      <c r="C380" s="1428"/>
      <c r="D380" s="1429"/>
      <c r="E380" s="1414"/>
    </row>
    <row r="381" spans="1:5" ht="11.25" customHeight="1">
      <c r="A381" s="1413"/>
      <c r="B381" s="1428"/>
      <c r="C381" s="1428"/>
      <c r="D381" s="1429"/>
      <c r="E381" s="1414"/>
    </row>
    <row r="382" spans="1:5" ht="11.25" customHeight="1">
      <c r="A382" s="1413"/>
      <c r="B382" s="1428"/>
      <c r="C382" s="1428"/>
      <c r="D382" s="1429"/>
      <c r="E382" s="1414"/>
    </row>
    <row r="383" spans="1:5" ht="11.25" customHeight="1">
      <c r="A383" s="1413"/>
      <c r="B383" s="1428"/>
      <c r="C383" s="1428"/>
      <c r="D383" s="1429"/>
      <c r="E383" s="1414"/>
    </row>
    <row r="384" spans="1:5" ht="11.25" customHeight="1">
      <c r="A384" s="1413"/>
      <c r="B384" s="1428"/>
      <c r="C384" s="1428"/>
      <c r="D384" s="1429"/>
      <c r="E384" s="1414"/>
    </row>
    <row r="385" spans="1:5" ht="11.25" customHeight="1">
      <c r="A385" s="1413"/>
      <c r="B385" s="1428"/>
      <c r="C385" s="1428"/>
      <c r="D385" s="1429"/>
      <c r="E385" s="1414"/>
    </row>
    <row r="386" spans="1:5" ht="11.25" customHeight="1">
      <c r="A386" s="1413"/>
      <c r="B386" s="1428"/>
      <c r="C386" s="1428"/>
      <c r="D386" s="1429"/>
      <c r="E386" s="1414"/>
    </row>
    <row r="387" spans="1:5" ht="11.25" customHeight="1">
      <c r="A387" s="1413"/>
      <c r="B387" s="1428"/>
      <c r="C387" s="1428"/>
      <c r="D387" s="1429"/>
      <c r="E387" s="1414"/>
    </row>
    <row r="388" spans="1:5" ht="11.25" customHeight="1">
      <c r="A388" s="1413"/>
      <c r="B388" s="1428"/>
      <c r="C388" s="1428"/>
      <c r="D388" s="1429"/>
      <c r="E388" s="1414"/>
    </row>
    <row r="389" spans="1:5" ht="11.25" customHeight="1">
      <c r="A389" s="1413"/>
      <c r="B389" s="1428"/>
      <c r="C389" s="1428"/>
      <c r="D389" s="1429"/>
      <c r="E389" s="1414"/>
    </row>
    <row r="390" spans="1:5" ht="11.25" customHeight="1">
      <c r="A390" s="1413"/>
      <c r="B390" s="1428"/>
      <c r="C390" s="1428"/>
      <c r="D390" s="1429"/>
      <c r="E390" s="1414"/>
    </row>
    <row r="391" spans="1:5" ht="11.25" customHeight="1">
      <c r="A391" s="1413"/>
      <c r="B391" s="1428"/>
      <c r="C391" s="1428"/>
      <c r="D391" s="1429"/>
      <c r="E391" s="1414"/>
    </row>
    <row r="392" spans="1:5" ht="11.25" customHeight="1">
      <c r="A392" s="1413"/>
      <c r="B392" s="1428"/>
      <c r="C392" s="1428"/>
      <c r="D392" s="1429"/>
      <c r="E392" s="1414"/>
    </row>
    <row r="393" spans="1:5" ht="11.25" customHeight="1">
      <c r="A393" s="1413"/>
      <c r="B393" s="1428"/>
      <c r="C393" s="1428"/>
      <c r="D393" s="1429"/>
      <c r="E393" s="1414"/>
    </row>
    <row r="394" spans="1:5" ht="11.25" customHeight="1">
      <c r="A394" s="1413"/>
      <c r="B394" s="1428"/>
      <c r="C394" s="1428"/>
      <c r="D394" s="1429"/>
      <c r="E394" s="1414"/>
    </row>
    <row r="395" spans="1:5" ht="11.25" customHeight="1">
      <c r="A395" s="1413"/>
      <c r="B395" s="1428"/>
      <c r="C395" s="1428"/>
      <c r="D395" s="1429"/>
      <c r="E395" s="1414"/>
    </row>
    <row r="396" spans="1:5" ht="11.25" customHeight="1">
      <c r="A396" s="1413"/>
      <c r="E396" s="1414"/>
    </row>
    <row r="397" ht="11.25" customHeight="1">
      <c r="E397" s="1414"/>
    </row>
    <row r="398" spans="2:5" ht="11.25" customHeight="1">
      <c r="B398" s="1428"/>
      <c r="C398" s="1428"/>
      <c r="D398" s="1429"/>
      <c r="E398" s="1414"/>
    </row>
    <row r="399" spans="1:5" ht="11.25" customHeight="1">
      <c r="A399" s="1428"/>
      <c r="B399" s="1428"/>
      <c r="C399" s="1428"/>
      <c r="D399" s="1429"/>
      <c r="E399" s="1414"/>
    </row>
    <row r="400" spans="1:5" ht="11.25" customHeight="1">
      <c r="A400" s="1428"/>
      <c r="B400" s="1425"/>
      <c r="C400" s="1425"/>
      <c r="D400" s="1431"/>
      <c r="E400" s="1414"/>
    </row>
    <row r="401" spans="1:5" ht="11.25" customHeight="1">
      <c r="A401" s="1413"/>
      <c r="B401" s="1422"/>
      <c r="C401" s="1422"/>
      <c r="D401" s="1423"/>
      <c r="E401" s="1414"/>
    </row>
    <row r="402" spans="1:5" ht="11.25" customHeight="1">
      <c r="A402" s="1422"/>
      <c r="B402" s="1413"/>
      <c r="C402" s="1413"/>
      <c r="D402" s="1424"/>
      <c r="E402" s="1414"/>
    </row>
    <row r="403" spans="1:5" ht="11.25" customHeight="1">
      <c r="A403" s="1413"/>
      <c r="B403" s="1413"/>
      <c r="C403" s="1413"/>
      <c r="D403" s="1424"/>
      <c r="E403" s="1414"/>
    </row>
    <row r="404" spans="1:5" ht="11.25" customHeight="1">
      <c r="A404" s="1413"/>
      <c r="B404" s="1426"/>
      <c r="C404" s="1426"/>
      <c r="D404" s="1427"/>
      <c r="E404" s="1414"/>
    </row>
    <row r="405" spans="1:5" ht="11.25" customHeight="1">
      <c r="A405" s="1425"/>
      <c r="B405" s="1428"/>
      <c r="C405" s="1428"/>
      <c r="D405" s="1429"/>
      <c r="E405" s="1414"/>
    </row>
    <row r="406" spans="1:5" ht="11.25" customHeight="1">
      <c r="A406" s="1428"/>
      <c r="E406" s="1414"/>
    </row>
    <row r="407" ht="11.25" customHeight="1">
      <c r="E407" s="1414"/>
    </row>
    <row r="408" spans="1:5" ht="11.25" customHeight="1">
      <c r="A408" s="1413"/>
      <c r="B408" s="1428"/>
      <c r="C408" s="1428"/>
      <c r="D408" s="1429"/>
      <c r="E408" s="1414"/>
    </row>
    <row r="409" spans="1:5" ht="11.25" customHeight="1">
      <c r="A409" s="1413"/>
      <c r="B409" s="1428"/>
      <c r="C409" s="1428"/>
      <c r="D409" s="1429"/>
      <c r="E409" s="1414"/>
    </row>
    <row r="410" spans="1:5" ht="11.25" customHeight="1">
      <c r="A410" s="1413"/>
      <c r="B410" s="1428"/>
      <c r="C410" s="1428"/>
      <c r="D410" s="1429"/>
      <c r="E410" s="1414"/>
    </row>
    <row r="411" spans="1:5" ht="11.25" customHeight="1">
      <c r="A411" s="1413"/>
      <c r="B411" s="1428"/>
      <c r="C411" s="1428"/>
      <c r="D411" s="1429"/>
      <c r="E411" s="1414"/>
    </row>
    <row r="412" spans="1:5" ht="11.25" customHeight="1">
      <c r="A412" s="1413"/>
      <c r="B412" s="1428"/>
      <c r="C412" s="1428"/>
      <c r="D412" s="1429"/>
      <c r="E412" s="1414"/>
    </row>
    <row r="413" spans="1:5" ht="11.25" customHeight="1">
      <c r="A413" s="1413"/>
      <c r="B413" s="1428"/>
      <c r="C413" s="1428"/>
      <c r="D413" s="1429"/>
      <c r="E413" s="1414"/>
    </row>
    <row r="414" spans="1:5" ht="11.25" customHeight="1">
      <c r="A414" s="1413"/>
      <c r="B414" s="1428"/>
      <c r="C414" s="1428"/>
      <c r="D414" s="1429"/>
      <c r="E414" s="1414"/>
    </row>
    <row r="415" spans="1:5" ht="11.25" customHeight="1">
      <c r="A415" s="1413"/>
      <c r="B415" s="1428"/>
      <c r="C415" s="1428"/>
      <c r="D415" s="1429"/>
      <c r="E415" s="1414"/>
    </row>
    <row r="416" spans="1:5" ht="11.25" customHeight="1">
      <c r="A416" s="1413"/>
      <c r="B416" s="1428"/>
      <c r="C416" s="1428"/>
      <c r="D416" s="1429"/>
      <c r="E416" s="1414"/>
    </row>
    <row r="417" spans="1:5" ht="11.25" customHeight="1">
      <c r="A417" s="1413"/>
      <c r="B417" s="1428"/>
      <c r="C417" s="1428"/>
      <c r="D417" s="1429"/>
      <c r="E417" s="1414"/>
    </row>
    <row r="418" spans="1:5" ht="11.25" customHeight="1">
      <c r="A418" s="1413"/>
      <c r="B418" s="1428"/>
      <c r="C418" s="1428"/>
      <c r="D418" s="1429"/>
      <c r="E418" s="1414"/>
    </row>
    <row r="419" spans="1:5" ht="11.25" customHeight="1">
      <c r="A419" s="1413"/>
      <c r="B419" s="1428"/>
      <c r="C419" s="1428"/>
      <c r="D419" s="1429"/>
      <c r="E419" s="1414"/>
    </row>
    <row r="420" spans="1:5" ht="11.25" customHeight="1">
      <c r="A420" s="1413"/>
      <c r="B420" s="1428"/>
      <c r="C420" s="1428"/>
      <c r="D420" s="1429"/>
      <c r="E420" s="1414"/>
    </row>
    <row r="421" spans="1:5" ht="11.25" customHeight="1">
      <c r="A421" s="1413"/>
      <c r="B421" s="1428"/>
      <c r="C421" s="1428"/>
      <c r="D421" s="1429"/>
      <c r="E421" s="1414"/>
    </row>
    <row r="422" spans="1:5" ht="11.25" customHeight="1">
      <c r="A422" s="1413"/>
      <c r="B422" s="1428"/>
      <c r="C422" s="1428"/>
      <c r="D422" s="1429"/>
      <c r="E422" s="1414"/>
    </row>
    <row r="423" spans="1:5" ht="11.25" customHeight="1">
      <c r="A423" s="1413"/>
      <c r="B423" s="1428"/>
      <c r="C423" s="1428"/>
      <c r="D423" s="1429"/>
      <c r="E423" s="1414"/>
    </row>
    <row r="424" spans="1:5" ht="11.25" customHeight="1">
      <c r="A424" s="1413"/>
      <c r="B424" s="1428"/>
      <c r="C424" s="1428"/>
      <c r="D424" s="1429"/>
      <c r="E424" s="1414"/>
    </row>
    <row r="425" spans="1:5" ht="11.25" customHeight="1">
      <c r="A425" s="1413"/>
      <c r="B425" s="1428"/>
      <c r="C425" s="1428"/>
      <c r="D425" s="1429"/>
      <c r="E425" s="1414"/>
    </row>
    <row r="426" spans="1:5" ht="11.25" customHeight="1">
      <c r="A426" s="1413"/>
      <c r="B426" s="1428"/>
      <c r="C426" s="1428"/>
      <c r="D426" s="1429"/>
      <c r="E426" s="1414"/>
    </row>
    <row r="427" spans="1:5" ht="11.25" customHeight="1">
      <c r="A427" s="1413"/>
      <c r="B427" s="1428"/>
      <c r="C427" s="1428"/>
      <c r="D427" s="1429"/>
      <c r="E427" s="1414"/>
    </row>
    <row r="428" spans="1:5" ht="11.25" customHeight="1">
      <c r="A428" s="1413"/>
      <c r="B428" s="1428"/>
      <c r="C428" s="1428"/>
      <c r="D428" s="1429"/>
      <c r="E428" s="1414"/>
    </row>
    <row r="429" spans="1:5" ht="11.25" customHeight="1">
      <c r="A429" s="1413"/>
      <c r="B429" s="1428"/>
      <c r="C429" s="1428"/>
      <c r="D429" s="1429"/>
      <c r="E429" s="1414"/>
    </row>
    <row r="430" spans="1:5" ht="11.25" customHeight="1">
      <c r="A430" s="1413"/>
      <c r="B430" s="1428"/>
      <c r="C430" s="1428"/>
      <c r="D430" s="1429"/>
      <c r="E430" s="1414"/>
    </row>
    <row r="431" spans="1:5" ht="11.25" customHeight="1">
      <c r="A431" s="1413"/>
      <c r="B431" s="1428"/>
      <c r="C431" s="1428"/>
      <c r="D431" s="1429"/>
      <c r="E431" s="1414"/>
    </row>
    <row r="432" spans="1:5" ht="11.25" customHeight="1">
      <c r="A432" s="1413"/>
      <c r="B432" s="1428"/>
      <c r="C432" s="1428"/>
      <c r="D432" s="1429"/>
      <c r="E432" s="1414"/>
    </row>
    <row r="433" spans="1:5" ht="11.25" customHeight="1">
      <c r="A433" s="1413"/>
      <c r="B433" s="1428"/>
      <c r="C433" s="1428"/>
      <c r="D433" s="1429"/>
      <c r="E433" s="1414"/>
    </row>
    <row r="434" spans="1:5" ht="11.25" customHeight="1">
      <c r="A434" s="1413"/>
      <c r="B434" s="1428"/>
      <c r="C434" s="1428"/>
      <c r="D434" s="1429"/>
      <c r="E434" s="1414"/>
    </row>
    <row r="435" spans="1:5" ht="11.25" customHeight="1">
      <c r="A435" s="1413"/>
      <c r="E435" s="1414"/>
    </row>
    <row r="436" ht="11.25" customHeight="1">
      <c r="E436" s="1414"/>
    </row>
    <row r="437" spans="2:5" ht="11.25" customHeight="1">
      <c r="B437" s="1428"/>
      <c r="C437" s="1428"/>
      <c r="D437" s="1429"/>
      <c r="E437" s="1414"/>
    </row>
    <row r="438" spans="1:5" ht="11.25" customHeight="1">
      <c r="A438" s="1428"/>
      <c r="B438" s="1428"/>
      <c r="C438" s="1428"/>
      <c r="D438" s="1429"/>
      <c r="E438" s="1414"/>
    </row>
    <row r="439" spans="1:5" ht="11.25" customHeight="1">
      <c r="A439" s="1428"/>
      <c r="B439" s="1425"/>
      <c r="C439" s="1425"/>
      <c r="D439" s="1431"/>
      <c r="E439" s="1414"/>
    </row>
    <row r="440" spans="1:5" ht="11.25" customHeight="1">
      <c r="A440" s="1413"/>
      <c r="B440" s="1422"/>
      <c r="C440" s="1422"/>
      <c r="D440" s="1423"/>
      <c r="E440" s="1414"/>
    </row>
    <row r="441" spans="1:5" ht="11.25" customHeight="1">
      <c r="A441" s="1422"/>
      <c r="B441" s="1413"/>
      <c r="C441" s="1413"/>
      <c r="D441" s="1424"/>
      <c r="E441" s="1414"/>
    </row>
    <row r="442" spans="1:5" ht="11.25" customHeight="1">
      <c r="A442" s="1413"/>
      <c r="B442" s="1413"/>
      <c r="C442" s="1413"/>
      <c r="D442" s="1424"/>
      <c r="E442" s="1414"/>
    </row>
    <row r="443" spans="1:5" ht="11.25" customHeight="1">
      <c r="A443" s="1413"/>
      <c r="B443" s="1426"/>
      <c r="C443" s="1426"/>
      <c r="D443" s="1427"/>
      <c r="E443" s="1414"/>
    </row>
    <row r="444" spans="1:5" ht="11.25" customHeight="1">
      <c r="A444" s="1425"/>
      <c r="B444" s="1428"/>
      <c r="C444" s="1428"/>
      <c r="D444" s="1429"/>
      <c r="E444" s="1414"/>
    </row>
    <row r="445" spans="1:5" ht="11.25" customHeight="1">
      <c r="A445" s="1428"/>
      <c r="E445" s="1414"/>
    </row>
    <row r="446" ht="11.25" customHeight="1">
      <c r="E446" s="1414"/>
    </row>
    <row r="447" spans="1:5" ht="11.25" customHeight="1">
      <c r="A447" s="1413"/>
      <c r="B447" s="1428"/>
      <c r="C447" s="1428"/>
      <c r="D447" s="1429"/>
      <c r="E447" s="1414"/>
    </row>
    <row r="448" spans="1:5" ht="11.25" customHeight="1">
      <c r="A448" s="1413"/>
      <c r="B448" s="1428"/>
      <c r="C448" s="1428"/>
      <c r="D448" s="1429"/>
      <c r="E448" s="1414"/>
    </row>
    <row r="449" spans="1:5" ht="11.25" customHeight="1">
      <c r="A449" s="1413"/>
      <c r="B449" s="1428"/>
      <c r="C449" s="1428"/>
      <c r="D449" s="1429"/>
      <c r="E449" s="1414"/>
    </row>
    <row r="450" spans="1:5" ht="11.25" customHeight="1">
      <c r="A450" s="1413"/>
      <c r="B450" s="1428"/>
      <c r="C450" s="1428"/>
      <c r="D450" s="1429"/>
      <c r="E450" s="1415"/>
    </row>
    <row r="451" spans="1:5" ht="11.25" customHeight="1">
      <c r="A451" s="1413"/>
      <c r="B451" s="1428"/>
      <c r="C451" s="1428"/>
      <c r="D451" s="1429"/>
      <c r="E451" s="1415"/>
    </row>
    <row r="452" spans="1:5" ht="11.25" customHeight="1">
      <c r="A452" s="1413"/>
      <c r="B452" s="1428"/>
      <c r="C452" s="1428"/>
      <c r="D452" s="1429"/>
      <c r="E452" s="1415"/>
    </row>
    <row r="453" spans="1:5" ht="11.25" customHeight="1">
      <c r="A453" s="1413"/>
      <c r="B453" s="1428"/>
      <c r="C453" s="1428"/>
      <c r="D453" s="1429"/>
      <c r="E453" s="1415"/>
    </row>
    <row r="454" spans="1:5" ht="11.25" customHeight="1">
      <c r="A454" s="1413"/>
      <c r="B454" s="1428"/>
      <c r="C454" s="1428"/>
      <c r="D454" s="1429"/>
      <c r="E454" s="1415"/>
    </row>
    <row r="455" spans="1:5" ht="11.25" customHeight="1">
      <c r="A455" s="1413"/>
      <c r="B455" s="1428"/>
      <c r="C455" s="1428"/>
      <c r="D455" s="1429"/>
      <c r="E455" s="1415"/>
    </row>
    <row r="456" spans="1:5" ht="11.25" customHeight="1">
      <c r="A456" s="1413"/>
      <c r="B456" s="1428"/>
      <c r="C456" s="1428"/>
      <c r="D456" s="1429"/>
      <c r="E456" s="1414"/>
    </row>
    <row r="457" spans="1:5" ht="11.25" customHeight="1">
      <c r="A457" s="1413"/>
      <c r="B457" s="1428"/>
      <c r="C457" s="1428"/>
      <c r="D457" s="1429"/>
      <c r="E457" s="1414"/>
    </row>
    <row r="458" spans="1:5" ht="11.25" customHeight="1">
      <c r="A458" s="1413"/>
      <c r="B458" s="1428"/>
      <c r="C458" s="1428"/>
      <c r="D458" s="1429"/>
      <c r="E458" s="1415"/>
    </row>
    <row r="459" spans="1:5" ht="11.25" customHeight="1">
      <c r="A459" s="1413"/>
      <c r="B459" s="1428"/>
      <c r="C459" s="1428"/>
      <c r="D459" s="1429"/>
      <c r="E459" s="1415"/>
    </row>
    <row r="460" spans="1:5" ht="11.25" customHeight="1">
      <c r="A460" s="1413"/>
      <c r="B460" s="1428"/>
      <c r="C460" s="1428"/>
      <c r="D460" s="1429"/>
      <c r="E460" s="1415"/>
    </row>
    <row r="461" spans="1:5" ht="11.25" customHeight="1">
      <c r="A461" s="1413"/>
      <c r="B461" s="1428"/>
      <c r="C461" s="1428"/>
      <c r="D461" s="1429"/>
      <c r="E461" s="1415"/>
    </row>
    <row r="462" spans="1:5" ht="11.25" customHeight="1">
      <c r="A462" s="1413"/>
      <c r="B462" s="1428"/>
      <c r="C462" s="1428"/>
      <c r="D462" s="1429"/>
      <c r="E462" s="1415"/>
    </row>
    <row r="463" spans="1:5" ht="11.25" customHeight="1">
      <c r="A463" s="1413"/>
      <c r="B463" s="1428"/>
      <c r="C463" s="1428"/>
      <c r="D463" s="1429"/>
      <c r="E463" s="1415"/>
    </row>
    <row r="464" spans="1:5" ht="11.25" customHeight="1">
      <c r="A464" s="1413"/>
      <c r="B464" s="1428"/>
      <c r="C464" s="1428"/>
      <c r="D464" s="1429"/>
      <c r="E464" s="1415"/>
    </row>
    <row r="465" spans="1:5" ht="11.25" customHeight="1">
      <c r="A465" s="1413"/>
      <c r="B465" s="1428"/>
      <c r="C465" s="1428"/>
      <c r="D465" s="1429"/>
      <c r="E465" s="1415"/>
    </row>
    <row r="466" spans="1:5" ht="11.25" customHeight="1">
      <c r="A466" s="1413"/>
      <c r="B466" s="1428"/>
      <c r="C466" s="1428"/>
      <c r="D466" s="1429"/>
      <c r="E466" s="1415"/>
    </row>
    <row r="467" spans="1:5" ht="11.25" customHeight="1">
      <c r="A467" s="1413"/>
      <c r="B467" s="1428"/>
      <c r="C467" s="1428"/>
      <c r="D467" s="1429"/>
      <c r="E467" s="1414"/>
    </row>
    <row r="468" spans="1:5" ht="11.25" customHeight="1">
      <c r="A468" s="1413"/>
      <c r="B468" s="1428"/>
      <c r="C468" s="1428"/>
      <c r="D468" s="1429"/>
      <c r="E468" s="1414"/>
    </row>
    <row r="469" spans="1:5" ht="11.25" customHeight="1">
      <c r="A469" s="1413"/>
      <c r="B469" s="1428"/>
      <c r="C469" s="1428"/>
      <c r="D469" s="1429"/>
      <c r="E469" s="1414"/>
    </row>
    <row r="470" spans="1:5" ht="11.25" customHeight="1">
      <c r="A470" s="1413"/>
      <c r="B470" s="1428"/>
      <c r="C470" s="1428"/>
      <c r="D470" s="1429"/>
      <c r="E470" s="1414"/>
    </row>
    <row r="471" spans="1:5" ht="11.25" customHeight="1">
      <c r="A471" s="1413"/>
      <c r="B471" s="1428"/>
      <c r="C471" s="1428"/>
      <c r="D471" s="1429"/>
      <c r="E471" s="1414"/>
    </row>
    <row r="472" spans="1:5" ht="11.25" customHeight="1">
      <c r="A472" s="1413"/>
      <c r="B472" s="1428"/>
      <c r="C472" s="1428"/>
      <c r="D472" s="1429"/>
      <c r="E472" s="1414"/>
    </row>
    <row r="473" spans="1:5" ht="11.25" customHeight="1">
      <c r="A473" s="1413"/>
      <c r="B473" s="1428"/>
      <c r="C473" s="1428"/>
      <c r="D473" s="1429"/>
      <c r="E473" s="1414"/>
    </row>
    <row r="474" spans="1:5" ht="11.25" customHeight="1">
      <c r="A474" s="1413"/>
      <c r="E474" s="1414"/>
    </row>
    <row r="475" ht="11.25" customHeight="1">
      <c r="E475" s="1414"/>
    </row>
    <row r="476" spans="2:5" ht="11.25" customHeight="1">
      <c r="B476" s="1428"/>
      <c r="C476" s="1428"/>
      <c r="D476" s="1429"/>
      <c r="E476" s="1414"/>
    </row>
    <row r="477" spans="1:5" ht="11.25" customHeight="1">
      <c r="A477" s="1428"/>
      <c r="B477" s="1428"/>
      <c r="C477" s="1428"/>
      <c r="D477" s="1429"/>
      <c r="E477" s="1414"/>
    </row>
    <row r="478" spans="1:5" ht="11.25" customHeight="1">
      <c r="A478" s="1428"/>
      <c r="B478" s="1425"/>
      <c r="C478" s="1425"/>
      <c r="D478" s="1431"/>
      <c r="E478" s="1414"/>
    </row>
    <row r="479" spans="1:5" ht="11.25" customHeight="1">
      <c r="A479" s="1413"/>
      <c r="B479" s="1422"/>
      <c r="C479" s="1422"/>
      <c r="D479" s="1423"/>
      <c r="E479" s="1414"/>
    </row>
    <row r="480" spans="1:5" ht="11.25" customHeight="1">
      <c r="A480" s="1422"/>
      <c r="B480" s="1413"/>
      <c r="C480" s="1413"/>
      <c r="D480" s="1424"/>
      <c r="E480" s="1414"/>
    </row>
    <row r="481" spans="1:5" ht="11.25" customHeight="1">
      <c r="A481" s="1413"/>
      <c r="B481" s="1413"/>
      <c r="C481" s="1413"/>
      <c r="D481" s="1424"/>
      <c r="E481" s="1414"/>
    </row>
    <row r="482" spans="1:5" ht="11.25" customHeight="1">
      <c r="A482" s="1413"/>
      <c r="B482" s="1426"/>
      <c r="C482" s="1426"/>
      <c r="D482" s="1427"/>
      <c r="E482" s="1414"/>
    </row>
    <row r="483" spans="1:5" ht="11.25" customHeight="1">
      <c r="A483" s="1425"/>
      <c r="B483" s="1428"/>
      <c r="C483" s="1428"/>
      <c r="D483" s="1429"/>
      <c r="E483" s="1414"/>
    </row>
    <row r="484" spans="1:5" ht="11.25" customHeight="1">
      <c r="A484" s="1428"/>
      <c r="E484" s="1414"/>
    </row>
    <row r="485" ht="11.25" customHeight="1">
      <c r="E485" s="1414"/>
    </row>
    <row r="486" spans="1:5" ht="11.25" customHeight="1">
      <c r="A486" s="1413"/>
      <c r="B486" s="1428"/>
      <c r="C486" s="1428"/>
      <c r="D486" s="1429"/>
      <c r="E486" s="1414"/>
    </row>
    <row r="487" spans="1:5" ht="11.25" customHeight="1">
      <c r="A487" s="1413"/>
      <c r="B487" s="1428"/>
      <c r="C487" s="1428"/>
      <c r="D487" s="1429"/>
      <c r="E487" s="1414"/>
    </row>
    <row r="488" spans="1:5" ht="11.25" customHeight="1">
      <c r="A488" s="1413"/>
      <c r="B488" s="1428"/>
      <c r="C488" s="1428"/>
      <c r="D488" s="1429"/>
      <c r="E488" s="1414"/>
    </row>
    <row r="489" spans="1:5" ht="11.25" customHeight="1">
      <c r="A489" s="1413"/>
      <c r="B489" s="1428"/>
      <c r="C489" s="1428"/>
      <c r="D489" s="1429"/>
      <c r="E489" s="1414"/>
    </row>
    <row r="490" spans="1:5" ht="11.25" customHeight="1">
      <c r="A490" s="1413"/>
      <c r="B490" s="1428"/>
      <c r="C490" s="1428"/>
      <c r="D490" s="1429"/>
      <c r="E490" s="1415"/>
    </row>
    <row r="491" spans="1:5" ht="11.25" customHeight="1">
      <c r="A491" s="1413"/>
      <c r="B491" s="1428"/>
      <c r="C491" s="1428"/>
      <c r="D491" s="1429"/>
      <c r="E491" s="1414"/>
    </row>
    <row r="492" spans="1:5" ht="11.25" customHeight="1">
      <c r="A492" s="1413"/>
      <c r="B492" s="1428"/>
      <c r="C492" s="1428"/>
      <c r="D492" s="1429"/>
      <c r="E492" s="1414"/>
    </row>
    <row r="493" spans="1:5" ht="11.25" customHeight="1">
      <c r="A493" s="1413"/>
      <c r="B493" s="1428"/>
      <c r="C493" s="1428"/>
      <c r="D493" s="1429"/>
      <c r="E493" s="1414"/>
    </row>
    <row r="494" spans="1:5" ht="11.25" customHeight="1">
      <c r="A494" s="1413"/>
      <c r="B494" s="1428"/>
      <c r="C494" s="1428"/>
      <c r="D494" s="1429"/>
      <c r="E494" s="1414"/>
    </row>
    <row r="495" spans="1:5" ht="11.25" customHeight="1">
      <c r="A495" s="1413"/>
      <c r="B495" s="1428"/>
      <c r="C495" s="1428"/>
      <c r="D495" s="1429"/>
      <c r="E495" s="1414"/>
    </row>
    <row r="496" spans="1:5" ht="11.25" customHeight="1">
      <c r="A496" s="1413"/>
      <c r="B496" s="1428"/>
      <c r="C496" s="1428"/>
      <c r="D496" s="1429"/>
      <c r="E496" s="1414"/>
    </row>
    <row r="497" spans="1:5" ht="11.25" customHeight="1">
      <c r="A497" s="1413"/>
      <c r="B497" s="1428"/>
      <c r="C497" s="1428"/>
      <c r="D497" s="1429"/>
      <c r="E497" s="1414"/>
    </row>
    <row r="498" spans="1:5" ht="11.25" customHeight="1">
      <c r="A498" s="1413"/>
      <c r="B498" s="1428"/>
      <c r="C498" s="1428"/>
      <c r="D498" s="1429"/>
      <c r="E498" s="1414"/>
    </row>
    <row r="499" spans="1:5" ht="11.25" customHeight="1">
      <c r="A499" s="1413"/>
      <c r="B499" s="1428"/>
      <c r="C499" s="1428"/>
      <c r="D499" s="1429"/>
      <c r="E499" s="1414"/>
    </row>
    <row r="500" spans="1:5" ht="11.25" customHeight="1">
      <c r="A500" s="1413"/>
      <c r="B500" s="1428"/>
      <c r="C500" s="1428"/>
      <c r="D500" s="1429"/>
      <c r="E500" s="1414"/>
    </row>
    <row r="501" spans="1:5" ht="11.25" customHeight="1">
      <c r="A501" s="1413"/>
      <c r="B501" s="1428"/>
      <c r="C501" s="1428"/>
      <c r="D501" s="1429"/>
      <c r="E501" s="1414"/>
    </row>
    <row r="502" spans="1:5" ht="11.25" customHeight="1">
      <c r="A502" s="1413"/>
      <c r="B502" s="1428"/>
      <c r="C502" s="1428"/>
      <c r="D502" s="1429"/>
      <c r="E502" s="1414"/>
    </row>
    <row r="503" spans="1:5" ht="11.25" customHeight="1">
      <c r="A503" s="1413"/>
      <c r="B503" s="1428"/>
      <c r="C503" s="1428"/>
      <c r="D503" s="1429"/>
      <c r="E503" s="1414"/>
    </row>
    <row r="504" spans="1:5" ht="11.25" customHeight="1">
      <c r="A504" s="1413"/>
      <c r="B504" s="1428"/>
      <c r="C504" s="1428"/>
      <c r="D504" s="1429"/>
      <c r="E504" s="1414"/>
    </row>
    <row r="505" spans="1:5" ht="11.25" customHeight="1">
      <c r="A505" s="1413"/>
      <c r="B505" s="1428"/>
      <c r="C505" s="1428"/>
      <c r="D505" s="1429"/>
      <c r="E505" s="1414"/>
    </row>
    <row r="506" spans="1:5" ht="11.25" customHeight="1">
      <c r="A506" s="1413"/>
      <c r="B506" s="1428"/>
      <c r="C506" s="1428"/>
      <c r="D506" s="1429"/>
      <c r="E506" s="1414"/>
    </row>
    <row r="507" spans="1:5" ht="11.25" customHeight="1">
      <c r="A507" s="1413"/>
      <c r="B507" s="1428"/>
      <c r="C507" s="1428"/>
      <c r="D507" s="1429"/>
      <c r="E507" s="1414"/>
    </row>
    <row r="508" spans="1:5" ht="11.25" customHeight="1">
      <c r="A508" s="1413"/>
      <c r="B508" s="1428"/>
      <c r="C508" s="1428"/>
      <c r="D508" s="1429"/>
      <c r="E508" s="1414"/>
    </row>
    <row r="509" spans="1:5" ht="11.25" customHeight="1">
      <c r="A509" s="1413"/>
      <c r="B509" s="1428"/>
      <c r="C509" s="1428"/>
      <c r="D509" s="1429"/>
      <c r="E509" s="1414"/>
    </row>
    <row r="510" spans="1:5" ht="11.25" customHeight="1">
      <c r="A510" s="1413"/>
      <c r="B510" s="1428"/>
      <c r="C510" s="1428"/>
      <c r="D510" s="1429"/>
      <c r="E510" s="1414"/>
    </row>
    <row r="511" spans="1:5" ht="11.25" customHeight="1">
      <c r="A511" s="1413"/>
      <c r="B511" s="1428"/>
      <c r="C511" s="1428"/>
      <c r="D511" s="1429"/>
      <c r="E511" s="1414"/>
    </row>
    <row r="512" spans="1:5" ht="11.25" customHeight="1">
      <c r="A512" s="1413"/>
      <c r="B512" s="1428"/>
      <c r="C512" s="1428"/>
      <c r="D512" s="1429"/>
      <c r="E512" s="1414"/>
    </row>
    <row r="513" spans="1:5" ht="11.25" customHeight="1">
      <c r="A513" s="1413"/>
      <c r="E513" s="1414"/>
    </row>
    <row r="514" ht="11.25" customHeight="1">
      <c r="E514" s="1414"/>
    </row>
    <row r="515" spans="2:5" ht="11.25" customHeight="1">
      <c r="B515" s="1428"/>
      <c r="C515" s="1428"/>
      <c r="D515" s="1429"/>
      <c r="E515" s="1414"/>
    </row>
    <row r="516" spans="1:5" ht="11.25" customHeight="1">
      <c r="A516" s="1428"/>
      <c r="B516" s="1428"/>
      <c r="C516" s="1428"/>
      <c r="D516" s="1429"/>
      <c r="E516" s="1414"/>
    </row>
    <row r="517" spans="1:5" ht="11.25" customHeight="1">
      <c r="A517" s="1428"/>
      <c r="B517" s="1425"/>
      <c r="C517" s="1425"/>
      <c r="D517" s="1431"/>
      <c r="E517" s="1414"/>
    </row>
    <row r="518" spans="1:5" ht="11.25" customHeight="1">
      <c r="A518" s="1413"/>
      <c r="B518" s="1422"/>
      <c r="C518" s="1422"/>
      <c r="D518" s="1423"/>
      <c r="E518" s="1414"/>
    </row>
    <row r="519" spans="1:5" ht="11.25" customHeight="1">
      <c r="A519" s="1422"/>
      <c r="B519" s="1413"/>
      <c r="C519" s="1413"/>
      <c r="D519" s="1424"/>
      <c r="E519" s="1414"/>
    </row>
    <row r="520" spans="1:5" ht="11.25" customHeight="1">
      <c r="A520" s="1413"/>
      <c r="B520" s="1413"/>
      <c r="C520" s="1413"/>
      <c r="D520" s="1424"/>
      <c r="E520" s="1414"/>
    </row>
    <row r="521" spans="1:5" ht="11.25" customHeight="1">
      <c r="A521" s="1413"/>
      <c r="B521" s="1426"/>
      <c r="C521" s="1426"/>
      <c r="D521" s="1427"/>
      <c r="E521" s="1414"/>
    </row>
    <row r="522" spans="1:5" ht="11.25" customHeight="1">
      <c r="A522" s="1425"/>
      <c r="B522" s="1428"/>
      <c r="C522" s="1428"/>
      <c r="D522" s="1429"/>
      <c r="E522" s="1414"/>
    </row>
    <row r="523" spans="1:5" ht="11.25" customHeight="1">
      <c r="A523" s="1428"/>
      <c r="E523" s="1414"/>
    </row>
    <row r="524" ht="11.25" customHeight="1">
      <c r="E524" s="1414"/>
    </row>
    <row r="525" spans="1:5" ht="11.25" customHeight="1">
      <c r="A525" s="1413"/>
      <c r="B525" s="1428"/>
      <c r="C525" s="1428"/>
      <c r="D525" s="1429"/>
      <c r="E525" s="1414"/>
    </row>
    <row r="526" spans="1:5" ht="11.25" customHeight="1">
      <c r="A526" s="1413"/>
      <c r="B526" s="1428"/>
      <c r="C526" s="1428"/>
      <c r="D526" s="1429"/>
      <c r="E526" s="1414"/>
    </row>
    <row r="527" spans="1:5" ht="11.25" customHeight="1">
      <c r="A527" s="1413"/>
      <c r="B527" s="1428"/>
      <c r="C527" s="1428"/>
      <c r="D527" s="1429"/>
      <c r="E527" s="1414"/>
    </row>
    <row r="528" spans="1:5" ht="11.25" customHeight="1">
      <c r="A528" s="1413"/>
      <c r="B528" s="1428"/>
      <c r="C528" s="1428"/>
      <c r="D528" s="1429"/>
      <c r="E528" s="1414"/>
    </row>
    <row r="529" spans="1:5" ht="11.25" customHeight="1">
      <c r="A529" s="1413"/>
      <c r="B529" s="1428"/>
      <c r="C529" s="1428"/>
      <c r="D529" s="1429"/>
      <c r="E529" s="1414"/>
    </row>
    <row r="530" spans="1:5" ht="11.25" customHeight="1">
      <c r="A530" s="1413"/>
      <c r="B530" s="1428"/>
      <c r="C530" s="1428"/>
      <c r="D530" s="1429"/>
      <c r="E530" s="1414"/>
    </row>
    <row r="531" spans="1:5" ht="11.25" customHeight="1">
      <c r="A531" s="1413"/>
      <c r="B531" s="1428"/>
      <c r="C531" s="1428"/>
      <c r="D531" s="1429"/>
      <c r="E531" s="1414"/>
    </row>
    <row r="532" spans="1:5" ht="11.25" customHeight="1">
      <c r="A532" s="1413"/>
      <c r="B532" s="1428"/>
      <c r="C532" s="1428"/>
      <c r="D532" s="1429"/>
      <c r="E532" s="1414"/>
    </row>
    <row r="533" spans="1:5" ht="11.25" customHeight="1">
      <c r="A533" s="1413"/>
      <c r="B533" s="1428"/>
      <c r="C533" s="1428"/>
      <c r="D533" s="1429"/>
      <c r="E533" s="1414"/>
    </row>
    <row r="534" spans="1:5" ht="11.25" customHeight="1">
      <c r="A534" s="1413"/>
      <c r="B534" s="1428"/>
      <c r="C534" s="1428"/>
      <c r="D534" s="1429"/>
      <c r="E534" s="1414"/>
    </row>
    <row r="535" spans="1:5" ht="11.25" customHeight="1">
      <c r="A535" s="1413"/>
      <c r="B535" s="1428"/>
      <c r="C535" s="1428"/>
      <c r="D535" s="1429"/>
      <c r="E535" s="1414"/>
    </row>
    <row r="536" spans="1:5" ht="11.25" customHeight="1">
      <c r="A536" s="1413"/>
      <c r="B536" s="1428"/>
      <c r="C536" s="1428"/>
      <c r="D536" s="1429"/>
      <c r="E536" s="1414"/>
    </row>
    <row r="537" spans="1:5" ht="11.25" customHeight="1">
      <c r="A537" s="1413"/>
      <c r="B537" s="1428"/>
      <c r="C537" s="1428"/>
      <c r="D537" s="1429"/>
      <c r="E537" s="1414"/>
    </row>
    <row r="538" spans="1:5" ht="11.25" customHeight="1">
      <c r="A538" s="1413"/>
      <c r="B538" s="1428"/>
      <c r="C538" s="1428"/>
      <c r="D538" s="1429"/>
      <c r="E538" s="1414"/>
    </row>
    <row r="539" spans="1:5" ht="11.25" customHeight="1">
      <c r="A539" s="1413"/>
      <c r="B539" s="1428"/>
      <c r="C539" s="1428"/>
      <c r="D539" s="1429"/>
      <c r="E539" s="1414"/>
    </row>
    <row r="540" spans="1:5" ht="11.25" customHeight="1">
      <c r="A540" s="1413"/>
      <c r="B540" s="1428"/>
      <c r="C540" s="1428"/>
      <c r="D540" s="1429"/>
      <c r="E540" s="1414"/>
    </row>
    <row r="541" spans="1:5" ht="11.25" customHeight="1">
      <c r="A541" s="1413"/>
      <c r="B541" s="1428"/>
      <c r="C541" s="1428"/>
      <c r="D541" s="1429"/>
      <c r="E541" s="1414"/>
    </row>
    <row r="542" spans="1:5" ht="11.25" customHeight="1">
      <c r="A542" s="1413"/>
      <c r="B542" s="1428"/>
      <c r="C542" s="1428"/>
      <c r="D542" s="1429"/>
      <c r="E542" s="1414"/>
    </row>
    <row r="543" spans="1:5" ht="11.25" customHeight="1">
      <c r="A543" s="1413"/>
      <c r="B543" s="1428"/>
      <c r="C543" s="1428"/>
      <c r="D543" s="1429"/>
      <c r="E543" s="1414"/>
    </row>
    <row r="544" spans="1:5" ht="11.25" customHeight="1">
      <c r="A544" s="1413"/>
      <c r="B544" s="1428"/>
      <c r="C544" s="1428"/>
      <c r="D544" s="1429"/>
      <c r="E544" s="1414"/>
    </row>
    <row r="545" spans="1:5" ht="11.25" customHeight="1">
      <c r="A545" s="1413"/>
      <c r="B545" s="1428"/>
      <c r="C545" s="1428"/>
      <c r="D545" s="1429"/>
      <c r="E545" s="1414"/>
    </row>
    <row r="546" spans="1:5" ht="11.25" customHeight="1">
      <c r="A546" s="1413"/>
      <c r="B546" s="1428"/>
      <c r="C546" s="1428"/>
      <c r="D546" s="1429"/>
      <c r="E546" s="1414"/>
    </row>
    <row r="547" spans="1:5" ht="11.25" customHeight="1">
      <c r="A547" s="1413"/>
      <c r="B547" s="1428"/>
      <c r="C547" s="1428"/>
      <c r="D547" s="1429"/>
      <c r="E547" s="1414"/>
    </row>
    <row r="548" spans="1:5" ht="11.25" customHeight="1">
      <c r="A548" s="1413"/>
      <c r="B548" s="1428"/>
      <c r="C548" s="1428"/>
      <c r="D548" s="1429"/>
      <c r="E548" s="1414"/>
    </row>
    <row r="549" spans="1:5" ht="11.25" customHeight="1">
      <c r="A549" s="1413"/>
      <c r="B549" s="1428"/>
      <c r="C549" s="1428"/>
      <c r="D549" s="1429"/>
      <c r="E549" s="1414"/>
    </row>
    <row r="550" spans="1:5" ht="11.25" customHeight="1">
      <c r="A550" s="1413"/>
      <c r="B550" s="1428"/>
      <c r="C550" s="1428"/>
      <c r="D550" s="1429"/>
      <c r="E550" s="1414"/>
    </row>
    <row r="551" spans="1:5" ht="11.25" customHeight="1">
      <c r="A551" s="1413"/>
      <c r="B551" s="1428"/>
      <c r="C551" s="1428"/>
      <c r="D551" s="1429"/>
      <c r="E551" s="1428"/>
    </row>
    <row r="552" spans="1:5" ht="11.25" customHeight="1">
      <c r="A552" s="1413"/>
      <c r="E552" s="1428"/>
    </row>
    <row r="553" ht="11.25" customHeight="1">
      <c r="E553" s="1425"/>
    </row>
    <row r="554" spans="2:5" ht="11.25" customHeight="1">
      <c r="B554" s="1428"/>
      <c r="C554" s="1428"/>
      <c r="D554" s="1429"/>
      <c r="E554" s="1422"/>
    </row>
    <row r="555" spans="1:5" ht="11.25" customHeight="1">
      <c r="A555" s="1428"/>
      <c r="B555" s="1428"/>
      <c r="C555" s="1428"/>
      <c r="D555" s="1429"/>
      <c r="E555" s="1413"/>
    </row>
    <row r="556" spans="1:5" ht="11.25" customHeight="1">
      <c r="A556" s="1428"/>
      <c r="B556" s="1425"/>
      <c r="C556" s="1425"/>
      <c r="D556" s="1431"/>
      <c r="E556" s="1413"/>
    </row>
    <row r="557" spans="1:5" ht="11.25" customHeight="1">
      <c r="A557" s="1413"/>
      <c r="B557" s="1422"/>
      <c r="C557" s="1422"/>
      <c r="D557" s="1423"/>
      <c r="E557" s="1425"/>
    </row>
    <row r="558" spans="1:5" ht="11.25" customHeight="1">
      <c r="A558" s="1422"/>
      <c r="B558" s="1413"/>
      <c r="C558" s="1413"/>
      <c r="D558" s="1424"/>
      <c r="E558" s="1428"/>
    </row>
    <row r="559" spans="1:4" ht="11.25" customHeight="1">
      <c r="A559" s="1413"/>
      <c r="B559" s="1413"/>
      <c r="C559" s="1413"/>
      <c r="D559" s="1424"/>
    </row>
    <row r="560" spans="1:4" ht="11.25" customHeight="1">
      <c r="A560" s="1413"/>
      <c r="B560" s="1426"/>
      <c r="C560" s="1426"/>
      <c r="D560" s="1427"/>
    </row>
    <row r="561" spans="1:5" ht="11.25" customHeight="1">
      <c r="A561" s="1425"/>
      <c r="B561" s="1428"/>
      <c r="C561" s="1428"/>
      <c r="D561" s="1429"/>
      <c r="E561" s="1417"/>
    </row>
    <row r="562" spans="1:5" ht="11.25" customHeight="1">
      <c r="A562" s="1428"/>
      <c r="E562" s="1428"/>
    </row>
    <row r="563" ht="11.25" customHeight="1">
      <c r="E563" s="1428"/>
    </row>
    <row r="564" spans="1:5" ht="11.25" customHeight="1">
      <c r="A564" s="1413"/>
      <c r="B564" s="1428"/>
      <c r="C564" s="1428"/>
      <c r="D564" s="1429"/>
      <c r="E564" s="1428"/>
    </row>
    <row r="565" spans="1:5" ht="11.25" customHeight="1">
      <c r="A565" s="1413"/>
      <c r="B565" s="1428"/>
      <c r="C565" s="1428"/>
      <c r="D565" s="1429"/>
      <c r="E565" s="1428"/>
    </row>
    <row r="566" spans="1:5" ht="11.25" customHeight="1">
      <c r="A566" s="1413"/>
      <c r="B566" s="1428"/>
      <c r="C566" s="1428"/>
      <c r="D566" s="1429"/>
      <c r="E566" s="1428"/>
    </row>
    <row r="567" spans="1:5" ht="11.25" customHeight="1">
      <c r="A567" s="1413"/>
      <c r="B567" s="1428"/>
      <c r="C567" s="1428"/>
      <c r="D567" s="1429"/>
      <c r="E567" s="1428"/>
    </row>
    <row r="568" spans="1:5" ht="11.25" customHeight="1">
      <c r="A568" s="1413"/>
      <c r="B568" s="1428"/>
      <c r="C568" s="1428"/>
      <c r="D568" s="1429"/>
      <c r="E568" s="1428"/>
    </row>
    <row r="569" spans="1:5" ht="11.25" customHeight="1">
      <c r="A569" s="1413"/>
      <c r="B569" s="1428"/>
      <c r="C569" s="1428"/>
      <c r="D569" s="1429"/>
      <c r="E569" s="1428"/>
    </row>
    <row r="570" spans="1:5" ht="11.25" customHeight="1">
      <c r="A570" s="1413"/>
      <c r="B570" s="1428"/>
      <c r="C570" s="1428"/>
      <c r="D570" s="1429"/>
      <c r="E570" s="1428"/>
    </row>
    <row r="571" spans="1:5" ht="11.25" customHeight="1">
      <c r="A571" s="1413"/>
      <c r="B571" s="1428"/>
      <c r="C571" s="1428"/>
      <c r="D571" s="1429"/>
      <c r="E571" s="1428"/>
    </row>
    <row r="572" spans="1:5" ht="11.25" customHeight="1">
      <c r="A572" s="1413"/>
      <c r="B572" s="1428"/>
      <c r="C572" s="1428"/>
      <c r="D572" s="1429"/>
      <c r="E572" s="1428"/>
    </row>
    <row r="573" spans="1:5" ht="11.25" customHeight="1">
      <c r="A573" s="1413"/>
      <c r="B573" s="1428"/>
      <c r="C573" s="1428"/>
      <c r="D573" s="1429"/>
      <c r="E573" s="1428"/>
    </row>
    <row r="574" spans="1:5" ht="11.25" customHeight="1">
      <c r="A574" s="1413"/>
      <c r="B574" s="1428"/>
      <c r="C574" s="1428"/>
      <c r="D574" s="1429"/>
      <c r="E574" s="1428"/>
    </row>
    <row r="575" spans="1:5" ht="11.25" customHeight="1">
      <c r="A575" s="1413"/>
      <c r="B575" s="1428"/>
      <c r="C575" s="1428"/>
      <c r="D575" s="1429"/>
      <c r="E575" s="1428"/>
    </row>
    <row r="576" spans="1:5" ht="11.25" customHeight="1">
      <c r="A576" s="1413"/>
      <c r="B576" s="1428"/>
      <c r="C576" s="1428"/>
      <c r="D576" s="1429"/>
      <c r="E576" s="1428"/>
    </row>
    <row r="577" spans="1:5" ht="11.25" customHeight="1">
      <c r="A577" s="1413"/>
      <c r="B577" s="1428"/>
      <c r="C577" s="1428"/>
      <c r="D577" s="1429"/>
      <c r="E577" s="1428"/>
    </row>
    <row r="578" spans="1:5" ht="11.25" customHeight="1">
      <c r="A578" s="1413"/>
      <c r="B578" s="1428"/>
      <c r="C578" s="1428"/>
      <c r="D578" s="1429"/>
      <c r="E578" s="1428"/>
    </row>
    <row r="579" spans="1:5" ht="11.25" customHeight="1">
      <c r="A579" s="1413"/>
      <c r="B579" s="1428"/>
      <c r="C579" s="1428"/>
      <c r="D579" s="1429"/>
      <c r="E579" s="1428"/>
    </row>
    <row r="580" spans="1:5" ht="11.25" customHeight="1">
      <c r="A580" s="1413"/>
      <c r="B580" s="1428"/>
      <c r="C580" s="1428"/>
      <c r="D580" s="1429"/>
      <c r="E580" s="1428"/>
    </row>
    <row r="581" spans="1:5" ht="11.25" customHeight="1">
      <c r="A581" s="1413"/>
      <c r="B581" s="1428"/>
      <c r="C581" s="1428"/>
      <c r="D581" s="1429"/>
      <c r="E581" s="1428"/>
    </row>
    <row r="582" spans="1:5" ht="11.25" customHeight="1">
      <c r="A582" s="1413"/>
      <c r="B582" s="1428"/>
      <c r="C582" s="1428"/>
      <c r="D582" s="1429"/>
      <c r="E582" s="1428"/>
    </row>
    <row r="583" spans="1:5" ht="11.25" customHeight="1">
      <c r="A583" s="1413"/>
      <c r="B583" s="1428"/>
      <c r="C583" s="1428"/>
      <c r="D583" s="1429"/>
      <c r="E583" s="1428"/>
    </row>
    <row r="584" spans="1:5" ht="11.25" customHeight="1">
      <c r="A584" s="1413"/>
      <c r="B584" s="1428"/>
      <c r="C584" s="1428"/>
      <c r="D584" s="1429"/>
      <c r="E584" s="1428"/>
    </row>
    <row r="585" spans="1:5" ht="11.25" customHeight="1">
      <c r="A585" s="1413"/>
      <c r="B585" s="1428"/>
      <c r="C585" s="1428"/>
      <c r="D585" s="1429"/>
      <c r="E585" s="1428"/>
    </row>
    <row r="586" spans="1:5" ht="11.25" customHeight="1">
      <c r="A586" s="1413"/>
      <c r="B586" s="1428"/>
      <c r="C586" s="1428"/>
      <c r="D586" s="1429"/>
      <c r="E586" s="1428"/>
    </row>
    <row r="587" spans="1:5" ht="11.25" customHeight="1">
      <c r="A587" s="1413"/>
      <c r="B587" s="1428"/>
      <c r="C587" s="1428"/>
      <c r="D587" s="1429"/>
      <c r="E587" s="1428"/>
    </row>
    <row r="588" spans="1:5" ht="11.25" customHeight="1">
      <c r="A588" s="1413"/>
      <c r="B588" s="1428"/>
      <c r="C588" s="1428"/>
      <c r="D588" s="1429"/>
      <c r="E588" s="1428"/>
    </row>
    <row r="589" spans="1:4" ht="11.25" customHeight="1">
      <c r="A589" s="1413"/>
      <c r="B589" s="1428"/>
      <c r="C589" s="1428"/>
      <c r="D589" s="1429"/>
    </row>
    <row r="590" spans="1:4" ht="11.25" customHeight="1">
      <c r="A590" s="1413"/>
      <c r="B590" s="1428"/>
      <c r="C590" s="1428"/>
      <c r="D590" s="1429"/>
    </row>
    <row r="591" spans="1:5" ht="11.25" customHeight="1">
      <c r="A591" s="1413"/>
      <c r="E591" s="1428"/>
    </row>
    <row r="592" ht="11.25" customHeight="1">
      <c r="E592" s="1428"/>
    </row>
    <row r="593" spans="2:5" ht="11.25" customHeight="1">
      <c r="B593" s="1428"/>
      <c r="C593" s="1428"/>
      <c r="D593" s="1429"/>
      <c r="E593" s="1425"/>
    </row>
    <row r="594" spans="1:5" ht="11.25" customHeight="1">
      <c r="A594" s="1428"/>
      <c r="B594" s="1428"/>
      <c r="C594" s="1428"/>
      <c r="D594" s="1429"/>
      <c r="E594" s="1422"/>
    </row>
    <row r="595" spans="1:5" ht="11.25" customHeight="1">
      <c r="A595" s="1428"/>
      <c r="B595" s="1425"/>
      <c r="C595" s="1425"/>
      <c r="D595" s="1431"/>
      <c r="E595" s="1413"/>
    </row>
    <row r="596" spans="1:5" ht="11.25" customHeight="1">
      <c r="A596" s="1413"/>
      <c r="B596" s="1422"/>
      <c r="C596" s="1422"/>
      <c r="D596" s="1423"/>
      <c r="E596" s="1413"/>
    </row>
    <row r="597" spans="1:5" ht="11.25" customHeight="1">
      <c r="A597" s="1422"/>
      <c r="B597" s="1413"/>
      <c r="C597" s="1413"/>
      <c r="D597" s="1424"/>
      <c r="E597" s="1425"/>
    </row>
    <row r="598" spans="1:5" ht="11.25" customHeight="1">
      <c r="A598" s="1413"/>
      <c r="B598" s="1413"/>
      <c r="C598" s="1413"/>
      <c r="D598" s="1424"/>
      <c r="E598" s="1428"/>
    </row>
    <row r="599" spans="1:4" ht="11.25" customHeight="1">
      <c r="A599" s="1413"/>
      <c r="B599" s="1426"/>
      <c r="C599" s="1426"/>
      <c r="D599" s="1427"/>
    </row>
    <row r="600" spans="1:4" ht="11.25" customHeight="1">
      <c r="A600" s="1425"/>
      <c r="B600" s="1428"/>
      <c r="C600" s="1428"/>
      <c r="D600" s="1429"/>
    </row>
    <row r="601" spans="1:5" ht="11.25" customHeight="1">
      <c r="A601" s="1428"/>
      <c r="E601" s="1417"/>
    </row>
    <row r="602" ht="11.25" customHeight="1">
      <c r="E602" s="1428"/>
    </row>
    <row r="603" spans="1:5" ht="11.25" customHeight="1">
      <c r="A603" s="1413"/>
      <c r="B603" s="1428"/>
      <c r="C603" s="1428"/>
      <c r="D603" s="1429"/>
      <c r="E603" s="1428"/>
    </row>
    <row r="604" spans="1:5" ht="11.25" customHeight="1">
      <c r="A604" s="1413"/>
      <c r="B604" s="1428"/>
      <c r="C604" s="1428"/>
      <c r="D604" s="1429"/>
      <c r="E604" s="1428"/>
    </row>
    <row r="605" spans="1:5" ht="11.25" customHeight="1">
      <c r="A605" s="1413"/>
      <c r="B605" s="1428"/>
      <c r="C605" s="1428"/>
      <c r="D605" s="1429"/>
      <c r="E605" s="1428"/>
    </row>
    <row r="606" spans="1:5" ht="11.25" customHeight="1">
      <c r="A606" s="1413"/>
      <c r="B606" s="1428"/>
      <c r="C606" s="1428"/>
      <c r="D606" s="1429"/>
      <c r="E606" s="1428"/>
    </row>
    <row r="607" spans="1:5" ht="11.25" customHeight="1">
      <c r="A607" s="1413"/>
      <c r="B607" s="1428"/>
      <c r="C607" s="1428"/>
      <c r="D607" s="1429"/>
      <c r="E607" s="1428"/>
    </row>
    <row r="608" spans="1:5" ht="11.25" customHeight="1">
      <c r="A608" s="1413"/>
      <c r="B608" s="1428"/>
      <c r="C608" s="1428"/>
      <c r="D608" s="1429"/>
      <c r="E608" s="1428"/>
    </row>
    <row r="609" spans="1:5" ht="11.25" customHeight="1">
      <c r="A609" s="1413"/>
      <c r="B609" s="1428"/>
      <c r="C609" s="1428"/>
      <c r="D609" s="1429"/>
      <c r="E609" s="1428"/>
    </row>
    <row r="610" spans="1:5" ht="11.25" customHeight="1">
      <c r="A610" s="1413"/>
      <c r="B610" s="1428"/>
      <c r="C610" s="1428"/>
      <c r="D610" s="1429"/>
      <c r="E610" s="1428"/>
    </row>
    <row r="611" spans="1:5" ht="11.25" customHeight="1">
      <c r="A611" s="1413"/>
      <c r="B611" s="1428"/>
      <c r="C611" s="1428"/>
      <c r="D611" s="1429"/>
      <c r="E611" s="1428"/>
    </row>
    <row r="612" spans="1:5" ht="11.25" customHeight="1">
      <c r="A612" s="1413"/>
      <c r="B612" s="1428"/>
      <c r="C612" s="1428"/>
      <c r="D612" s="1429"/>
      <c r="E612" s="1428"/>
    </row>
    <row r="613" spans="1:5" ht="11.25" customHeight="1">
      <c r="A613" s="1413"/>
      <c r="B613" s="1428"/>
      <c r="C613" s="1428"/>
      <c r="D613" s="1429"/>
      <c r="E613" s="1428"/>
    </row>
    <row r="614" spans="1:5" ht="11.25" customHeight="1">
      <c r="A614" s="1413"/>
      <c r="B614" s="1428"/>
      <c r="C614" s="1428"/>
      <c r="D614" s="1429"/>
      <c r="E614" s="1428"/>
    </row>
    <row r="615" spans="1:5" ht="11.25" customHeight="1">
      <c r="A615" s="1413"/>
      <c r="B615" s="1428"/>
      <c r="C615" s="1428"/>
      <c r="D615" s="1429"/>
      <c r="E615" s="1428"/>
    </row>
    <row r="616" spans="1:5" ht="11.25" customHeight="1">
      <c r="A616" s="1413"/>
      <c r="B616" s="1428"/>
      <c r="C616" s="1428"/>
      <c r="D616" s="1429"/>
      <c r="E616" s="1428"/>
    </row>
    <row r="617" spans="1:5" ht="11.25" customHeight="1">
      <c r="A617" s="1413"/>
      <c r="B617" s="1428"/>
      <c r="C617" s="1428"/>
      <c r="D617" s="1429"/>
      <c r="E617" s="1428"/>
    </row>
    <row r="618" spans="1:5" ht="11.25" customHeight="1">
      <c r="A618" s="1413"/>
      <c r="B618" s="1428"/>
      <c r="C618" s="1428"/>
      <c r="D618" s="1429"/>
      <c r="E618" s="1428"/>
    </row>
    <row r="619" spans="1:5" ht="11.25" customHeight="1">
      <c r="A619" s="1413"/>
      <c r="B619" s="1428"/>
      <c r="C619" s="1428"/>
      <c r="D619" s="1429"/>
      <c r="E619" s="1428"/>
    </row>
    <row r="620" spans="1:5" ht="11.25" customHeight="1">
      <c r="A620" s="1413"/>
      <c r="B620" s="1428"/>
      <c r="C620" s="1428"/>
      <c r="D620" s="1429"/>
      <c r="E620" s="1428"/>
    </row>
    <row r="621" spans="1:5" ht="11.25" customHeight="1">
      <c r="A621" s="1413"/>
      <c r="B621" s="1428"/>
      <c r="C621" s="1428"/>
      <c r="D621" s="1429"/>
      <c r="E621" s="1428"/>
    </row>
    <row r="622" spans="1:5" ht="11.25" customHeight="1">
      <c r="A622" s="1413"/>
      <c r="B622" s="1428"/>
      <c r="C622" s="1428"/>
      <c r="D622" s="1429"/>
      <c r="E622" s="1428"/>
    </row>
    <row r="623" spans="1:5" ht="11.25" customHeight="1">
      <c r="A623" s="1413"/>
      <c r="B623" s="1428"/>
      <c r="C623" s="1428"/>
      <c r="D623" s="1429"/>
      <c r="E623" s="1428"/>
    </row>
    <row r="624" spans="1:5" ht="11.25" customHeight="1">
      <c r="A624" s="1413"/>
      <c r="B624" s="1428"/>
      <c r="C624" s="1428"/>
      <c r="D624" s="1429"/>
      <c r="E624" s="1428"/>
    </row>
    <row r="625" spans="1:5" ht="11.25" customHeight="1">
      <c r="A625" s="1413"/>
      <c r="B625" s="1428"/>
      <c r="C625" s="1428"/>
      <c r="D625" s="1429"/>
      <c r="E625" s="1428"/>
    </row>
    <row r="626" spans="1:5" ht="11.25" customHeight="1">
      <c r="A626" s="1413"/>
      <c r="B626" s="1428"/>
      <c r="C626" s="1428"/>
      <c r="D626" s="1429"/>
      <c r="E626" s="1428"/>
    </row>
    <row r="627" spans="1:5" ht="11.25" customHeight="1">
      <c r="A627" s="1413"/>
      <c r="B627" s="1428"/>
      <c r="C627" s="1428"/>
      <c r="D627" s="1429"/>
      <c r="E627" s="1428"/>
    </row>
    <row r="628" spans="1:5" ht="11.25" customHeight="1">
      <c r="A628" s="1413"/>
      <c r="B628" s="1428"/>
      <c r="C628" s="1428"/>
      <c r="D628" s="1429"/>
      <c r="E628" s="1428"/>
    </row>
    <row r="629" spans="1:4" ht="11.25" customHeight="1">
      <c r="A629" s="1413"/>
      <c r="B629" s="1428"/>
      <c r="C629" s="1428"/>
      <c r="D629" s="1429"/>
    </row>
    <row r="630" ht="11.25" customHeight="1">
      <c r="A630" s="1413"/>
    </row>
    <row r="631" ht="11.25" customHeight="1">
      <c r="E631" s="1428"/>
    </row>
    <row r="632" spans="2:5" ht="11.25" customHeight="1">
      <c r="B632" s="1428"/>
      <c r="C632" s="1428"/>
      <c r="D632" s="1429"/>
      <c r="E632" s="1428"/>
    </row>
    <row r="633" spans="1:5" ht="11.25" customHeight="1">
      <c r="A633" s="1428"/>
      <c r="B633" s="1428"/>
      <c r="C633" s="1428"/>
      <c r="D633" s="1429"/>
      <c r="E633" s="1425"/>
    </row>
    <row r="634" spans="1:5" ht="11.25" customHeight="1">
      <c r="A634" s="1428"/>
      <c r="B634" s="1425"/>
      <c r="C634" s="1425"/>
      <c r="D634" s="1431"/>
      <c r="E634" s="1422"/>
    </row>
    <row r="635" spans="1:5" ht="11.25" customHeight="1">
      <c r="A635" s="1413"/>
      <c r="B635" s="1422"/>
      <c r="C635" s="1422"/>
      <c r="D635" s="1423"/>
      <c r="E635" s="1413"/>
    </row>
    <row r="636" spans="1:5" ht="11.25" customHeight="1">
      <c r="A636" s="1422"/>
      <c r="B636" s="1413"/>
      <c r="C636" s="1413"/>
      <c r="D636" s="1424"/>
      <c r="E636" s="1413"/>
    </row>
    <row r="637" spans="1:5" ht="11.25" customHeight="1">
      <c r="A637" s="1413"/>
      <c r="B637" s="1413"/>
      <c r="C637" s="1413"/>
      <c r="D637" s="1424"/>
      <c r="E637" s="1425"/>
    </row>
    <row r="638" spans="1:5" ht="11.25" customHeight="1">
      <c r="A638" s="1413"/>
      <c r="B638" s="1426"/>
      <c r="C638" s="1426"/>
      <c r="D638" s="1427"/>
      <c r="E638" s="1428"/>
    </row>
    <row r="639" spans="1:4" ht="11.25" customHeight="1">
      <c r="A639" s="1425"/>
      <c r="B639" s="1428"/>
      <c r="C639" s="1428"/>
      <c r="D639" s="1429"/>
    </row>
    <row r="640" ht="11.25" customHeight="1">
      <c r="A640" s="1428"/>
    </row>
    <row r="641" ht="11.25" customHeight="1">
      <c r="E641" s="1417"/>
    </row>
    <row r="642" spans="1:5" ht="11.25" customHeight="1">
      <c r="A642" s="1413"/>
      <c r="B642" s="1428"/>
      <c r="C642" s="1428"/>
      <c r="D642" s="1429"/>
      <c r="E642" s="1428"/>
    </row>
    <row r="643" spans="1:5" ht="11.25" customHeight="1">
      <c r="A643" s="1413"/>
      <c r="B643" s="1428"/>
      <c r="C643" s="1428"/>
      <c r="D643" s="1429"/>
      <c r="E643" s="1428"/>
    </row>
    <row r="644" spans="1:5" ht="11.25" customHeight="1">
      <c r="A644" s="1413"/>
      <c r="B644" s="1428"/>
      <c r="C644" s="1428"/>
      <c r="D644" s="1429"/>
      <c r="E644" s="1428"/>
    </row>
    <row r="645" spans="1:5" ht="11.25" customHeight="1">
      <c r="A645" s="1413"/>
      <c r="B645" s="1428"/>
      <c r="C645" s="1428"/>
      <c r="D645" s="1429"/>
      <c r="E645" s="1428"/>
    </row>
    <row r="646" spans="1:5" ht="11.25" customHeight="1">
      <c r="A646" s="1413"/>
      <c r="B646" s="1428"/>
      <c r="C646" s="1428"/>
      <c r="D646" s="1429"/>
      <c r="E646" s="1428"/>
    </row>
    <row r="647" spans="1:5" ht="11.25" customHeight="1">
      <c r="A647" s="1413"/>
      <c r="B647" s="1428"/>
      <c r="C647" s="1428"/>
      <c r="D647" s="1429"/>
      <c r="E647" s="1428"/>
    </row>
    <row r="648" spans="1:5" ht="11.25" customHeight="1">
      <c r="A648" s="1413"/>
      <c r="B648" s="1428"/>
      <c r="C648" s="1428"/>
      <c r="D648" s="1429"/>
      <c r="E648" s="1428"/>
    </row>
    <row r="649" spans="1:5" ht="11.25" customHeight="1">
      <c r="A649" s="1413"/>
      <c r="B649" s="1428"/>
      <c r="C649" s="1428"/>
      <c r="D649" s="1429"/>
      <c r="E649" s="1428"/>
    </row>
    <row r="650" spans="1:5" ht="11.25" customHeight="1">
      <c r="A650" s="1413"/>
      <c r="B650" s="1428"/>
      <c r="C650" s="1428"/>
      <c r="D650" s="1429"/>
      <c r="E650" s="1428"/>
    </row>
    <row r="651" spans="1:5" ht="11.25" customHeight="1">
      <c r="A651" s="1413"/>
      <c r="B651" s="1428"/>
      <c r="C651" s="1428"/>
      <c r="D651" s="1429"/>
      <c r="E651" s="1428"/>
    </row>
    <row r="652" spans="1:5" ht="11.25" customHeight="1">
      <c r="A652" s="1413"/>
      <c r="B652" s="1428"/>
      <c r="C652" s="1428"/>
      <c r="D652" s="1429"/>
      <c r="E652" s="1428"/>
    </row>
    <row r="653" spans="1:5" ht="11.25" customHeight="1">
      <c r="A653" s="1413"/>
      <c r="B653" s="1428"/>
      <c r="C653" s="1428"/>
      <c r="D653" s="1429"/>
      <c r="E653" s="1428"/>
    </row>
    <row r="654" spans="1:5" ht="11.25" customHeight="1">
      <c r="A654" s="1413"/>
      <c r="B654" s="1428"/>
      <c r="C654" s="1428"/>
      <c r="D654" s="1429"/>
      <c r="E654" s="1428"/>
    </row>
    <row r="655" spans="1:5" ht="11.25" customHeight="1">
      <c r="A655" s="1413"/>
      <c r="B655" s="1428"/>
      <c r="C655" s="1428"/>
      <c r="D655" s="1429"/>
      <c r="E655" s="1428"/>
    </row>
    <row r="656" spans="1:5" ht="11.25" customHeight="1">
      <c r="A656" s="1413"/>
      <c r="B656" s="1428"/>
      <c r="C656" s="1428"/>
      <c r="D656" s="1429"/>
      <c r="E656" s="1428"/>
    </row>
    <row r="657" spans="1:5" ht="11.25" customHeight="1">
      <c r="A657" s="1413"/>
      <c r="B657" s="1428"/>
      <c r="C657" s="1428"/>
      <c r="D657" s="1429"/>
      <c r="E657" s="1428"/>
    </row>
    <row r="658" spans="1:5" ht="11.25" customHeight="1">
      <c r="A658" s="1413"/>
      <c r="B658" s="1428"/>
      <c r="C658" s="1428"/>
      <c r="D658" s="1429"/>
      <c r="E658" s="1428"/>
    </row>
    <row r="659" spans="1:5" ht="11.25" customHeight="1">
      <c r="A659" s="1413"/>
      <c r="E659" s="1428"/>
    </row>
    <row r="660" ht="11.25" customHeight="1">
      <c r="E660" s="1428"/>
    </row>
    <row r="661" ht="11.25" customHeight="1">
      <c r="E661" s="1428"/>
    </row>
    <row r="662" ht="11.25" customHeight="1">
      <c r="E662" s="1428"/>
    </row>
    <row r="663" ht="11.25" customHeight="1">
      <c r="E663" s="1428"/>
    </row>
    <row r="664" ht="11.25" customHeight="1">
      <c r="E664" s="1428"/>
    </row>
    <row r="665" ht="11.25" customHeight="1">
      <c r="E665" s="1428"/>
    </row>
    <row r="666" ht="11.25" customHeight="1">
      <c r="E666" s="1428"/>
    </row>
    <row r="667" ht="11.25" customHeight="1">
      <c r="E667" s="1428"/>
    </row>
    <row r="668" ht="11.25" customHeight="1">
      <c r="E668" s="1428"/>
    </row>
    <row r="671" ht="11.25" customHeight="1">
      <c r="E671" s="1428"/>
    </row>
    <row r="672" ht="11.25" customHeight="1">
      <c r="E672" s="1428"/>
    </row>
    <row r="673" ht="11.25" customHeight="1">
      <c r="E673" s="1425"/>
    </row>
    <row r="674" ht="11.25" customHeight="1">
      <c r="E674" s="1422"/>
    </row>
    <row r="675" ht="11.25" customHeight="1">
      <c r="E675" s="1413"/>
    </row>
    <row r="676" ht="11.25" customHeight="1">
      <c r="E676" s="1413"/>
    </row>
    <row r="677" ht="11.25" customHeight="1">
      <c r="E677" s="1425"/>
    </row>
    <row r="678" ht="11.25" customHeight="1">
      <c r="E678" s="1428"/>
    </row>
    <row r="681" ht="11.25" customHeight="1">
      <c r="E681" s="1417"/>
    </row>
    <row r="682" ht="11.25" customHeight="1">
      <c r="E682" s="1428"/>
    </row>
    <row r="683" ht="11.25" customHeight="1">
      <c r="E683" s="1428"/>
    </row>
    <row r="684" ht="11.25" customHeight="1">
      <c r="E684" s="1428"/>
    </row>
    <row r="685" ht="11.25" customHeight="1">
      <c r="E685" s="1428"/>
    </row>
    <row r="686" ht="11.25" customHeight="1">
      <c r="E686" s="1428"/>
    </row>
    <row r="687" ht="11.25" customHeight="1">
      <c r="E687" s="1428"/>
    </row>
    <row r="688" ht="11.25" customHeight="1">
      <c r="E688" s="1428"/>
    </row>
    <row r="689" ht="11.25" customHeight="1">
      <c r="E689" s="1428"/>
    </row>
    <row r="690" ht="11.25" customHeight="1">
      <c r="E690" s="1428"/>
    </row>
    <row r="691" ht="11.25" customHeight="1">
      <c r="E691" s="1428"/>
    </row>
    <row r="692" ht="11.25" customHeight="1">
      <c r="E692" s="1428"/>
    </row>
    <row r="693" ht="11.25" customHeight="1">
      <c r="E693" s="1428"/>
    </row>
    <row r="694" ht="11.25" customHeight="1">
      <c r="E694" s="1428"/>
    </row>
    <row r="695" ht="11.25" customHeight="1">
      <c r="E695" s="1428"/>
    </row>
    <row r="696" ht="11.25" customHeight="1">
      <c r="E696" s="1428"/>
    </row>
    <row r="697" ht="11.25" customHeight="1">
      <c r="E697" s="1428"/>
    </row>
    <row r="698" ht="11.25" customHeight="1">
      <c r="E698" s="1428"/>
    </row>
    <row r="699" ht="11.25" customHeight="1">
      <c r="E699" s="1428"/>
    </row>
    <row r="700" ht="11.25" customHeight="1">
      <c r="E700" s="1428"/>
    </row>
    <row r="701" ht="11.25" customHeight="1">
      <c r="E701" s="1428"/>
    </row>
    <row r="702" ht="11.25" customHeight="1">
      <c r="E702" s="1428"/>
    </row>
    <row r="703" ht="11.25" customHeight="1">
      <c r="E703" s="1428"/>
    </row>
    <row r="704" ht="11.25" customHeight="1">
      <c r="E704" s="1428"/>
    </row>
    <row r="705" ht="11.25" customHeight="1">
      <c r="E705" s="1428"/>
    </row>
    <row r="706" ht="11.25" customHeight="1">
      <c r="E706" s="1428"/>
    </row>
    <row r="707" ht="11.25" customHeight="1">
      <c r="E707" s="1428"/>
    </row>
    <row r="708" ht="11.25" customHeight="1">
      <c r="E708" s="1428"/>
    </row>
    <row r="711" ht="11.25" customHeight="1">
      <c r="E711" s="1428"/>
    </row>
    <row r="712" ht="11.25" customHeight="1">
      <c r="E712" s="1428"/>
    </row>
    <row r="713" ht="11.25" customHeight="1">
      <c r="E713" s="1425"/>
    </row>
    <row r="714" ht="11.25" customHeight="1">
      <c r="E714" s="1422"/>
    </row>
    <row r="715" ht="11.25" customHeight="1">
      <c r="E715" s="1413"/>
    </row>
    <row r="716" ht="11.25" customHeight="1">
      <c r="E716" s="1413"/>
    </row>
    <row r="717" ht="11.25" customHeight="1">
      <c r="E717" s="1425"/>
    </row>
    <row r="718" ht="11.25" customHeight="1">
      <c r="E718" s="1428"/>
    </row>
    <row r="721" ht="11.25" customHeight="1">
      <c r="E721" s="1417"/>
    </row>
    <row r="722" ht="11.25" customHeight="1">
      <c r="E722" s="1428"/>
    </row>
    <row r="723" ht="11.25" customHeight="1">
      <c r="E723" s="1428"/>
    </row>
    <row r="724" ht="11.25" customHeight="1">
      <c r="E724" s="1428"/>
    </row>
    <row r="725" ht="11.25" customHeight="1">
      <c r="E725" s="1428"/>
    </row>
    <row r="726" ht="11.25" customHeight="1">
      <c r="E726" s="1428"/>
    </row>
    <row r="727" ht="11.25" customHeight="1">
      <c r="E727" s="1428"/>
    </row>
    <row r="728" ht="11.25" customHeight="1">
      <c r="E728" s="1428"/>
    </row>
    <row r="729" ht="11.25" customHeight="1">
      <c r="E729" s="1428"/>
    </row>
    <row r="730" ht="11.25" customHeight="1">
      <c r="E730" s="1428"/>
    </row>
    <row r="731" ht="11.25" customHeight="1">
      <c r="E731" s="1428"/>
    </row>
    <row r="732" ht="11.25" customHeight="1">
      <c r="E732" s="1428"/>
    </row>
    <row r="733" ht="11.25" customHeight="1">
      <c r="E733" s="1428"/>
    </row>
    <row r="734" ht="11.25" customHeight="1">
      <c r="E734" s="1428"/>
    </row>
    <row r="735" ht="11.25" customHeight="1">
      <c r="E735" s="1428"/>
    </row>
    <row r="736" ht="11.25" customHeight="1">
      <c r="E736" s="1428"/>
    </row>
    <row r="737" ht="11.25" customHeight="1">
      <c r="E737" s="1428"/>
    </row>
    <row r="738" ht="11.25" customHeight="1">
      <c r="E738" s="1428"/>
    </row>
    <row r="739" ht="11.25" customHeight="1">
      <c r="E739" s="1428"/>
    </row>
    <row r="740" ht="11.25" customHeight="1">
      <c r="E740" s="1428"/>
    </row>
    <row r="741" ht="11.25" customHeight="1">
      <c r="E741" s="1428"/>
    </row>
    <row r="742" ht="11.25" customHeight="1">
      <c r="E742" s="1428"/>
    </row>
    <row r="743" ht="11.25" customHeight="1">
      <c r="E743" s="1428"/>
    </row>
    <row r="744" ht="11.25" customHeight="1">
      <c r="E744" s="1428"/>
    </row>
    <row r="745" ht="11.25" customHeight="1">
      <c r="E745" s="1428"/>
    </row>
    <row r="746" ht="11.25" customHeight="1">
      <c r="E746" s="1428"/>
    </row>
    <row r="747" ht="11.25" customHeight="1">
      <c r="E747" s="1428"/>
    </row>
    <row r="748" ht="11.25" customHeight="1">
      <c r="E748" s="1428"/>
    </row>
    <row r="751" ht="11.25" customHeight="1">
      <c r="E751" s="1428"/>
    </row>
    <row r="752" ht="11.25" customHeight="1">
      <c r="E752" s="1428"/>
    </row>
    <row r="753" ht="11.25" customHeight="1">
      <c r="E753" s="1425"/>
    </row>
    <row r="754" ht="11.25" customHeight="1">
      <c r="E754" s="1422"/>
    </row>
    <row r="755" ht="11.25" customHeight="1">
      <c r="E755" s="1413"/>
    </row>
    <row r="756" ht="11.25" customHeight="1">
      <c r="E756" s="1413"/>
    </row>
    <row r="757" ht="11.25" customHeight="1">
      <c r="E757" s="1425"/>
    </row>
    <row r="758" ht="11.25" customHeight="1">
      <c r="E758" s="1428"/>
    </row>
    <row r="761" ht="11.25" customHeight="1">
      <c r="E761" s="1417"/>
    </row>
    <row r="762" ht="11.25" customHeight="1">
      <c r="E762" s="1428"/>
    </row>
    <row r="763" ht="11.25" customHeight="1">
      <c r="E763" s="1428"/>
    </row>
    <row r="764" ht="11.25" customHeight="1">
      <c r="E764" s="1428"/>
    </row>
    <row r="765" ht="11.25" customHeight="1">
      <c r="E765" s="1428"/>
    </row>
    <row r="766" ht="11.25" customHeight="1">
      <c r="E766" s="1428"/>
    </row>
    <row r="767" ht="11.25" customHeight="1">
      <c r="E767" s="1428"/>
    </row>
    <row r="768" ht="11.25" customHeight="1">
      <c r="E768" s="1428"/>
    </row>
    <row r="769" ht="11.25" customHeight="1">
      <c r="E769" s="1428"/>
    </row>
    <row r="770" ht="11.25" customHeight="1">
      <c r="E770" s="1428"/>
    </row>
    <row r="771" ht="11.25" customHeight="1">
      <c r="E771" s="1428"/>
    </row>
    <row r="772" ht="11.25" customHeight="1">
      <c r="E772" s="1428"/>
    </row>
    <row r="773" ht="11.25" customHeight="1">
      <c r="E773" s="1428"/>
    </row>
    <row r="774" ht="11.25" customHeight="1">
      <c r="E774" s="1428"/>
    </row>
    <row r="775" ht="11.25" customHeight="1">
      <c r="E775" s="1428"/>
    </row>
    <row r="776" ht="11.25" customHeight="1">
      <c r="E776" s="1428"/>
    </row>
    <row r="777" ht="11.25" customHeight="1">
      <c r="E777" s="1428"/>
    </row>
    <row r="778" ht="11.25" customHeight="1">
      <c r="E778" s="1428"/>
    </row>
    <row r="779" ht="11.25" customHeight="1">
      <c r="E779" s="1428"/>
    </row>
    <row r="780" ht="11.25" customHeight="1">
      <c r="E780" s="1428"/>
    </row>
    <row r="781" ht="11.25" customHeight="1">
      <c r="E781" s="1428"/>
    </row>
    <row r="782" ht="11.25" customHeight="1">
      <c r="E782" s="1428"/>
    </row>
    <row r="783" ht="11.25" customHeight="1">
      <c r="E783" s="1428"/>
    </row>
    <row r="784" ht="11.25" customHeight="1">
      <c r="E784" s="1428"/>
    </row>
    <row r="785" ht="11.25" customHeight="1">
      <c r="E785" s="1428"/>
    </row>
    <row r="786" ht="11.25" customHeight="1">
      <c r="E786" s="1428"/>
    </row>
    <row r="787" ht="11.25" customHeight="1">
      <c r="E787" s="1428"/>
    </row>
    <row r="788" ht="11.25" customHeight="1">
      <c r="E788" s="1428"/>
    </row>
    <row r="791" ht="11.25" customHeight="1">
      <c r="E791" s="1428"/>
    </row>
    <row r="792" ht="11.25" customHeight="1">
      <c r="E792" s="1428"/>
    </row>
    <row r="793" ht="11.25" customHeight="1">
      <c r="E793" s="1425"/>
    </row>
    <row r="794" ht="11.25" customHeight="1">
      <c r="E794" s="1422"/>
    </row>
    <row r="795" ht="11.25" customHeight="1">
      <c r="E795" s="1413"/>
    </row>
    <row r="796" ht="11.25" customHeight="1">
      <c r="E796" s="1413"/>
    </row>
    <row r="797" ht="11.25" customHeight="1">
      <c r="E797" s="1425"/>
    </row>
    <row r="798" ht="11.25" customHeight="1">
      <c r="E798" s="1428"/>
    </row>
    <row r="801" ht="11.25" customHeight="1">
      <c r="E801" s="1417"/>
    </row>
    <row r="802" ht="11.25" customHeight="1">
      <c r="E802" s="1428"/>
    </row>
    <row r="803" ht="11.25" customHeight="1">
      <c r="E803" s="1428"/>
    </row>
    <row r="804" ht="11.25" customHeight="1">
      <c r="E804" s="1428"/>
    </row>
    <row r="805" ht="11.25" customHeight="1">
      <c r="E805" s="1428"/>
    </row>
    <row r="806" ht="11.25" customHeight="1">
      <c r="E806" s="1428"/>
    </row>
    <row r="807" ht="11.25" customHeight="1">
      <c r="E807" s="1428"/>
    </row>
    <row r="808" ht="11.25" customHeight="1">
      <c r="E808" s="1428"/>
    </row>
    <row r="809" ht="11.25" customHeight="1">
      <c r="E809" s="1428"/>
    </row>
    <row r="810" ht="11.25" customHeight="1">
      <c r="E810" s="1428"/>
    </row>
    <row r="811" ht="11.25" customHeight="1">
      <c r="E811" s="1428"/>
    </row>
    <row r="812" ht="11.25" customHeight="1">
      <c r="E812" s="1428"/>
    </row>
    <row r="813" ht="11.25" customHeight="1">
      <c r="E813" s="1428"/>
    </row>
    <row r="814" ht="11.25" customHeight="1">
      <c r="E814" s="1428"/>
    </row>
    <row r="815" ht="11.25" customHeight="1">
      <c r="E815" s="1428"/>
    </row>
    <row r="816" ht="11.25" customHeight="1">
      <c r="E816" s="1428"/>
    </row>
    <row r="817" ht="11.25" customHeight="1">
      <c r="E817" s="1428"/>
    </row>
    <row r="818" ht="11.25" customHeight="1">
      <c r="E818" s="1428"/>
    </row>
    <row r="819" ht="11.25" customHeight="1">
      <c r="E819" s="1428"/>
    </row>
    <row r="820" ht="11.25" customHeight="1">
      <c r="E820" s="1428"/>
    </row>
    <row r="821" ht="11.25" customHeight="1">
      <c r="E821" s="1428"/>
    </row>
    <row r="822" ht="11.25" customHeight="1">
      <c r="E822" s="1428"/>
    </row>
    <row r="823" ht="11.25" customHeight="1">
      <c r="E823" s="1428"/>
    </row>
    <row r="824" ht="11.25" customHeight="1">
      <c r="E824" s="1428"/>
    </row>
    <row r="825" ht="11.25" customHeight="1">
      <c r="E825" s="1428"/>
    </row>
    <row r="826" ht="11.25" customHeight="1">
      <c r="E826" s="1428"/>
    </row>
    <row r="827" ht="11.25" customHeight="1">
      <c r="E827" s="1428"/>
    </row>
    <row r="828" ht="11.25" customHeight="1">
      <c r="E828" s="1428"/>
    </row>
    <row r="831" ht="11.25" customHeight="1">
      <c r="E831" s="1428"/>
    </row>
    <row r="832" ht="11.25" customHeight="1">
      <c r="E832" s="1428"/>
    </row>
    <row r="833" ht="11.25" customHeight="1">
      <c r="E833" s="1425"/>
    </row>
    <row r="834" ht="11.25" customHeight="1">
      <c r="E834" s="1422"/>
    </row>
    <row r="835" ht="11.25" customHeight="1">
      <c r="E835" s="1413"/>
    </row>
    <row r="836" ht="11.25" customHeight="1">
      <c r="E836" s="1413"/>
    </row>
    <row r="837" ht="11.25" customHeight="1">
      <c r="E837" s="1425"/>
    </row>
    <row r="838" ht="11.25" customHeight="1">
      <c r="E838" s="1428"/>
    </row>
    <row r="841" ht="11.25" customHeight="1">
      <c r="E841" s="1417"/>
    </row>
    <row r="842" ht="11.25" customHeight="1">
      <c r="E842" s="1428"/>
    </row>
    <row r="843" ht="11.25" customHeight="1">
      <c r="E843" s="1428"/>
    </row>
    <row r="844" ht="11.25" customHeight="1">
      <c r="E844" s="1428"/>
    </row>
    <row r="845" ht="11.25" customHeight="1">
      <c r="E845" s="1428"/>
    </row>
    <row r="846" ht="11.25" customHeight="1">
      <c r="E846" s="1428"/>
    </row>
    <row r="847" ht="11.25" customHeight="1">
      <c r="E847" s="1428"/>
    </row>
    <row r="848" ht="11.25" customHeight="1">
      <c r="E848" s="1428"/>
    </row>
    <row r="849" ht="11.25" customHeight="1">
      <c r="E849" s="1428"/>
    </row>
    <row r="850" ht="11.25" customHeight="1">
      <c r="E850" s="1428"/>
    </row>
    <row r="851" ht="11.25" customHeight="1">
      <c r="E851" s="1428"/>
    </row>
    <row r="852" ht="11.25" customHeight="1">
      <c r="E852" s="1428"/>
    </row>
    <row r="853" ht="11.25" customHeight="1">
      <c r="E853" s="1428"/>
    </row>
    <row r="854" ht="11.25" customHeight="1">
      <c r="E854" s="1428"/>
    </row>
    <row r="855" ht="11.25" customHeight="1">
      <c r="E855" s="1428"/>
    </row>
    <row r="856" ht="11.25" customHeight="1">
      <c r="E856" s="1428"/>
    </row>
    <row r="857" ht="11.25" customHeight="1">
      <c r="E857" s="1428"/>
    </row>
    <row r="858" ht="11.25" customHeight="1">
      <c r="E858" s="1428"/>
    </row>
    <row r="859" ht="11.25" customHeight="1">
      <c r="E859" s="1428"/>
    </row>
    <row r="860" ht="11.25" customHeight="1">
      <c r="E860" s="1428"/>
    </row>
    <row r="861" ht="11.25" customHeight="1">
      <c r="E861" s="1428"/>
    </row>
    <row r="862" ht="11.25" customHeight="1">
      <c r="E862" s="1428"/>
    </row>
    <row r="863" ht="11.25" customHeight="1">
      <c r="E863" s="1428"/>
    </row>
    <row r="864" ht="11.25" customHeight="1">
      <c r="E864" s="1428"/>
    </row>
    <row r="865" ht="11.25" customHeight="1">
      <c r="E865" s="1428"/>
    </row>
    <row r="866" ht="11.25" customHeight="1">
      <c r="E866" s="1428"/>
    </row>
    <row r="867" ht="11.25" customHeight="1">
      <c r="E867" s="1428"/>
    </row>
    <row r="868" ht="11.25" customHeight="1">
      <c r="E868" s="1428"/>
    </row>
    <row r="871" ht="11.25" customHeight="1">
      <c r="E871" s="1428"/>
    </row>
    <row r="872" ht="11.25" customHeight="1">
      <c r="E872" s="1428"/>
    </row>
    <row r="873" ht="11.25" customHeight="1">
      <c r="E873" s="1425"/>
    </row>
    <row r="874" ht="11.25" customHeight="1">
      <c r="E874" s="1422"/>
    </row>
    <row r="875" ht="11.25" customHeight="1">
      <c r="E875" s="1413"/>
    </row>
    <row r="876" ht="11.25" customHeight="1">
      <c r="E876" s="1413"/>
    </row>
    <row r="877" ht="11.25" customHeight="1">
      <c r="E877" s="1425"/>
    </row>
    <row r="878" ht="11.25" customHeight="1">
      <c r="E878" s="1428"/>
    </row>
    <row r="881" ht="11.25" customHeight="1">
      <c r="E881" s="1417"/>
    </row>
    <row r="882" ht="11.25" customHeight="1">
      <c r="E882" s="1428"/>
    </row>
    <row r="883" ht="11.25" customHeight="1">
      <c r="E883" s="1428"/>
    </row>
    <row r="884" ht="11.25" customHeight="1">
      <c r="E884" s="1428"/>
    </row>
    <row r="885" ht="11.25" customHeight="1">
      <c r="E885" s="1428"/>
    </row>
    <row r="886" ht="11.25" customHeight="1">
      <c r="E886" s="1428"/>
    </row>
    <row r="887" ht="11.25" customHeight="1">
      <c r="E887" s="1428"/>
    </row>
    <row r="888" ht="11.25" customHeight="1">
      <c r="E888" s="1428"/>
    </row>
    <row r="889" ht="11.25" customHeight="1">
      <c r="E889" s="1428"/>
    </row>
    <row r="890" ht="11.25" customHeight="1">
      <c r="E890" s="1428"/>
    </row>
    <row r="891" ht="11.25" customHeight="1">
      <c r="E891" s="1428"/>
    </row>
    <row r="892" ht="11.25" customHeight="1">
      <c r="E892" s="1428"/>
    </row>
    <row r="893" ht="11.25" customHeight="1">
      <c r="E893" s="1428"/>
    </row>
    <row r="894" ht="11.25" customHeight="1">
      <c r="E894" s="1428"/>
    </row>
    <row r="895" ht="11.25" customHeight="1">
      <c r="E895" s="1428"/>
    </row>
    <row r="896" ht="11.25" customHeight="1">
      <c r="E896" s="1428"/>
    </row>
    <row r="897" ht="11.25" customHeight="1">
      <c r="E897" s="1428"/>
    </row>
    <row r="898" ht="11.25" customHeight="1">
      <c r="E898" s="1428"/>
    </row>
    <row r="899" ht="11.25" customHeight="1">
      <c r="E899" s="1428"/>
    </row>
    <row r="900" ht="11.25" customHeight="1">
      <c r="E900" s="1428"/>
    </row>
    <row r="901" ht="11.25" customHeight="1">
      <c r="E901" s="1428"/>
    </row>
    <row r="902" ht="11.25" customHeight="1">
      <c r="E902" s="1428"/>
    </row>
    <row r="903" ht="11.25" customHeight="1">
      <c r="E903" s="1428"/>
    </row>
    <row r="904" ht="11.25" customHeight="1">
      <c r="E904" s="1428"/>
    </row>
    <row r="905" ht="11.25" customHeight="1">
      <c r="E905" s="1428"/>
    </row>
    <row r="906" ht="11.25" customHeight="1">
      <c r="E906" s="1428"/>
    </row>
    <row r="907" ht="11.25" customHeight="1">
      <c r="E907" s="1428"/>
    </row>
    <row r="908" ht="11.25" customHeight="1">
      <c r="E908" s="1428"/>
    </row>
    <row r="911" ht="11.25" customHeight="1">
      <c r="E911" s="1428"/>
    </row>
    <row r="912" ht="11.25" customHeight="1">
      <c r="E912" s="1428"/>
    </row>
    <row r="913" ht="11.25" customHeight="1">
      <c r="E913" s="1425"/>
    </row>
    <row r="914" ht="11.25" customHeight="1">
      <c r="E914" s="1422"/>
    </row>
    <row r="915" ht="11.25" customHeight="1">
      <c r="E915" s="1413"/>
    </row>
    <row r="916" ht="11.25" customHeight="1">
      <c r="E916" s="1413"/>
    </row>
    <row r="917" ht="11.25" customHeight="1">
      <c r="E917" s="1425"/>
    </row>
    <row r="918" ht="11.25" customHeight="1">
      <c r="E918" s="1428"/>
    </row>
    <row r="921" ht="11.25" customHeight="1">
      <c r="E921" s="1417"/>
    </row>
    <row r="922" ht="11.25" customHeight="1">
      <c r="E922" s="1428"/>
    </row>
    <row r="923" ht="11.25" customHeight="1">
      <c r="E923" s="1428"/>
    </row>
    <row r="924" ht="11.25" customHeight="1">
      <c r="E924" s="1428"/>
    </row>
    <row r="925" ht="11.25" customHeight="1">
      <c r="E925" s="1428"/>
    </row>
    <row r="926" ht="11.25" customHeight="1">
      <c r="E926" s="1428"/>
    </row>
    <row r="927" ht="11.25" customHeight="1">
      <c r="E927" s="1428"/>
    </row>
    <row r="928" ht="11.25" customHeight="1">
      <c r="E928" s="1428"/>
    </row>
    <row r="929" ht="11.25" customHeight="1">
      <c r="E929" s="1428"/>
    </row>
    <row r="930" ht="11.25" customHeight="1">
      <c r="E930" s="1428"/>
    </row>
    <row r="931" ht="11.25" customHeight="1">
      <c r="E931" s="1428"/>
    </row>
    <row r="932" ht="11.25" customHeight="1">
      <c r="E932" s="1428"/>
    </row>
    <row r="933" ht="11.25" customHeight="1">
      <c r="E933" s="1428"/>
    </row>
    <row r="934" ht="11.25" customHeight="1">
      <c r="E934" s="1428"/>
    </row>
    <row r="935" ht="11.25" customHeight="1">
      <c r="E935" s="1428"/>
    </row>
    <row r="936" ht="11.25" customHeight="1">
      <c r="E936" s="1428"/>
    </row>
    <row r="937" ht="11.25" customHeight="1">
      <c r="E937" s="1428"/>
    </row>
    <row r="938" ht="11.25" customHeight="1">
      <c r="E938" s="1428"/>
    </row>
  </sheetData>
  <sheetProtection password="958F" sheet="1" objects="1" scenarios="1"/>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45"/>
  <sheetViews>
    <sheetView workbookViewId="0" topLeftCell="A1">
      <selection activeCell="F2" sqref="F2"/>
    </sheetView>
  </sheetViews>
  <sheetFormatPr defaultColWidth="9.140625" defaultRowHeight="11.25" customHeight="1"/>
  <cols>
    <col min="1" max="1" width="6.8515625" style="0" customWidth="1"/>
    <col min="2" max="3" width="19.140625" style="0" customWidth="1"/>
    <col min="4" max="4" width="12.140625" style="0" customWidth="1"/>
  </cols>
  <sheetData>
    <row r="1" spans="1:4" ht="11.25" customHeight="1">
      <c r="A1" s="1413" t="s">
        <v>504</v>
      </c>
      <c r="B1" s="1413" t="s">
        <v>177</v>
      </c>
      <c r="C1" s="1413" t="s">
        <v>178</v>
      </c>
      <c r="D1" s="1414">
        <v>4116.46</v>
      </c>
    </row>
    <row r="2" spans="1:4" ht="11.25" customHeight="1">
      <c r="A2" s="1413" t="s">
        <v>504</v>
      </c>
      <c r="B2" s="1413" t="s">
        <v>505</v>
      </c>
      <c r="C2" s="1413" t="s">
        <v>506</v>
      </c>
      <c r="D2" s="1414">
        <v>5327.22</v>
      </c>
    </row>
    <row r="3" spans="1:4" ht="11.25" customHeight="1">
      <c r="A3" s="1413" t="s">
        <v>504</v>
      </c>
      <c r="B3" s="1413" t="s">
        <v>184</v>
      </c>
      <c r="C3" s="1413" t="s">
        <v>185</v>
      </c>
      <c r="D3" s="1414">
        <v>3175.79</v>
      </c>
    </row>
    <row r="4" spans="1:4" ht="11.25" customHeight="1">
      <c r="A4" s="1413" t="s">
        <v>504</v>
      </c>
      <c r="B4" s="1413" t="s">
        <v>186</v>
      </c>
      <c r="C4" s="1413" t="s">
        <v>187</v>
      </c>
      <c r="D4" s="1414">
        <v>2617.11</v>
      </c>
    </row>
    <row r="5" spans="1:4" ht="11.25" customHeight="1">
      <c r="A5" s="1413" t="s">
        <v>504</v>
      </c>
      <c r="B5" s="1413" t="s">
        <v>189</v>
      </c>
      <c r="C5" s="1413" t="s">
        <v>190</v>
      </c>
      <c r="D5" s="1414">
        <v>3215.37</v>
      </c>
    </row>
    <row r="6" spans="1:4" ht="11.25" customHeight="1">
      <c r="A6" s="1413" t="s">
        <v>504</v>
      </c>
      <c r="B6" s="1413" t="s">
        <v>191</v>
      </c>
      <c r="C6" s="1413" t="s">
        <v>192</v>
      </c>
      <c r="D6" s="1414">
        <v>1795.26</v>
      </c>
    </row>
    <row r="7" spans="1:4" ht="11.25" customHeight="1">
      <c r="A7" s="1413" t="s">
        <v>504</v>
      </c>
      <c r="B7" s="1413" t="s">
        <v>193</v>
      </c>
      <c r="C7" s="1413" t="s">
        <v>194</v>
      </c>
      <c r="D7" s="1414">
        <v>3215.37</v>
      </c>
    </row>
    <row r="8" spans="1:4" ht="11.25" customHeight="1">
      <c r="A8" s="1413" t="s">
        <v>504</v>
      </c>
      <c r="B8" s="1413" t="s">
        <v>195</v>
      </c>
      <c r="C8" s="1413" t="s">
        <v>196</v>
      </c>
      <c r="D8" s="1414">
        <v>3215.37</v>
      </c>
    </row>
    <row r="9" spans="1:4" ht="11.25" customHeight="1">
      <c r="A9" s="1413" t="s">
        <v>504</v>
      </c>
      <c r="B9" s="1413" t="s">
        <v>197</v>
      </c>
      <c r="C9" s="1413" t="s">
        <v>198</v>
      </c>
      <c r="D9" s="1414">
        <v>2617.11</v>
      </c>
    </row>
    <row r="10" spans="1:4" ht="11.25" customHeight="1">
      <c r="A10" s="1413" t="s">
        <v>504</v>
      </c>
      <c r="B10" s="1413" t="s">
        <v>202</v>
      </c>
      <c r="C10" s="1413" t="s">
        <v>203</v>
      </c>
      <c r="D10" s="1414">
        <v>3088.27</v>
      </c>
    </row>
    <row r="11" spans="1:4" ht="11.25" customHeight="1">
      <c r="A11" s="1413" t="s">
        <v>504</v>
      </c>
      <c r="B11" s="1413" t="s">
        <v>207</v>
      </c>
      <c r="C11" s="1413" t="s">
        <v>208</v>
      </c>
      <c r="D11" s="1414">
        <v>7.82</v>
      </c>
    </row>
    <row r="12" spans="1:4" ht="11.25" customHeight="1">
      <c r="A12" s="1413" t="s">
        <v>504</v>
      </c>
      <c r="B12" s="1413" t="s">
        <v>225</v>
      </c>
      <c r="C12" s="1413" t="s">
        <v>226</v>
      </c>
      <c r="D12" s="1414">
        <v>9.62</v>
      </c>
    </row>
    <row r="13" spans="1:4" ht="11.25" customHeight="1">
      <c r="A13" s="1413" t="s">
        <v>504</v>
      </c>
      <c r="B13" s="1413" t="s">
        <v>507</v>
      </c>
      <c r="C13" s="1413" t="s">
        <v>508</v>
      </c>
      <c r="D13" s="1414">
        <v>9.62</v>
      </c>
    </row>
    <row r="14" spans="1:4" ht="11.25" customHeight="1">
      <c r="A14" s="1413" t="s">
        <v>504</v>
      </c>
      <c r="B14" s="1413" t="s">
        <v>229</v>
      </c>
      <c r="C14" s="1413" t="s">
        <v>230</v>
      </c>
      <c r="D14" s="1414">
        <v>19.87</v>
      </c>
    </row>
    <row r="15" spans="1:4" ht="11.25" customHeight="1">
      <c r="A15" s="1413" t="s">
        <v>504</v>
      </c>
      <c r="B15" s="1413" t="s">
        <v>241</v>
      </c>
      <c r="C15" s="1413" t="s">
        <v>242</v>
      </c>
      <c r="D15" s="1414">
        <v>9.62</v>
      </c>
    </row>
    <row r="16" spans="1:4" ht="11.25" customHeight="1">
      <c r="A16" s="1413" t="s">
        <v>504</v>
      </c>
      <c r="B16" s="1413" t="s">
        <v>509</v>
      </c>
      <c r="C16" s="1413" t="s">
        <v>510</v>
      </c>
      <c r="D16" s="1414">
        <v>9.62</v>
      </c>
    </row>
    <row r="17" spans="1:4" ht="11.25" customHeight="1">
      <c r="A17" s="1413" t="s">
        <v>504</v>
      </c>
      <c r="B17" s="1413" t="s">
        <v>245</v>
      </c>
      <c r="C17" s="1413" t="s">
        <v>246</v>
      </c>
      <c r="D17" s="1414">
        <v>7.82</v>
      </c>
    </row>
    <row r="18" spans="1:4" ht="11.25" customHeight="1">
      <c r="A18" s="1413" t="s">
        <v>504</v>
      </c>
      <c r="B18" s="1413" t="s">
        <v>263</v>
      </c>
      <c r="C18" s="1413" t="s">
        <v>264</v>
      </c>
      <c r="D18" s="1414">
        <v>9.62</v>
      </c>
    </row>
    <row r="19" spans="1:4" ht="11.25" customHeight="1">
      <c r="A19" s="1413" t="s">
        <v>504</v>
      </c>
      <c r="B19" s="1413" t="s">
        <v>511</v>
      </c>
      <c r="C19" s="1413" t="s">
        <v>512</v>
      </c>
      <c r="D19" s="1414">
        <v>9.62</v>
      </c>
    </row>
    <row r="20" spans="1:4" ht="11.25" customHeight="1">
      <c r="A20" s="1413" t="s">
        <v>504</v>
      </c>
      <c r="B20" s="1413" t="s">
        <v>267</v>
      </c>
      <c r="C20" s="1413" t="s">
        <v>268</v>
      </c>
      <c r="D20" s="1414">
        <v>7.82</v>
      </c>
    </row>
    <row r="21" spans="1:4" ht="11.25" customHeight="1">
      <c r="A21" s="1413" t="s">
        <v>504</v>
      </c>
      <c r="B21" s="1413" t="s">
        <v>285</v>
      </c>
      <c r="C21" s="1413" t="s">
        <v>286</v>
      </c>
      <c r="D21" s="1414">
        <v>9.62</v>
      </c>
    </row>
    <row r="22" spans="1:4" ht="11.25" customHeight="1">
      <c r="A22" s="1413" t="s">
        <v>504</v>
      </c>
      <c r="B22" s="1413" t="s">
        <v>513</v>
      </c>
      <c r="C22" s="1413" t="s">
        <v>514</v>
      </c>
      <c r="D22" s="1414">
        <v>9.62</v>
      </c>
    </row>
    <row r="23" spans="1:4" ht="11.25" customHeight="1">
      <c r="A23" s="1413" t="s">
        <v>504</v>
      </c>
      <c r="B23" s="1413" t="s">
        <v>287</v>
      </c>
      <c r="C23" s="1413" t="s">
        <v>288</v>
      </c>
      <c r="D23" s="1414">
        <v>11.02</v>
      </c>
    </row>
    <row r="24" spans="1:4" ht="11.25" customHeight="1">
      <c r="A24" s="1413" t="s">
        <v>504</v>
      </c>
      <c r="B24" s="1413" t="s">
        <v>291</v>
      </c>
      <c r="C24" s="1413" t="s">
        <v>292</v>
      </c>
      <c r="D24" s="1414">
        <v>7.82</v>
      </c>
    </row>
    <row r="25" spans="1:4" ht="11.25" customHeight="1">
      <c r="A25" s="1413" t="s">
        <v>504</v>
      </c>
      <c r="B25" s="1413" t="s">
        <v>309</v>
      </c>
      <c r="C25" s="1413" t="s">
        <v>310</v>
      </c>
      <c r="D25" s="1414">
        <v>9.62</v>
      </c>
    </row>
    <row r="26" spans="1:4" ht="11.25" customHeight="1">
      <c r="A26" s="1413" t="s">
        <v>504</v>
      </c>
      <c r="B26" s="1413" t="s">
        <v>515</v>
      </c>
      <c r="C26" s="1413" t="s">
        <v>516</v>
      </c>
      <c r="D26" s="1414">
        <v>9.62</v>
      </c>
    </row>
    <row r="27" spans="1:4" ht="11.25" customHeight="1">
      <c r="A27" s="1413" t="s">
        <v>504</v>
      </c>
      <c r="B27" s="1413" t="s">
        <v>517</v>
      </c>
      <c r="C27" s="1413" t="s">
        <v>518</v>
      </c>
      <c r="D27" s="1414">
        <v>13.01</v>
      </c>
    </row>
    <row r="28" spans="1:4" ht="11.25" customHeight="1">
      <c r="A28" s="1413" t="s">
        <v>504</v>
      </c>
      <c r="B28" s="1413" t="s">
        <v>329</v>
      </c>
      <c r="C28" s="1413" t="s">
        <v>330</v>
      </c>
      <c r="D28" s="1414">
        <v>13.37</v>
      </c>
    </row>
    <row r="29" spans="1:4" ht="11.25" customHeight="1">
      <c r="A29" s="1413" t="s">
        <v>504</v>
      </c>
      <c r="B29" s="1413" t="s">
        <v>519</v>
      </c>
      <c r="C29" s="1413" t="s">
        <v>520</v>
      </c>
      <c r="D29" s="1414">
        <v>19.08</v>
      </c>
    </row>
    <row r="30" spans="1:4" ht="11.25" customHeight="1">
      <c r="A30" s="1413" t="s">
        <v>504</v>
      </c>
      <c r="B30" s="1413" t="s">
        <v>521</v>
      </c>
      <c r="C30" s="1413" t="s">
        <v>522</v>
      </c>
      <c r="D30" s="1414">
        <v>11.39</v>
      </c>
    </row>
    <row r="31" spans="1:4" ht="11.25" customHeight="1">
      <c r="A31" s="1413" t="s">
        <v>504</v>
      </c>
      <c r="B31" s="1413" t="s">
        <v>337</v>
      </c>
      <c r="C31" s="1413" t="s">
        <v>338</v>
      </c>
      <c r="D31" s="1414">
        <v>111.56</v>
      </c>
    </row>
    <row r="32" spans="1:4" ht="11.25" customHeight="1">
      <c r="A32" s="1413" t="s">
        <v>504</v>
      </c>
      <c r="B32" s="1413" t="s">
        <v>382</v>
      </c>
      <c r="C32" s="1413" t="s">
        <v>383</v>
      </c>
      <c r="D32" s="1414">
        <v>181.28</v>
      </c>
    </row>
    <row r="33" spans="1:4" ht="11.25" customHeight="1">
      <c r="A33" s="1413" t="s">
        <v>504</v>
      </c>
      <c r="B33" s="1413" t="s">
        <v>396</v>
      </c>
      <c r="C33" s="1413" t="s">
        <v>397</v>
      </c>
      <c r="D33" s="1414">
        <v>2427.25</v>
      </c>
    </row>
    <row r="34" spans="1:4" ht="11.25" customHeight="1">
      <c r="A34" s="1413" t="s">
        <v>504</v>
      </c>
      <c r="B34" s="1413" t="s">
        <v>523</v>
      </c>
      <c r="C34" s="1413" t="s">
        <v>524</v>
      </c>
      <c r="D34" s="1414">
        <v>4.8</v>
      </c>
    </row>
    <row r="35" spans="1:4" ht="11.25" customHeight="1">
      <c r="A35" s="1413" t="s">
        <v>504</v>
      </c>
      <c r="B35" s="1413" t="s">
        <v>427</v>
      </c>
      <c r="C35" s="1413" t="s">
        <v>428</v>
      </c>
      <c r="D35" s="1414">
        <v>9.26</v>
      </c>
    </row>
    <row r="36" spans="1:4" ht="11.25" customHeight="1">
      <c r="A36" s="1413" t="s">
        <v>504</v>
      </c>
      <c r="B36" s="1413" t="s">
        <v>430</v>
      </c>
      <c r="C36" s="1413" t="s">
        <v>431</v>
      </c>
      <c r="D36" s="1414">
        <v>793.9</v>
      </c>
    </row>
    <row r="37" spans="1:4" ht="11.25" customHeight="1">
      <c r="A37" s="1413" t="s">
        <v>504</v>
      </c>
      <c r="B37" s="1413" t="s">
        <v>525</v>
      </c>
      <c r="C37" s="1413" t="s">
        <v>526</v>
      </c>
      <c r="D37" s="1414">
        <v>12.03</v>
      </c>
    </row>
    <row r="38" spans="1:4" ht="11.25" customHeight="1">
      <c r="A38" s="1413" t="s">
        <v>504</v>
      </c>
      <c r="B38" s="1413" t="s">
        <v>436</v>
      </c>
      <c r="C38" s="1413" t="s">
        <v>437</v>
      </c>
      <c r="D38" s="1414">
        <v>2.28</v>
      </c>
    </row>
    <row r="39" spans="1:4" ht="11.25" customHeight="1">
      <c r="A39" s="1413" t="s">
        <v>504</v>
      </c>
      <c r="B39" s="1413" t="s">
        <v>444</v>
      </c>
      <c r="C39" s="1413" t="s">
        <v>445</v>
      </c>
      <c r="D39" s="1414">
        <v>6.32</v>
      </c>
    </row>
    <row r="40" spans="1:4" ht="11.25" customHeight="1">
      <c r="A40" s="1413" t="s">
        <v>504</v>
      </c>
      <c r="B40" s="1413" t="s">
        <v>527</v>
      </c>
      <c r="C40" s="1413" t="s">
        <v>528</v>
      </c>
      <c r="D40" s="1414">
        <v>12.94</v>
      </c>
    </row>
    <row r="41" spans="1:4" ht="11.25" customHeight="1">
      <c r="A41" s="1413" t="s">
        <v>504</v>
      </c>
      <c r="B41" s="1413" t="s">
        <v>529</v>
      </c>
      <c r="C41" s="1413" t="s">
        <v>530</v>
      </c>
      <c r="D41" s="1414">
        <v>12.72</v>
      </c>
    </row>
    <row r="42" spans="1:4" ht="11.25" customHeight="1">
      <c r="A42" s="1413" t="s">
        <v>504</v>
      </c>
      <c r="B42" s="1413" t="s">
        <v>531</v>
      </c>
      <c r="C42" s="1413" t="s">
        <v>532</v>
      </c>
      <c r="D42" s="1414">
        <v>12.94</v>
      </c>
    </row>
    <row r="43" spans="1:4" ht="11.25" customHeight="1">
      <c r="A43" s="1413" t="s">
        <v>504</v>
      </c>
      <c r="B43" s="1413" t="s">
        <v>494</v>
      </c>
      <c r="C43" s="1413" t="s">
        <v>495</v>
      </c>
      <c r="D43" s="1414">
        <v>12.72</v>
      </c>
    </row>
    <row r="44" spans="1:4" ht="11.25" customHeight="1">
      <c r="A44" s="1413" t="s">
        <v>504</v>
      </c>
      <c r="B44" s="1413" t="s">
        <v>533</v>
      </c>
      <c r="C44" s="1413" t="s">
        <v>534</v>
      </c>
      <c r="D44" s="1414">
        <v>11.67</v>
      </c>
    </row>
    <row r="45" spans="1:4" ht="11.25" customHeight="1">
      <c r="A45" s="1413" t="s">
        <v>504</v>
      </c>
      <c r="B45" s="1413" t="s">
        <v>535</v>
      </c>
      <c r="C45" s="1413" t="s">
        <v>536</v>
      </c>
      <c r="D45" s="1414">
        <v>8.36</v>
      </c>
    </row>
  </sheetData>
  <sheetProtection password="958F" sheet="1" objects="1" scenarios="1"/>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D53"/>
  <sheetViews>
    <sheetView workbookViewId="0" topLeftCell="A1">
      <selection activeCell="F2" sqref="F2"/>
    </sheetView>
  </sheetViews>
  <sheetFormatPr defaultColWidth="9.140625" defaultRowHeight="11.25" customHeight="1"/>
  <cols>
    <col min="1" max="1" width="12.421875" style="0" customWidth="1"/>
    <col min="2" max="2" width="13.7109375" style="0" bestFit="1" customWidth="1"/>
    <col min="3" max="3" width="13.7109375" style="0" customWidth="1"/>
    <col min="4" max="4" width="12.421875" style="1433" customWidth="1"/>
    <col min="5" max="16384" width="12.421875" style="0" customWidth="1"/>
  </cols>
  <sheetData>
    <row r="1" spans="1:4" ht="11.25" customHeight="1">
      <c r="A1" s="1413" t="s">
        <v>537</v>
      </c>
      <c r="B1" s="1413" t="s">
        <v>227</v>
      </c>
      <c r="C1" s="1413" t="s">
        <v>228</v>
      </c>
      <c r="D1" s="1414">
        <v>114</v>
      </c>
    </row>
    <row r="2" spans="1:4" ht="11.25" customHeight="1">
      <c r="A2" s="1413" t="s">
        <v>537</v>
      </c>
      <c r="B2" s="1413" t="s">
        <v>229</v>
      </c>
      <c r="C2" s="1413" t="s">
        <v>230</v>
      </c>
      <c r="D2" s="1414">
        <v>93</v>
      </c>
    </row>
    <row r="3" spans="1:4" ht="11.25" customHeight="1">
      <c r="A3" s="1413" t="s">
        <v>537</v>
      </c>
      <c r="B3" s="1413" t="s">
        <v>231</v>
      </c>
      <c r="C3" s="1413" t="s">
        <v>232</v>
      </c>
      <c r="D3" s="1414">
        <v>80</v>
      </c>
    </row>
    <row r="4" spans="1:4" ht="11.25" customHeight="1">
      <c r="A4" s="1413" t="s">
        <v>537</v>
      </c>
      <c r="B4" s="1413" t="s">
        <v>233</v>
      </c>
      <c r="C4" s="1413" t="s">
        <v>234</v>
      </c>
      <c r="D4" s="1414">
        <v>124</v>
      </c>
    </row>
    <row r="5" spans="1:4" ht="11.25" customHeight="1">
      <c r="A5" s="1413" t="s">
        <v>537</v>
      </c>
      <c r="B5" s="1413" t="s">
        <v>235</v>
      </c>
      <c r="C5" s="1413" t="s">
        <v>236</v>
      </c>
      <c r="D5" s="1414">
        <v>22</v>
      </c>
    </row>
    <row r="6" spans="1:4" ht="11.25" customHeight="1">
      <c r="A6" s="1413" t="s">
        <v>537</v>
      </c>
      <c r="B6" s="1413" t="s">
        <v>237</v>
      </c>
      <c r="C6" s="1413" t="s">
        <v>238</v>
      </c>
      <c r="D6" s="1414">
        <v>400</v>
      </c>
    </row>
    <row r="7" spans="1:4" ht="11.25" customHeight="1">
      <c r="A7" s="1413" t="s">
        <v>537</v>
      </c>
      <c r="B7" s="1413" t="s">
        <v>239</v>
      </c>
      <c r="C7" s="1413" t="s">
        <v>240</v>
      </c>
      <c r="D7" s="1414">
        <v>210</v>
      </c>
    </row>
    <row r="8" spans="1:4" ht="11.25" customHeight="1">
      <c r="A8" s="1413" t="s">
        <v>537</v>
      </c>
      <c r="B8" s="1413" t="s">
        <v>241</v>
      </c>
      <c r="C8" s="1413" t="s">
        <v>242</v>
      </c>
      <c r="D8" s="1414">
        <v>61</v>
      </c>
    </row>
    <row r="9" spans="1:4" ht="11.25" customHeight="1">
      <c r="A9" s="1413" t="s">
        <v>538</v>
      </c>
      <c r="B9" s="1413" t="s">
        <v>243</v>
      </c>
      <c r="C9" s="1413" t="s">
        <v>244</v>
      </c>
      <c r="D9" s="1414">
        <v>95</v>
      </c>
    </row>
    <row r="10" spans="1:4" ht="11.25" customHeight="1">
      <c r="A10" s="1413" t="s">
        <v>538</v>
      </c>
      <c r="B10" s="1413" t="s">
        <v>245</v>
      </c>
      <c r="C10" s="1413" t="s">
        <v>246</v>
      </c>
      <c r="D10" s="1414">
        <v>32</v>
      </c>
    </row>
    <row r="11" spans="1:4" ht="11.25" customHeight="1">
      <c r="A11" s="1413" t="s">
        <v>538</v>
      </c>
      <c r="B11" s="1413" t="s">
        <v>247</v>
      </c>
      <c r="C11" s="1413" t="s">
        <v>248</v>
      </c>
      <c r="D11" s="1414">
        <v>219</v>
      </c>
    </row>
    <row r="12" spans="1:4" ht="11.25" customHeight="1">
      <c r="A12" s="1413" t="s">
        <v>538</v>
      </c>
      <c r="B12" s="1413" t="s">
        <v>249</v>
      </c>
      <c r="C12" s="1413" t="s">
        <v>250</v>
      </c>
      <c r="D12" s="1414">
        <v>821</v>
      </c>
    </row>
    <row r="13" spans="1:4" ht="11.25" customHeight="1">
      <c r="A13" s="1413" t="s">
        <v>538</v>
      </c>
      <c r="B13" s="1413" t="s">
        <v>251</v>
      </c>
      <c r="C13" s="1413" t="s">
        <v>252</v>
      </c>
      <c r="D13" s="1414">
        <v>66</v>
      </c>
    </row>
    <row r="14" spans="1:4" ht="11.25" customHeight="1">
      <c r="A14" s="1413" t="s">
        <v>538</v>
      </c>
      <c r="B14" s="1413" t="s">
        <v>253</v>
      </c>
      <c r="C14" s="1413" t="s">
        <v>254</v>
      </c>
      <c r="D14" s="1414">
        <v>102</v>
      </c>
    </row>
    <row r="15" spans="1:4" ht="11.25" customHeight="1">
      <c r="A15" s="1413" t="s">
        <v>538</v>
      </c>
      <c r="B15" s="1413" t="s">
        <v>255</v>
      </c>
      <c r="C15" s="1413" t="s">
        <v>256</v>
      </c>
      <c r="D15" s="1414">
        <v>22</v>
      </c>
    </row>
    <row r="16" spans="1:4" ht="11.25" customHeight="1">
      <c r="A16" s="1413" t="s">
        <v>538</v>
      </c>
      <c r="B16" s="1413" t="s">
        <v>257</v>
      </c>
      <c r="C16" s="1413" t="s">
        <v>258</v>
      </c>
      <c r="D16" s="1414">
        <v>168</v>
      </c>
    </row>
    <row r="17" spans="1:4" ht="11.25" customHeight="1">
      <c r="A17" s="1413" t="s">
        <v>538</v>
      </c>
      <c r="B17" s="1413" t="s">
        <v>259</v>
      </c>
      <c r="C17" s="1413" t="s">
        <v>260</v>
      </c>
      <c r="D17" s="1414">
        <v>461</v>
      </c>
    </row>
    <row r="18" spans="1:4" ht="11.25" customHeight="1">
      <c r="A18" s="1413" t="s">
        <v>538</v>
      </c>
      <c r="B18" s="1413" t="s">
        <v>261</v>
      </c>
      <c r="C18" s="1413" t="s">
        <v>262</v>
      </c>
      <c r="D18" s="1414">
        <v>159</v>
      </c>
    </row>
    <row r="19" spans="1:4" ht="11.25" customHeight="1">
      <c r="A19" s="1413" t="s">
        <v>538</v>
      </c>
      <c r="B19" s="1413" t="s">
        <v>263</v>
      </c>
      <c r="C19" s="1413" t="s">
        <v>264</v>
      </c>
      <c r="D19" s="1414">
        <v>51</v>
      </c>
    </row>
    <row r="20" spans="1:4" ht="11.25" customHeight="1">
      <c r="A20" s="1413" t="s">
        <v>539</v>
      </c>
      <c r="B20" s="1413" t="s">
        <v>287</v>
      </c>
      <c r="C20" s="1413" t="s">
        <v>288</v>
      </c>
      <c r="D20" s="1414">
        <v>150.6</v>
      </c>
    </row>
    <row r="21" spans="1:4" ht="11.25" customHeight="1">
      <c r="A21" s="1413" t="s">
        <v>539</v>
      </c>
      <c r="B21" s="1413" t="s">
        <v>540</v>
      </c>
      <c r="C21" s="1413" t="s">
        <v>541</v>
      </c>
      <c r="D21" s="1414">
        <v>89</v>
      </c>
    </row>
    <row r="22" spans="1:4" ht="11.25" customHeight="1">
      <c r="A22" s="1413" t="s">
        <v>539</v>
      </c>
      <c r="B22" s="1413" t="s">
        <v>542</v>
      </c>
      <c r="C22" s="1413" t="s">
        <v>543</v>
      </c>
      <c r="D22" s="1414">
        <v>34</v>
      </c>
    </row>
    <row r="23" spans="1:4" ht="11.25" customHeight="1">
      <c r="A23" s="1413" t="s">
        <v>539</v>
      </c>
      <c r="B23" s="1413" t="s">
        <v>544</v>
      </c>
      <c r="C23" s="1413" t="s">
        <v>545</v>
      </c>
      <c r="D23" s="1414">
        <v>216</v>
      </c>
    </row>
    <row r="24" spans="1:4" ht="11.25" customHeight="1">
      <c r="A24" s="1413" t="s">
        <v>539</v>
      </c>
      <c r="B24" s="1413" t="s">
        <v>546</v>
      </c>
      <c r="C24" s="1413" t="s">
        <v>547</v>
      </c>
      <c r="D24" s="1414">
        <v>809</v>
      </c>
    </row>
    <row r="25" spans="1:4" ht="11.25" customHeight="1">
      <c r="A25" s="1413" t="s">
        <v>539</v>
      </c>
      <c r="B25" s="1413" t="s">
        <v>548</v>
      </c>
      <c r="C25" s="1413" t="s">
        <v>549</v>
      </c>
      <c r="D25" s="1414">
        <v>61</v>
      </c>
    </row>
    <row r="26" spans="1:4" ht="11.25" customHeight="1">
      <c r="A26" s="1413" t="s">
        <v>539</v>
      </c>
      <c r="B26" s="1413" t="s">
        <v>550</v>
      </c>
      <c r="C26" s="1413" t="s">
        <v>551</v>
      </c>
      <c r="D26" s="1414">
        <v>71</v>
      </c>
    </row>
    <row r="27" spans="1:4" ht="11.25" customHeight="1">
      <c r="A27" s="1413" t="s">
        <v>539</v>
      </c>
      <c r="B27" s="1413" t="s">
        <v>552</v>
      </c>
      <c r="C27" s="1413" t="s">
        <v>553</v>
      </c>
      <c r="D27" s="1414">
        <v>22</v>
      </c>
    </row>
    <row r="28" spans="1:4" ht="11.25" customHeight="1">
      <c r="A28" s="1413" t="s">
        <v>539</v>
      </c>
      <c r="B28" s="1413" t="s">
        <v>554</v>
      </c>
      <c r="C28" s="1413" t="s">
        <v>555</v>
      </c>
      <c r="D28" s="1414">
        <v>209</v>
      </c>
    </row>
    <row r="29" spans="1:4" ht="11.25" customHeight="1">
      <c r="A29" s="1413" t="s">
        <v>539</v>
      </c>
      <c r="B29" s="1413" t="s">
        <v>556</v>
      </c>
      <c r="C29" s="1413" t="s">
        <v>557</v>
      </c>
      <c r="D29" s="1414">
        <v>434</v>
      </c>
    </row>
    <row r="30" spans="1:4" ht="11.25" customHeight="1">
      <c r="A30" s="1413" t="s">
        <v>539</v>
      </c>
      <c r="B30" s="1413" t="s">
        <v>558</v>
      </c>
      <c r="C30" s="1413" t="s">
        <v>559</v>
      </c>
      <c r="D30" s="1414">
        <v>106</v>
      </c>
    </row>
    <row r="31" spans="1:4" ht="11.25" customHeight="1">
      <c r="A31" s="1413" t="s">
        <v>539</v>
      </c>
      <c r="B31" s="1413" t="s">
        <v>560</v>
      </c>
      <c r="C31" s="1413" t="s">
        <v>561</v>
      </c>
      <c r="D31" s="1414">
        <v>49</v>
      </c>
    </row>
    <row r="32" spans="1:4" ht="11.25" customHeight="1">
      <c r="A32" s="1413" t="s">
        <v>539</v>
      </c>
      <c r="B32" s="1413" t="s">
        <v>523</v>
      </c>
      <c r="C32" s="1413" t="s">
        <v>524</v>
      </c>
      <c r="D32" s="1414">
        <v>73</v>
      </c>
    </row>
    <row r="33" spans="1:4" ht="11.25" customHeight="1">
      <c r="A33" s="1413" t="s">
        <v>539</v>
      </c>
      <c r="B33" s="1413" t="s">
        <v>525</v>
      </c>
      <c r="C33" s="1413" t="s">
        <v>526</v>
      </c>
      <c r="D33" s="1414">
        <v>131.3</v>
      </c>
    </row>
    <row r="34" spans="1:4" ht="11.25" customHeight="1">
      <c r="A34" s="1413" t="s">
        <v>562</v>
      </c>
      <c r="B34" s="1413" t="s">
        <v>325</v>
      </c>
      <c r="C34" s="1413" t="s">
        <v>326</v>
      </c>
      <c r="D34" s="1414">
        <v>121</v>
      </c>
    </row>
    <row r="35" spans="1:4" ht="11.25" customHeight="1">
      <c r="A35" s="1413" t="s">
        <v>562</v>
      </c>
      <c r="B35" s="1413" t="s">
        <v>327</v>
      </c>
      <c r="C35" s="1413" t="s">
        <v>328</v>
      </c>
      <c r="D35" s="1414">
        <v>149</v>
      </c>
    </row>
    <row r="36" spans="1:4" ht="11.25" customHeight="1">
      <c r="A36" s="1413" t="s">
        <v>563</v>
      </c>
      <c r="B36" s="1413" t="s">
        <v>436</v>
      </c>
      <c r="C36" s="1413" t="s">
        <v>437</v>
      </c>
      <c r="D36" s="1414">
        <v>8</v>
      </c>
    </row>
    <row r="37" spans="1:4" ht="11.25" customHeight="1">
      <c r="A37" s="1413" t="s">
        <v>564</v>
      </c>
      <c r="B37" s="1413" t="s">
        <v>329</v>
      </c>
      <c r="C37" s="1413" t="s">
        <v>330</v>
      </c>
      <c r="D37" s="1414">
        <v>191</v>
      </c>
    </row>
    <row r="38" spans="1:4" ht="11.25" customHeight="1">
      <c r="A38" s="1413" t="s">
        <v>565</v>
      </c>
      <c r="B38" s="1413" t="s">
        <v>331</v>
      </c>
      <c r="C38" s="1413" t="s">
        <v>332</v>
      </c>
      <c r="D38" s="1414">
        <v>246</v>
      </c>
    </row>
    <row r="39" spans="1:4" ht="11.25" customHeight="1">
      <c r="A39" s="1413" t="s">
        <v>565</v>
      </c>
      <c r="B39" s="1413" t="s">
        <v>333</v>
      </c>
      <c r="C39" s="1413" t="s">
        <v>334</v>
      </c>
      <c r="D39" s="1414">
        <v>176</v>
      </c>
    </row>
    <row r="40" spans="1:4" ht="11.25" customHeight="1">
      <c r="A40" s="1413" t="s">
        <v>565</v>
      </c>
      <c r="B40" s="1413" t="s">
        <v>335</v>
      </c>
      <c r="C40" s="1413" t="s">
        <v>336</v>
      </c>
      <c r="D40" s="1414">
        <v>202</v>
      </c>
    </row>
    <row r="41" spans="1:4" ht="11.25" customHeight="1">
      <c r="A41" s="1413" t="s">
        <v>566</v>
      </c>
      <c r="B41" s="1413" t="s">
        <v>312</v>
      </c>
      <c r="C41" s="1413" t="s">
        <v>313</v>
      </c>
      <c r="D41" s="1414">
        <v>122</v>
      </c>
    </row>
    <row r="42" spans="1:4" ht="11.25" customHeight="1">
      <c r="A42" s="1413" t="s">
        <v>566</v>
      </c>
      <c r="B42" s="1413" t="s">
        <v>314</v>
      </c>
      <c r="C42" s="1413" t="s">
        <v>315</v>
      </c>
      <c r="D42" s="1414">
        <v>154</v>
      </c>
    </row>
    <row r="43" spans="1:4" ht="11.25" customHeight="1">
      <c r="A43" s="1413" t="s">
        <v>566</v>
      </c>
      <c r="B43" s="1413" t="s">
        <v>317</v>
      </c>
      <c r="C43" s="1413" t="s">
        <v>318</v>
      </c>
      <c r="D43" s="1414">
        <v>138</v>
      </c>
    </row>
    <row r="44" spans="1:4" ht="11.25" customHeight="1">
      <c r="A44" s="1413" t="s">
        <v>566</v>
      </c>
      <c r="B44" s="1413" t="s">
        <v>319</v>
      </c>
      <c r="C44" s="1413" t="s">
        <v>320</v>
      </c>
      <c r="D44" s="1414">
        <v>174</v>
      </c>
    </row>
    <row r="45" spans="1:4" ht="11.25" customHeight="1">
      <c r="A45" s="1413" t="s">
        <v>566</v>
      </c>
      <c r="B45" s="1413" t="s">
        <v>321</v>
      </c>
      <c r="C45" s="1413" t="s">
        <v>322</v>
      </c>
      <c r="D45" s="1414">
        <v>69</v>
      </c>
    </row>
    <row r="46" spans="1:4" ht="11.25" customHeight="1">
      <c r="A46" s="1413" t="s">
        <v>566</v>
      </c>
      <c r="B46" s="1413" t="s">
        <v>323</v>
      </c>
      <c r="C46" s="1413" t="s">
        <v>324</v>
      </c>
      <c r="D46" s="1414">
        <v>96</v>
      </c>
    </row>
    <row r="47" spans="1:4" ht="11.25" customHeight="1">
      <c r="A47" s="1413" t="s">
        <v>567</v>
      </c>
      <c r="B47" s="1413" t="s">
        <v>339</v>
      </c>
      <c r="C47" s="1413" t="s">
        <v>340</v>
      </c>
      <c r="D47" s="1414">
        <v>349</v>
      </c>
    </row>
    <row r="48" spans="1:4" ht="11.25" customHeight="1">
      <c r="A48" s="1413" t="s">
        <v>567</v>
      </c>
      <c r="B48" s="1413" t="s">
        <v>341</v>
      </c>
      <c r="C48" s="1413" t="s">
        <v>342</v>
      </c>
      <c r="D48" s="1414">
        <v>1376</v>
      </c>
    </row>
    <row r="49" spans="1:4" ht="11.25" customHeight="1">
      <c r="A49" s="1413" t="s">
        <v>567</v>
      </c>
      <c r="B49" s="1413" t="s">
        <v>343</v>
      </c>
      <c r="C49" s="1413" t="s">
        <v>344</v>
      </c>
      <c r="D49" s="1414">
        <v>2846</v>
      </c>
    </row>
    <row r="50" spans="1:4" ht="11.25" customHeight="1">
      <c r="A50" s="1413" t="s">
        <v>567</v>
      </c>
      <c r="B50" s="1413" t="s">
        <v>345</v>
      </c>
      <c r="C50" s="1413" t="s">
        <v>346</v>
      </c>
      <c r="D50" s="1414">
        <v>349</v>
      </c>
    </row>
    <row r="51" spans="1:4" ht="11.25" customHeight="1">
      <c r="A51" s="1413" t="s">
        <v>567</v>
      </c>
      <c r="B51" s="1413" t="s">
        <v>347</v>
      </c>
      <c r="C51" s="1413" t="s">
        <v>348</v>
      </c>
      <c r="D51" s="1414">
        <v>984</v>
      </c>
    </row>
    <row r="52" spans="1:4" ht="11.25" customHeight="1">
      <c r="A52" s="1413" t="s">
        <v>568</v>
      </c>
      <c r="B52" s="1413" t="s">
        <v>427</v>
      </c>
      <c r="C52" s="1413" t="s">
        <v>428</v>
      </c>
      <c r="D52" s="1414">
        <v>79</v>
      </c>
    </row>
    <row r="53" spans="1:4" ht="11.25" customHeight="1">
      <c r="A53" s="1413"/>
      <c r="B53" s="1428"/>
      <c r="C53" s="1413" t="s">
        <v>569</v>
      </c>
      <c r="D53" s="1428"/>
    </row>
  </sheetData>
  <sheetProtection password="958F" sheet="1" objects="1" scenario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Blad3"/>
  <dimension ref="A1:M106"/>
  <sheetViews>
    <sheetView showGridLines="0" zoomScale="86" zoomScaleNormal="86" workbookViewId="0" topLeftCell="A1">
      <selection activeCell="A2" sqref="A2"/>
    </sheetView>
  </sheetViews>
  <sheetFormatPr defaultColWidth="9.140625" defaultRowHeight="12.75"/>
  <cols>
    <col min="1" max="1" width="2.7109375" style="550" customWidth="1"/>
    <col min="2" max="2" width="5.57421875" style="560" customWidth="1"/>
    <col min="3" max="3" width="50.7109375" style="551" customWidth="1"/>
    <col min="4" max="4" width="5.7109375" style="551" customWidth="1"/>
    <col min="5" max="5" width="14.28125" style="551" customWidth="1"/>
    <col min="6" max="6" width="2.8515625" style="551" customWidth="1"/>
    <col min="7" max="7" width="3.28125" style="551" customWidth="1"/>
    <col min="8" max="8" width="50.7109375" style="551" customWidth="1"/>
    <col min="9" max="9" width="6.28125" style="551" customWidth="1"/>
    <col min="10" max="16384" width="9.140625" style="551" customWidth="1"/>
  </cols>
  <sheetData>
    <row r="1" spans="1:10" s="441" customFormat="1" ht="15.75" customHeight="1">
      <c r="A1" s="435"/>
      <c r="B1" s="549"/>
      <c r="C1" s="498"/>
      <c r="D1" s="438"/>
      <c r="E1" s="438"/>
      <c r="F1" s="435"/>
      <c r="G1" s="498"/>
      <c r="H1" s="498"/>
      <c r="J1" s="442"/>
    </row>
    <row r="2" spans="1:10" s="446" customFormat="1" ht="15.75" customHeight="1">
      <c r="A2" s="982" t="str">
        <f>CONCATENATE("Nacalculatieformulier ",Voorblad!E3," ",Voorblad!A5)</f>
        <v>Nacalculatieformulier 2005 GGZ-instellingen</v>
      </c>
      <c r="B2" s="444"/>
      <c r="C2" s="445"/>
      <c r="D2" s="445"/>
      <c r="E2" s="445"/>
      <c r="F2" s="445"/>
      <c r="G2" s="443"/>
      <c r="H2" s="443"/>
      <c r="I2" s="1316">
        <v>2</v>
      </c>
      <c r="J2" s="507"/>
    </row>
    <row r="3" spans="2:6" ht="12.75">
      <c r="B3" s="551"/>
      <c r="D3" s="552"/>
      <c r="E3" s="552"/>
      <c r="F3" s="550"/>
    </row>
    <row r="4" spans="1:9" s="456" customFormat="1" ht="12">
      <c r="A4" s="455" t="s">
        <v>1040</v>
      </c>
      <c r="B4" s="553"/>
      <c r="D4" s="753" t="s">
        <v>1364</v>
      </c>
      <c r="I4" s="753" t="s">
        <v>1364</v>
      </c>
    </row>
    <row r="5" spans="1:9" s="456" customFormat="1" ht="12">
      <c r="A5" s="455"/>
      <c r="B5" s="455"/>
      <c r="C5" s="455"/>
      <c r="D5" s="754"/>
      <c r="E5" s="455"/>
      <c r="F5" s="455"/>
      <c r="G5" s="455"/>
      <c r="H5" s="455"/>
      <c r="I5" s="754"/>
    </row>
    <row r="6" spans="1:9" s="460" customFormat="1" ht="12">
      <c r="A6" s="14" t="str">
        <f>Productie!A4</f>
        <v>RUBRIEK 1: NACALCULATIE PRODUCTIE</v>
      </c>
      <c r="B6" s="967"/>
      <c r="C6" s="94"/>
      <c r="D6" s="644">
        <f>Productie!M2</f>
        <v>7</v>
      </c>
      <c r="F6" s="14" t="str">
        <f>Mutaties!A4</f>
        <v>RUBRIEK 4: OVERZICHT MUTATIES</v>
      </c>
      <c r="H6" s="967"/>
      <c r="I6" s="644">
        <f>Mutaties!I2</f>
        <v>22</v>
      </c>
    </row>
    <row r="7" spans="1:9" s="460" customFormat="1" ht="12">
      <c r="A7" s="14"/>
      <c r="B7" s="42" t="str">
        <f>Productie!A5</f>
        <v>1.1</v>
      </c>
      <c r="C7" s="42" t="str">
        <f>Productie!B5</f>
        <v>Nacalculatie productie instelling</v>
      </c>
      <c r="D7" s="644">
        <f>Productie!M2</f>
        <v>7</v>
      </c>
      <c r="F7" s="449"/>
      <c r="G7" s="646" t="str">
        <f>Mutaties!A6</f>
        <v>4.1</v>
      </c>
      <c r="H7" s="646" t="str">
        <f>Mutaties!B6</f>
        <v>Mutatie aanvaardbare kosten</v>
      </c>
      <c r="I7" s="644">
        <f>Mutaties!$I$2</f>
        <v>22</v>
      </c>
    </row>
    <row r="8" spans="1:9" s="460" customFormat="1" ht="12">
      <c r="A8" s="42"/>
      <c r="B8" s="973" t="str">
        <f>Productie!H154</f>
        <v>1.2</v>
      </c>
      <c r="C8" s="973" t="str">
        <f>Productie!I154</f>
        <v>Vervoerskosten bij begeleiding in de GGZ</v>
      </c>
      <c r="D8" s="644">
        <f>Productie!M127</f>
        <v>10</v>
      </c>
      <c r="F8" s="449"/>
      <c r="G8" s="646" t="str">
        <f>Mutaties!A33</f>
        <v>4.2</v>
      </c>
      <c r="H8" s="646" t="str">
        <f>Mutaties!B33</f>
        <v>Instandhoudingsinvestering</v>
      </c>
      <c r="I8" s="644">
        <f>Mutaties!$I$2</f>
        <v>22</v>
      </c>
    </row>
    <row r="9" spans="7:9" s="456" customFormat="1" ht="12">
      <c r="G9" s="646" t="str">
        <f>Mutaties!A41</f>
        <v>4.3</v>
      </c>
      <c r="H9" s="646" t="str">
        <f>Mutaties!B41</f>
        <v>Nog in de tarieven te verrekenen</v>
      </c>
      <c r="I9" s="644">
        <f>Mutaties!$I$2</f>
        <v>22</v>
      </c>
    </row>
    <row r="10" spans="1:4" s="456" customFormat="1" ht="12" customHeight="1">
      <c r="A10" s="14" t="str">
        <f>Opbrengsten!A4</f>
        <v>RUBRIEK 2: WERKELIJKE OPBRENGSTEN</v>
      </c>
      <c r="B10" s="967"/>
      <c r="C10" s="94"/>
      <c r="D10" s="644">
        <f>Opbrengsten!M2</f>
        <v>11</v>
      </c>
    </row>
    <row r="11" spans="1:9" s="456" customFormat="1" ht="12" customHeight="1">
      <c r="A11" s="42"/>
      <c r="B11" s="646" t="str">
        <f>Opbrengsten!A6</f>
        <v>2.1</v>
      </c>
      <c r="C11" s="95" t="str">
        <f>Opbrengsten!B6</f>
        <v>Verpleeggelden</v>
      </c>
      <c r="D11" s="644">
        <f>Opbrengsten!$M$2</f>
        <v>11</v>
      </c>
      <c r="G11" s="14" t="str">
        <f>'Rentecalc.'!A6</f>
        <v>CALCULATIEMODEL RENTEKOSTEN</v>
      </c>
      <c r="H11" s="47"/>
      <c r="I11" s="644">
        <f>'Rentecalc.'!H2</f>
        <v>23</v>
      </c>
    </row>
    <row r="12" spans="1:9" s="456" customFormat="1" ht="12" customHeight="1">
      <c r="A12" s="42"/>
      <c r="B12" s="646" t="str">
        <f>Opbrengsten!A20</f>
        <v>2.2</v>
      </c>
      <c r="C12" s="95" t="str">
        <f>Opbrengsten!B20</f>
        <v>Verzorgingsdagen beschermd wonen</v>
      </c>
      <c r="D12" s="644">
        <f>Opbrengsten!$M$2</f>
        <v>11</v>
      </c>
      <c r="G12" s="47"/>
      <c r="H12" s="47"/>
      <c r="I12" s="47"/>
    </row>
    <row r="13" spans="1:9" s="456" customFormat="1" ht="12" customHeight="1">
      <c r="A13" s="42"/>
      <c r="B13" s="646" t="str">
        <f>Opbrengsten!A24</f>
        <v>2.3</v>
      </c>
      <c r="C13" s="95" t="str">
        <f>Opbrengsten!B24</f>
        <v>Jaartarief</v>
      </c>
      <c r="D13" s="644">
        <f>Opbrengsten!$M$2</f>
        <v>11</v>
      </c>
      <c r="G13" s="14" t="s">
        <v>1386</v>
      </c>
      <c r="H13" s="967"/>
      <c r="I13" s="644"/>
    </row>
    <row r="14" spans="2:9" s="456" customFormat="1" ht="12">
      <c r="B14" s="646" t="str">
        <f>Opbrengsten!A29</f>
        <v>2.4</v>
      </c>
      <c r="C14" s="95" t="str">
        <f>Opbrengsten!B29</f>
        <v>Deeltijdbehandeling</v>
      </c>
      <c r="D14" s="644">
        <f>Opbrengsten!$M$2</f>
        <v>11</v>
      </c>
      <c r="G14" s="646" t="str">
        <f>'A-E'!A6</f>
        <v>A. </v>
      </c>
      <c r="H14" s="646" t="str">
        <f>'A-E'!B6</f>
        <v>Boekwaarde investeringen waarvoor vergunning is verleend</v>
      </c>
      <c r="I14" s="968">
        <f>'A-E'!G2</f>
        <v>24</v>
      </c>
    </row>
    <row r="15" spans="1:9" s="456" customFormat="1" ht="12">
      <c r="A15" s="42"/>
      <c r="B15" s="646" t="str">
        <f>Opbrengsten!H6</f>
        <v>2.5</v>
      </c>
      <c r="C15" s="95" t="str">
        <f>Opbrengsten!I6</f>
        <v>Ambulant</v>
      </c>
      <c r="D15" s="644">
        <f>Opbrengsten!$M$2</f>
        <v>11</v>
      </c>
      <c r="G15" s="646" t="str">
        <f>'A-E'!A50</f>
        <v>B.</v>
      </c>
      <c r="H15" s="1570" t="str">
        <f>'A-E'!B50</f>
        <v>Onderhanden bouwprojecten met WZV-vergunning (geen investeringen meldingsregeling)</v>
      </c>
      <c r="I15" s="42"/>
    </row>
    <row r="16" spans="1:13" s="522" customFormat="1" ht="12">
      <c r="A16" s="42"/>
      <c r="B16" s="95" t="str">
        <f>Opbrengsten!A48</f>
        <v>2.6</v>
      </c>
      <c r="C16" s="95" t="str">
        <f>Opbrengsten!B48</f>
        <v>Eerste opnamen</v>
      </c>
      <c r="D16" s="644">
        <f>Opbrengsten!M$46</f>
        <v>12</v>
      </c>
      <c r="F16" s="456"/>
      <c r="G16" s="42"/>
      <c r="H16" s="1586"/>
      <c r="I16" s="968">
        <f>'A-E'!G48</f>
        <v>25</v>
      </c>
      <c r="J16" s="557"/>
      <c r="K16" s="557"/>
      <c r="L16" s="557"/>
      <c r="M16" s="557"/>
    </row>
    <row r="17" spans="1:9" s="460" customFormat="1" ht="12">
      <c r="A17" s="42"/>
      <c r="B17" s="646" t="str">
        <f>Opbrengsten!A57</f>
        <v>2.7</v>
      </c>
      <c r="C17" s="95" t="str">
        <f>Opbrengsten!B57</f>
        <v>Vervoerskosten bij begeleiding in de GGZ</v>
      </c>
      <c r="D17" s="644">
        <f>Opbrengsten!M$46</f>
        <v>12</v>
      </c>
      <c r="F17" s="555"/>
      <c r="G17" s="646" t="str">
        <f>'A-E'!A96</f>
        <v>D.</v>
      </c>
      <c r="H17" s="1571" t="str">
        <f>'A-E'!B96</f>
        <v>Werkelijke boekwaarde instandhoudingsinvesteringen (inclusief onderhanden werk)</v>
      </c>
      <c r="I17" s="42"/>
    </row>
    <row r="18" spans="1:9" s="456" customFormat="1" ht="12">
      <c r="A18" s="42"/>
      <c r="B18" s="646" t="str">
        <f>Opbrengsten!A61</f>
        <v>2.8</v>
      </c>
      <c r="C18" s="1239" t="str">
        <f>Opbrengsten!B61</f>
        <v>Sectoroverstijgende productie/opbrengsten</v>
      </c>
      <c r="D18" s="644">
        <f>Opbrengsten!M$46</f>
        <v>12</v>
      </c>
      <c r="F18" s="522"/>
      <c r="G18" s="42"/>
      <c r="H18" s="1586"/>
      <c r="I18" s="644">
        <f>'A-E'!G93</f>
        <v>26</v>
      </c>
    </row>
    <row r="19" spans="2:9" s="522" customFormat="1" ht="12">
      <c r="B19" s="522" t="str">
        <f>Opbrengsten!A64</f>
        <v>2.9</v>
      </c>
      <c r="C19" s="558" t="str">
        <f>Opbrengsten!B64</f>
        <v>Individuele prijsafspraak</v>
      </c>
      <c r="D19" s="644">
        <f>Opbrengsten!M$46</f>
        <v>12</v>
      </c>
      <c r="F19" s="449"/>
      <c r="G19" s="646" t="str">
        <f>'A-E'!A74</f>
        <v>C.</v>
      </c>
      <c r="H19" s="646" t="str">
        <f>'A-E'!B74</f>
        <v>Normatieve boekwaarde medische en overige inventarissen</v>
      </c>
      <c r="I19" s="644">
        <f>'A-E'!G48</f>
        <v>25</v>
      </c>
    </row>
    <row r="20" spans="1:9" s="522" customFormat="1" ht="12">
      <c r="A20" s="625"/>
      <c r="B20" s="625" t="str">
        <f>Opbrengsten!A69</f>
        <v>2.10</v>
      </c>
      <c r="C20" s="1240" t="str">
        <f>Opbrengsten!B69</f>
        <v>Aanvullende inkomsten</v>
      </c>
      <c r="D20" s="644">
        <f>Opbrengsten!M$46</f>
        <v>12</v>
      </c>
      <c r="F20" s="456"/>
      <c r="G20" s="646" t="str">
        <f>'A-E'!A131</f>
        <v>E.</v>
      </c>
      <c r="H20" s="646" t="str">
        <f>'A-E'!B131</f>
        <v>Normatief werkkapitaal</v>
      </c>
      <c r="I20" s="968">
        <f>'A-E'!G93</f>
        <v>26</v>
      </c>
    </row>
    <row r="21" spans="1:9" s="522" customFormat="1" ht="11.25" customHeight="1">
      <c r="A21" s="625"/>
      <c r="B21" s="625" t="str">
        <f>Opbrengsten!H48</f>
        <v>2.11</v>
      </c>
      <c r="C21" s="625" t="str">
        <f>Opbrengsten!I48</f>
        <v>Aftrek opbrengst vrijgevestigde psychiaters PAAZ</v>
      </c>
      <c r="D21" s="644">
        <f>Opbrengsten!M$46</f>
        <v>12</v>
      </c>
      <c r="F21" s="456"/>
      <c r="G21" s="646" t="str">
        <f>F!A4</f>
        <v>F. </v>
      </c>
      <c r="H21" s="1241" t="str">
        <f>F!B4</f>
        <v>Langlopende leningen (incl. langlopende leasecontracten) </v>
      </c>
      <c r="I21" s="644" t="str">
        <f>CONCATENATE(F!T2,"-",F!T46)</f>
        <v>27-28</v>
      </c>
    </row>
    <row r="22" spans="2:9" s="522" customFormat="1" ht="11.25" customHeight="1">
      <c r="B22" s="522" t="str">
        <f>Opbrengsten!H52</f>
        <v>2.12</v>
      </c>
      <c r="C22" s="558" t="str">
        <f>Opbrengsten!I52</f>
        <v>Totale opbrengst</v>
      </c>
      <c r="D22" s="644">
        <f>Opbrengsten!M$46</f>
        <v>12</v>
      </c>
      <c r="F22" s="558"/>
      <c r="G22" s="646" t="str">
        <f>'G-H'!A5</f>
        <v>G. </v>
      </c>
      <c r="H22" s="646" t="str">
        <f>'G-H'!B5</f>
        <v>Eigen vermogen</v>
      </c>
      <c r="I22" s="644">
        <f>'G-H'!E2</f>
        <v>29</v>
      </c>
    </row>
    <row r="23" spans="2:9" s="522" customFormat="1" ht="12">
      <c r="B23" s="522" t="str">
        <f>Opbrengsten!H56</f>
        <v>2.13</v>
      </c>
      <c r="C23" s="522" t="str">
        <f>Opbrengsten!I56</f>
        <v>Door zorgkantoor met het voorschot te verrekenen bedragen</v>
      </c>
      <c r="D23" s="644">
        <f>Opbrengsten!M$46</f>
        <v>12</v>
      </c>
      <c r="F23" s="558"/>
      <c r="G23" s="646" t="str">
        <f>'G-H'!A28</f>
        <v>H. </v>
      </c>
      <c r="H23" s="646" t="str">
        <f>'G-H'!B28</f>
        <v>Rentekosten langlopende leningen</v>
      </c>
      <c r="I23" s="644">
        <f>'G-H'!E2</f>
        <v>29</v>
      </c>
    </row>
    <row r="24" spans="6:9" s="522" customFormat="1" ht="12">
      <c r="F24" s="558"/>
      <c r="G24" s="47"/>
      <c r="H24" s="47"/>
      <c r="I24" s="47"/>
    </row>
    <row r="25" spans="1:9" s="522" customFormat="1" ht="12">
      <c r="A25" s="14" t="str">
        <f>Afschrijvingen!A4</f>
        <v>RUBRIEK 3: KAPITAALSLASTEN</v>
      </c>
      <c r="B25" s="967"/>
      <c r="C25" s="94"/>
      <c r="D25" s="644">
        <f>Afschrijvingen!K2</f>
        <v>13</v>
      </c>
      <c r="F25" s="558"/>
      <c r="G25" s="967"/>
      <c r="H25" s="94"/>
      <c r="I25" s="969"/>
    </row>
    <row r="26" spans="1:9" s="522" customFormat="1" ht="12">
      <c r="A26" s="42"/>
      <c r="B26" s="646" t="str">
        <f>Afschrijvingen!A7</f>
        <v>3.1</v>
      </c>
      <c r="C26" s="646" t="str">
        <f>Afschrijvingen!B7</f>
        <v>Nacalculeerbare afschrijvingskosten</v>
      </c>
      <c r="D26" s="644">
        <f>Afschrijvingen!$K$2</f>
        <v>13</v>
      </c>
      <c r="G26" s="679" t="str">
        <f>Vragen!A4</f>
        <v>VRAGENLIJST NACALCULATIE</v>
      </c>
      <c r="H26" s="48"/>
      <c r="I26" s="644" t="str">
        <f>CONCATENATE(Vragen!F2,"-",Vragen!F90)</f>
        <v>30-32</v>
      </c>
    </row>
    <row r="27" spans="1:9" s="460" customFormat="1" ht="12">
      <c r="A27" s="625"/>
      <c r="B27" s="646" t="str">
        <f>Afschrijvingen!A28</f>
        <v>3.2</v>
      </c>
      <c r="C27" s="646" t="str">
        <f>Afschrijvingen!B28</f>
        <v>Niet-nacalculeerbare afschrijvingskosten</v>
      </c>
      <c r="D27" s="644">
        <f>Afschrijvingen!$K$2</f>
        <v>13</v>
      </c>
      <c r="F27" s="554"/>
      <c r="G27" s="971" t="str">
        <f>'Aanv.vragen'!A4</f>
        <v>AANVULLENDE VRAGEN 2005 </v>
      </c>
      <c r="H27" s="970"/>
      <c r="I27" s="644" t="str">
        <f>CONCATENATE('Aanv.vragen'!H2,"-",'Aanv.vragen'!H46)</f>
        <v>33-34</v>
      </c>
    </row>
    <row r="28" spans="1:9" s="522" customFormat="1" ht="12">
      <c r="A28" s="42"/>
      <c r="B28" s="646" t="str">
        <f>WZV!A4</f>
        <v>3.3</v>
      </c>
      <c r="C28" s="646" t="str">
        <f>WZV!B4</f>
        <v>Specificatie in gebruikgenomen nacalculeerbare investeringen</v>
      </c>
      <c r="D28" s="644">
        <f>WZV!M2</f>
        <v>14</v>
      </c>
      <c r="G28" s="679"/>
      <c r="H28" s="970"/>
      <c r="I28" s="644"/>
    </row>
    <row r="29" spans="2:9" s="460" customFormat="1" ht="12">
      <c r="B29" s="456" t="str">
        <f>WZV!A92</f>
        <v>3.4</v>
      </c>
      <c r="C29" s="499" t="str">
        <f>WZV!B92</f>
        <v>Specificatie verkochte activa</v>
      </c>
      <c r="D29" s="456">
        <f>WZV!M90</f>
        <v>16</v>
      </c>
      <c r="F29" s="554"/>
      <c r="G29" s="972" t="s">
        <v>1269</v>
      </c>
      <c r="H29" s="522"/>
      <c r="I29" s="974"/>
    </row>
    <row r="30" spans="1:9" s="522" customFormat="1" ht="12">
      <c r="A30" s="460"/>
      <c r="B30" s="456" t="str">
        <f>WZV!A109</f>
        <v>3.5</v>
      </c>
      <c r="C30" s="499" t="str">
        <f>WZV!B109</f>
        <v>Voordeel/nadeel budgetttair bouwen</v>
      </c>
      <c r="D30" s="456">
        <f>WZV!M90</f>
        <v>16</v>
      </c>
      <c r="G30" s="974"/>
      <c r="H30" s="756" t="s">
        <v>1180</v>
      </c>
      <c r="I30" s="901"/>
    </row>
    <row r="31" spans="1:9" s="522" customFormat="1" ht="12">
      <c r="A31" s="625"/>
      <c r="B31" s="646" t="str">
        <f>Instandhouding!A4</f>
        <v>3.6</v>
      </c>
      <c r="C31" s="646" t="str">
        <f>Instandhouding!B4</f>
        <v>Specificatie investeringen in instandhouding</v>
      </c>
      <c r="D31" s="644">
        <f>Instandhouding!M2</f>
        <v>17</v>
      </c>
      <c r="G31" s="974"/>
      <c r="H31" s="756"/>
      <c r="I31" s="901"/>
    </row>
    <row r="32" spans="1:9" s="522" customFormat="1" ht="12">
      <c r="A32" s="625"/>
      <c r="B32" s="646" t="str">
        <f>Instandhouding!A29</f>
        <v>3.7</v>
      </c>
      <c r="C32" s="646" t="str">
        <f>Instandhouding!B29</f>
        <v>Instandhoudingsinvesteringen</v>
      </c>
      <c r="D32" s="644">
        <f>Instandhouding!M2</f>
        <v>17</v>
      </c>
      <c r="G32" s="974"/>
      <c r="H32" s="756"/>
      <c r="I32" s="901"/>
    </row>
    <row r="33" spans="1:9" s="522" customFormat="1" ht="12">
      <c r="A33" s="625"/>
      <c r="B33" s="646" t="str">
        <f>Instandhouding!A46</f>
        <v>3.8</v>
      </c>
      <c r="C33" s="646" t="str">
        <f>Instandhouding!B46</f>
        <v>Specificatie inbrengverplichting</v>
      </c>
      <c r="D33" s="644">
        <f>Instandhouding!M44</f>
        <v>18</v>
      </c>
      <c r="G33" s="974"/>
      <c r="H33" s="756"/>
      <c r="I33" s="901"/>
    </row>
    <row r="34" spans="1:9" ht="12.75">
      <c r="A34" s="625"/>
      <c r="B34" s="522" t="str">
        <f>Instandhouding!K46</f>
        <v>3.8</v>
      </c>
      <c r="C34" s="522" t="str">
        <f>Instandhouding!L46</f>
        <v>CBZ index 2005</v>
      </c>
      <c r="D34" s="644">
        <f>Instandhouding!M44</f>
        <v>18</v>
      </c>
      <c r="G34" s="757"/>
      <c r="H34" s="757"/>
      <c r="I34" s="902"/>
    </row>
    <row r="35" spans="1:9" s="522" customFormat="1" ht="12">
      <c r="A35" s="625"/>
      <c r="B35" s="522" t="str">
        <f>Instandhouding!A61</f>
        <v>3.9</v>
      </c>
      <c r="C35" s="522" t="str">
        <f>Instandhouding!B61</f>
        <v>Toekomstige opbouw trekkingsrechten van 2006 e.v.</v>
      </c>
      <c r="D35" s="644">
        <f>Instandhouding!M44</f>
        <v>18</v>
      </c>
      <c r="G35" s="756"/>
      <c r="H35" s="756"/>
      <c r="I35" s="901"/>
    </row>
    <row r="36" spans="1:9" s="522" customFormat="1" ht="12">
      <c r="A36" s="625"/>
      <c r="B36" s="646" t="str">
        <f>'Overige kap.lasten '!A4</f>
        <v>3.10</v>
      </c>
      <c r="C36" s="646" t="str">
        <f>'Overige kap.lasten '!B4</f>
        <v>Overgangsregeling kapitaalslasten extramurale zorgverlening</v>
      </c>
      <c r="D36" s="644">
        <f>'Overige kap.lasten '!M2</f>
        <v>19</v>
      </c>
      <c r="G36" s="756"/>
      <c r="H36" s="756"/>
      <c r="I36" s="755"/>
    </row>
    <row r="37" spans="1:9" s="456" customFormat="1" ht="12.75">
      <c r="A37" s="625"/>
      <c r="B37" s="646" t="str">
        <f>'Overige kap.lasten '!A49</f>
        <v>3.11</v>
      </c>
      <c r="C37" s="646" t="str">
        <f>'Overige kap.lasten '!B49</f>
        <v>Doorberekende kapitaalslasten</v>
      </c>
      <c r="D37" s="644">
        <f>'Overige kap.lasten '!M47</f>
        <v>20</v>
      </c>
      <c r="E37"/>
      <c r="G37" s="758"/>
      <c r="H37" s="758"/>
      <c r="I37" s="755"/>
    </row>
    <row r="38" spans="1:9" s="460" customFormat="1" ht="12.75">
      <c r="A38" s="625"/>
      <c r="B38" s="646" t="str">
        <f>'Overige kap.lasten '!A62</f>
        <v>3.12</v>
      </c>
      <c r="C38" s="646" t="str">
        <f>'Overige kap.lasten '!B62</f>
        <v>Huren 2005</v>
      </c>
      <c r="D38" s="644" t="str">
        <f>CONCATENATE('Overige kap.lasten '!M47,"-",'Overige kap.lasten '!M85)</f>
        <v>20-21</v>
      </c>
      <c r="E38"/>
      <c r="F38" s="554"/>
      <c r="G38" s="758"/>
      <c r="H38" s="758"/>
      <c r="I38" s="755"/>
    </row>
    <row r="39" spans="1:9" s="456" customFormat="1" ht="12.75">
      <c r="A39" s="625"/>
      <c r="B39" s="646"/>
      <c r="E39"/>
      <c r="F39" s="556"/>
      <c r="G39" s="759"/>
      <c r="H39" s="759"/>
      <c r="I39" s="755"/>
    </row>
    <row r="40" spans="1:9" s="456" customFormat="1" ht="12.75">
      <c r="A40" s="625"/>
      <c r="B40" s="692"/>
      <c r="C40" s="646" t="s">
        <v>1383</v>
      </c>
      <c r="D40" s="644">
        <f>'Rentecalc.'!$H$2</f>
        <v>23</v>
      </c>
      <c r="E40"/>
      <c r="G40" s="758"/>
      <c r="H40" s="758"/>
      <c r="I40" s="755"/>
    </row>
    <row r="41" spans="5:9" s="456" customFormat="1" ht="12.75">
      <c r="E41"/>
      <c r="G41" s="758"/>
      <c r="H41" s="758"/>
      <c r="I41" s="755"/>
    </row>
    <row r="42" s="456" customFormat="1" ht="12"/>
    <row r="43" s="456" customFormat="1" ht="12"/>
    <row r="44" s="456" customFormat="1" ht="12"/>
    <row r="45" s="456" customFormat="1" ht="12"/>
    <row r="46" s="456" customFormat="1" ht="12"/>
    <row r="47" spans="2:4" s="456" customFormat="1" ht="12">
      <c r="B47" s="973"/>
      <c r="C47" s="42"/>
      <c r="D47" s="42"/>
    </row>
    <row r="48" spans="2:4" s="456" customFormat="1" ht="12">
      <c r="B48" s="973"/>
      <c r="C48" s="42"/>
      <c r="D48" s="42"/>
    </row>
    <row r="49" spans="1:2" s="456" customFormat="1" ht="12">
      <c r="A49" s="41"/>
      <c r="B49" s="553"/>
    </row>
    <row r="50" spans="1:2" s="456" customFormat="1" ht="12">
      <c r="A50" s="41"/>
      <c r="B50" s="553"/>
    </row>
    <row r="51" spans="1:2" s="456" customFormat="1" ht="12">
      <c r="A51" s="455"/>
      <c r="B51" s="553"/>
    </row>
    <row r="52" spans="1:2" s="456" customFormat="1" ht="12">
      <c r="A52" s="455"/>
      <c r="B52" s="553"/>
    </row>
    <row r="53" spans="1:2" s="456" customFormat="1" ht="12">
      <c r="A53" s="455"/>
      <c r="B53" s="553"/>
    </row>
    <row r="54" spans="1:2" s="456" customFormat="1" ht="12">
      <c r="A54" s="455"/>
      <c r="B54" s="553"/>
    </row>
    <row r="55" spans="1:2" s="456" customFormat="1" ht="12">
      <c r="A55" s="455"/>
      <c r="B55" s="553"/>
    </row>
    <row r="56" spans="1:2" s="498" customFormat="1" ht="12.75">
      <c r="A56" s="455"/>
      <c r="B56" s="559"/>
    </row>
    <row r="57" spans="1:2" s="498" customFormat="1" ht="12.75">
      <c r="A57" s="455"/>
      <c r="B57" s="559"/>
    </row>
    <row r="58" spans="1:2" s="498" customFormat="1" ht="12.75">
      <c r="A58" s="435"/>
      <c r="B58" s="559"/>
    </row>
    <row r="59" spans="1:2" s="498" customFormat="1" ht="12.75">
      <c r="A59" s="435"/>
      <c r="B59" s="559"/>
    </row>
    <row r="60" spans="1:2" s="498" customFormat="1" ht="12.75">
      <c r="A60" s="435"/>
      <c r="B60" s="559"/>
    </row>
    <row r="61" spans="1:2" s="498" customFormat="1" ht="12.75">
      <c r="A61" s="435"/>
      <c r="B61" s="559"/>
    </row>
    <row r="62" spans="1:2" s="498" customFormat="1" ht="12.75">
      <c r="A62" s="435"/>
      <c r="B62" s="559"/>
    </row>
    <row r="63" spans="1:2" s="498" customFormat="1" ht="12.75">
      <c r="A63" s="435"/>
      <c r="B63" s="559"/>
    </row>
    <row r="64" spans="1:2" s="498" customFormat="1" ht="12.75">
      <c r="A64" s="435"/>
      <c r="B64" s="559"/>
    </row>
    <row r="65" spans="1:2" s="498" customFormat="1" ht="12.75">
      <c r="A65" s="435"/>
      <c r="B65" s="559"/>
    </row>
    <row r="66" spans="1:2" s="498" customFormat="1" ht="12.75">
      <c r="A66" s="435"/>
      <c r="B66" s="559"/>
    </row>
    <row r="67" spans="1:2" s="498" customFormat="1" ht="12.75">
      <c r="A67" s="435"/>
      <c r="B67" s="559"/>
    </row>
    <row r="68" spans="1:2" s="498" customFormat="1" ht="12.75">
      <c r="A68" s="435"/>
      <c r="B68" s="559"/>
    </row>
    <row r="69" spans="1:2" s="498" customFormat="1" ht="12.75">
      <c r="A69" s="435"/>
      <c r="B69" s="559"/>
    </row>
    <row r="70" spans="1:2" s="498" customFormat="1" ht="12.75">
      <c r="A70" s="435"/>
      <c r="B70" s="559"/>
    </row>
    <row r="71" spans="1:2" s="498" customFormat="1" ht="12.75">
      <c r="A71" s="435"/>
      <c r="B71" s="559"/>
    </row>
    <row r="72" spans="1:2" s="498" customFormat="1" ht="12.75">
      <c r="A72" s="435"/>
      <c r="B72" s="559"/>
    </row>
    <row r="73" spans="1:2" s="498" customFormat="1" ht="12.75">
      <c r="A73" s="435"/>
      <c r="B73" s="559"/>
    </row>
    <row r="74" spans="1:2" s="498" customFormat="1" ht="12.75">
      <c r="A74" s="435"/>
      <c r="B74" s="559"/>
    </row>
    <row r="75" spans="1:2" s="498" customFormat="1" ht="12.75">
      <c r="A75" s="435"/>
      <c r="B75" s="559"/>
    </row>
    <row r="76" spans="1:2" s="498" customFormat="1" ht="12.75">
      <c r="A76" s="435"/>
      <c r="B76" s="559"/>
    </row>
    <row r="77" spans="1:2" s="498" customFormat="1" ht="12.75">
      <c r="A77" s="435"/>
      <c r="B77" s="559"/>
    </row>
    <row r="78" spans="1:2" s="498" customFormat="1" ht="12.75">
      <c r="A78" s="435"/>
      <c r="B78" s="559"/>
    </row>
    <row r="79" spans="1:2" s="498" customFormat="1" ht="12.75">
      <c r="A79" s="435"/>
      <c r="B79" s="559"/>
    </row>
    <row r="80" spans="1:2" s="498" customFormat="1" ht="12.75">
      <c r="A80" s="435"/>
      <c r="B80" s="559"/>
    </row>
    <row r="81" spans="1:2" s="498" customFormat="1" ht="12.75">
      <c r="A81" s="435"/>
      <c r="B81" s="559"/>
    </row>
    <row r="82" spans="1:2" s="498" customFormat="1" ht="12.75">
      <c r="A82" s="435"/>
      <c r="B82" s="559"/>
    </row>
    <row r="83" spans="1:2" s="498" customFormat="1" ht="12.75">
      <c r="A83" s="435"/>
      <c r="B83" s="559"/>
    </row>
    <row r="84" spans="1:2" s="498" customFormat="1" ht="12.75">
      <c r="A84" s="435"/>
      <c r="B84" s="559"/>
    </row>
    <row r="85" spans="1:2" s="498" customFormat="1" ht="12.75">
      <c r="A85" s="435"/>
      <c r="B85" s="559"/>
    </row>
    <row r="86" spans="1:2" s="498" customFormat="1" ht="12.75">
      <c r="A86" s="435"/>
      <c r="B86" s="559"/>
    </row>
    <row r="87" spans="1:2" s="498" customFormat="1" ht="12.75">
      <c r="A87" s="435"/>
      <c r="B87" s="559"/>
    </row>
    <row r="88" spans="1:2" s="498" customFormat="1" ht="12.75">
      <c r="A88" s="435"/>
      <c r="B88" s="559"/>
    </row>
    <row r="89" spans="1:2" s="498" customFormat="1" ht="12.75">
      <c r="A89" s="435"/>
      <c r="B89" s="559"/>
    </row>
    <row r="90" spans="1:2" s="498" customFormat="1" ht="12.75">
      <c r="A90" s="435"/>
      <c r="B90" s="559"/>
    </row>
    <row r="91" spans="1:2" s="498" customFormat="1" ht="12.75">
      <c r="A91" s="435"/>
      <c r="B91" s="559"/>
    </row>
    <row r="92" spans="1:2" s="498" customFormat="1" ht="12.75">
      <c r="A92" s="435"/>
      <c r="B92" s="559"/>
    </row>
    <row r="93" spans="1:2" s="498" customFormat="1" ht="12.75">
      <c r="A93" s="435"/>
      <c r="B93" s="559"/>
    </row>
    <row r="94" spans="1:2" s="498" customFormat="1" ht="12.75">
      <c r="A94" s="435"/>
      <c r="B94" s="559"/>
    </row>
    <row r="95" spans="1:2" s="498" customFormat="1" ht="12.75">
      <c r="A95" s="435"/>
      <c r="B95" s="559"/>
    </row>
    <row r="96" spans="1:2" s="498" customFormat="1" ht="12.75">
      <c r="A96" s="435"/>
      <c r="B96" s="559"/>
    </row>
    <row r="97" spans="1:2" s="498" customFormat="1" ht="12.75">
      <c r="A97" s="435"/>
      <c r="B97" s="559"/>
    </row>
    <row r="98" spans="1:2" s="498" customFormat="1" ht="12.75">
      <c r="A98" s="435"/>
      <c r="B98" s="559"/>
    </row>
    <row r="99" spans="1:2" s="498" customFormat="1" ht="12.75">
      <c r="A99" s="435"/>
      <c r="B99" s="559"/>
    </row>
    <row r="100" spans="1:2" s="498" customFormat="1" ht="12.75">
      <c r="A100" s="435"/>
      <c r="B100" s="559"/>
    </row>
    <row r="101" spans="1:2" s="498" customFormat="1" ht="12.75">
      <c r="A101" s="435"/>
      <c r="B101" s="559"/>
    </row>
    <row r="102" spans="1:2" s="498" customFormat="1" ht="12.75">
      <c r="A102" s="435"/>
      <c r="B102" s="559"/>
    </row>
    <row r="103" spans="1:2" s="498" customFormat="1" ht="12.75">
      <c r="A103" s="435"/>
      <c r="B103" s="559"/>
    </row>
    <row r="104" spans="1:2" s="498" customFormat="1" ht="12.75">
      <c r="A104" s="435"/>
      <c r="B104" s="559"/>
    </row>
    <row r="105" ht="12.75">
      <c r="A105" s="435"/>
    </row>
    <row r="106" ht="12.75">
      <c r="A106" s="435"/>
    </row>
  </sheetData>
  <sheetProtection password="958F" sheet="1" objects="1" scenarios="1"/>
  <mergeCells count="2">
    <mergeCell ref="H15:H16"/>
    <mergeCell ref="H17:H18"/>
  </mergeCells>
  <printOptions/>
  <pageMargins left="0.3937007874015748" right="0.3937007874015748" top="0.3937007874015748" bottom="0.3937007874015748" header="0.5118110236220472" footer="0.5118110236220472"/>
  <pageSetup horizontalDpi="300" verticalDpi="300" orientation="landscape" paperSize="9" scale="95" r:id="rId2"/>
  <ignoredErrors>
    <ignoredError sqref="I19" formula="1"/>
  </ignoredErrors>
  <drawing r:id="rId1"/>
</worksheet>
</file>

<file path=xl/worksheets/sheet4.xml><?xml version="1.0" encoding="utf-8"?>
<worksheet xmlns="http://schemas.openxmlformats.org/spreadsheetml/2006/main" xmlns:r="http://schemas.openxmlformats.org/officeDocument/2006/relationships">
  <sheetPr codeName="Blad4"/>
  <dimension ref="A1:I116"/>
  <sheetViews>
    <sheetView showGridLines="0" zoomScale="95" zoomScaleNormal="95" workbookViewId="0" topLeftCell="A1">
      <selection activeCell="A2" sqref="A2"/>
    </sheetView>
  </sheetViews>
  <sheetFormatPr defaultColWidth="9.140625" defaultRowHeight="12.75"/>
  <cols>
    <col min="1" max="1" width="7.28125" style="561" customWidth="1"/>
    <col min="2" max="2" width="100.140625" style="522" customWidth="1"/>
    <col min="3" max="3" width="21.421875" style="522" customWidth="1"/>
    <col min="4" max="4" width="7.7109375" style="522" customWidth="1"/>
    <col min="5" max="5" width="6.8515625" style="522" customWidth="1"/>
    <col min="6" max="16384" width="9.140625" style="522" customWidth="1"/>
  </cols>
  <sheetData>
    <row r="1" spans="1:5" s="453" customFormat="1" ht="15.75" customHeight="1">
      <c r="A1" s="455"/>
      <c r="B1" s="456"/>
      <c r="C1" s="472"/>
      <c r="E1" s="456"/>
    </row>
    <row r="2" spans="1:5" s="513" customFormat="1" ht="15.75" customHeight="1">
      <c r="A2" s="616" t="str">
        <f>Inhoud!$A$2</f>
        <v>Nacalculatieformulier 2005 GGZ-instellingen</v>
      </c>
      <c r="B2" s="542"/>
      <c r="C2" s="586"/>
      <c r="D2" s="586"/>
      <c r="E2" s="1258">
        <f>Inhoud!$I$2+1</f>
        <v>3</v>
      </c>
    </row>
    <row r="3" spans="4:9" ht="12.75" customHeight="1">
      <c r="D3" s="557"/>
      <c r="I3" s="456"/>
    </row>
    <row r="4" spans="1:5" s="456" customFormat="1" ht="12.75" customHeight="1">
      <c r="A4" s="41" t="s">
        <v>1019</v>
      </c>
      <c r="B4" s="42"/>
      <c r="C4" s="42"/>
      <c r="D4" s="42"/>
      <c r="E4" s="42"/>
    </row>
    <row r="5" spans="1:5" s="456" customFormat="1" ht="12.75" customHeight="1">
      <c r="A5" s="41"/>
      <c r="B5" s="42"/>
      <c r="C5" s="42"/>
      <c r="D5" s="42"/>
      <c r="E5" s="42"/>
    </row>
    <row r="6" spans="1:5" s="456" customFormat="1" ht="12.75" customHeight="1">
      <c r="A6" s="41"/>
      <c r="B6" s="47" t="s">
        <v>1271</v>
      </c>
      <c r="C6" s="42"/>
      <c r="D6" s="42"/>
      <c r="E6" s="42"/>
    </row>
    <row r="7" spans="1:7" s="456" customFormat="1" ht="25.5" customHeight="1">
      <c r="A7" s="1572" t="str">
        <f>CONCATENATE("1. Omdat de regels voor de GGZ-sectoren psychiatrische ziekenhuizen, RIAGG's, RIBW's en PAAZ-en zijn geharmoniseerd is voor een gecombineerd nacalculatieformulier gekozen.  Zelfstandige RIAGG's, RIBW's en PAAZ-en behoeven ",Inhoud!A25," en het ",'Rentecalc.'!A6," met uitzondering van regel ",'Rentecalc.'!A28,," niet in te vullen.")</f>
        <v>1. Omdat de regels voor de GGZ-sectoren psychiatrische ziekenhuizen, RIAGG's, RIBW's en PAAZ-en zijn geharmoniseerd is voor een gecombineerd nacalculatieformulier gekozen.  Zelfstandige RIAGG's, RIBW's en PAAZ-en behoeven RUBRIEK 3: KAPITAALSLASTEN en het CALCULATIEMODEL RENTEKOSTEN met uitzondering van regel 2315 niet in te vullen.</v>
      </c>
      <c r="B7" s="1572"/>
      <c r="C7" s="1572"/>
      <c r="D7" s="1572"/>
      <c r="E7" s="1572"/>
      <c r="F7" s="983"/>
      <c r="G7" s="983"/>
    </row>
    <row r="8" spans="1:5" s="456" customFormat="1" ht="25.5" customHeight="1">
      <c r="A8" s="1622" t="str">
        <f>CONCATENATE("2. Het elektronische formulier is beveiligd met een wachtwoord. Dit betekent dat in het formulier geen veranderingen kunnen worden aangebracht. ","Als toch de wens of de noodzaak bestaat om van het formulier af te wijken, dan kunt u dit verwerken onder de overige mutaties op regel ",Mutaties!A21,".")</f>
        <v>2. Het elektronische formulier is beveiligd met een wachtwoord. Dit betekent dat in het formulier geen veranderingen kunnen worden aangebracht. Als toch de wens of de noodzaak bestaat om van het formulier af te wijken, dan kunt u dit verwerken onder de overige mutaties op regel 2213.</v>
      </c>
      <c r="B8" s="1623"/>
      <c r="C8" s="1623"/>
      <c r="D8" s="1623"/>
      <c r="E8" s="1623"/>
    </row>
    <row r="9" spans="1:5" s="456" customFormat="1" ht="12.75" customHeight="1">
      <c r="A9" s="606"/>
      <c r="B9" s="606"/>
      <c r="C9" s="606"/>
      <c r="D9" s="606"/>
      <c r="E9" s="606"/>
    </row>
    <row r="10" spans="1:5" s="456" customFormat="1" ht="12.75" customHeight="1">
      <c r="A10" s="617" t="str">
        <f>Productie!A5</f>
        <v>1.1</v>
      </c>
      <c r="B10" s="618" t="str">
        <f>Productie!B5</f>
        <v>Nacalculatie productie instelling</v>
      </c>
      <c r="C10" s="606"/>
      <c r="D10" s="606"/>
      <c r="E10" s="606"/>
    </row>
    <row r="11" spans="1:5" s="456" customFormat="1" ht="38.25" customHeight="1">
      <c r="A11" s="1572" t="str">
        <f>CONCATENATE("Voor de definitieve nacalculatie van de gerealiseerde productie is een overzicht in het nacalculatieformulier opgenomen. Op de regels ",Productie!A116," tot en met ",Productie!A118," kunnen de lumpsumbedragen, die eventueel in de onderbouwing van regel 10 van het budget vermeld staan, opgenomen worden."," Volledigheidshalve wordt opgemerkt dat bij de berekening van de productiewaarde van de kliniek moet worden uitgegaan van aantallen dagen inclusief afwezigheidsdagen.")</f>
        <v>Voor de definitieve nacalculatie van de gerealiseerde productie is een overzicht in het nacalculatieformulier opgenomen. Op de regels 920 tot en met 922 kunnen de lumpsumbedragen, die eventueel in de onderbouwing van regel 10 van het budget vermeld staan, opgenomen worden. Volledigheidshalve wordt opgemerkt dat bij de berekening van de productiewaarde van de kliniek moet worden uitgegaan van aantallen dagen inclusief afwezigheidsdagen.</v>
      </c>
      <c r="B11" s="1572"/>
      <c r="C11" s="1572"/>
      <c r="D11" s="1572"/>
      <c r="E11" s="1572"/>
    </row>
    <row r="12" spans="1:5" s="456" customFormat="1" ht="12.75" customHeight="1">
      <c r="A12" s="948"/>
      <c r="B12" s="948"/>
      <c r="C12" s="948"/>
      <c r="D12" s="948"/>
      <c r="E12" s="948"/>
    </row>
    <row r="13" spans="1:5" s="456" customFormat="1" ht="12.75" customHeight="1">
      <c r="A13" s="620" t="str">
        <f>Opbrengsten!A69</f>
        <v>2.10</v>
      </c>
      <c r="B13" s="620" t="str">
        <f>CONCATENATE(Opbrengsten!B69," (Beleidsregel CA-6/CI-847)")</f>
        <v>Aanvullende inkomsten (Beleidsregel CA-6/CI-847)</v>
      </c>
      <c r="C13" s="619"/>
      <c r="D13" s="619"/>
      <c r="E13" s="619"/>
    </row>
    <row r="14" spans="1:5" s="456" customFormat="1" ht="38.25" customHeight="1">
      <c r="A14" s="1572" t="s">
        <v>1408</v>
      </c>
      <c r="B14" s="1572"/>
      <c r="C14" s="1572"/>
      <c r="D14" s="1572"/>
      <c r="E14" s="1572"/>
    </row>
    <row r="15" spans="1:5" s="456" customFormat="1" ht="9.75" customHeight="1">
      <c r="A15" s="948"/>
      <c r="B15" s="948"/>
      <c r="C15" s="948"/>
      <c r="D15" s="948"/>
      <c r="E15" s="948"/>
    </row>
    <row r="16" spans="1:5" s="456" customFormat="1" ht="12.75" customHeight="1">
      <c r="A16" s="620" t="str">
        <f>Opbrengsten!H56</f>
        <v>2.13</v>
      </c>
      <c r="B16" s="618" t="str">
        <f>Opbrengsten!I56</f>
        <v>Door zorgkantoor met het voorschot te verrekenen bedragen</v>
      </c>
      <c r="C16" s="619"/>
      <c r="D16" s="619"/>
      <c r="E16" s="619"/>
    </row>
    <row r="17" spans="1:5" s="456" customFormat="1" ht="51" customHeight="1">
      <c r="A17" s="1623" t="s">
        <v>1336</v>
      </c>
      <c r="B17" s="1623"/>
      <c r="C17" s="1623"/>
      <c r="D17" s="1623"/>
      <c r="E17" s="1623"/>
    </row>
    <row r="18" spans="1:5" s="456" customFormat="1" ht="9.75" customHeight="1">
      <c r="A18" s="606"/>
      <c r="B18" s="606"/>
      <c r="C18" s="606"/>
      <c r="D18" s="606"/>
      <c r="E18" s="606"/>
    </row>
    <row r="19" spans="1:5" s="456" customFormat="1" ht="12" customHeight="1">
      <c r="A19" s="41" t="str">
        <f>Afschrijvingen!A7</f>
        <v>3.1</v>
      </c>
      <c r="B19" s="41" t="str">
        <f>Afschrijvingen!B7</f>
        <v>Nacalculeerbare afschrijvingskosten</v>
      </c>
      <c r="C19" s="622"/>
      <c r="D19" s="623"/>
      <c r="E19" s="622"/>
    </row>
    <row r="20" spans="1:8" ht="51" customHeight="1">
      <c r="A20" s="1624" t="str">
        <f>CONCATENATE("In het overzicht van de nacalculeerbare afschrijvingskosten worden in de kolom 'Afschrijvingen nieuw' de afschrijvingskosten opgenomen van nieuwe investeringen. Onder doorwerking ",Voorblad!E3-1," worden de afschrijvingskosten vermeld van in ",Voorblad!E3-1," in gebruik genomen investeringen, waarvan de afschrijvingskosten in ",Voorblad!E3-1," nog niet of niet voor een volledig jaar in de kolom  'Afschrijving nacalculatie ",Voorblad!E3-1,"' zijn verwerkt. Onder ",Voorblad!E3," komen de afschrijvingskosten van investeringen die in ",Voorblad!E3," in gebruik zijn genomen. De specificatie van deze nieuwe investeringen en afschrijvingskosten dient te worden opgenomen in het overzicht ' Specificatie in gebruik genomen nacalculeerbare investeringen'. ")</f>
        <v>In het overzicht van de nacalculeerbare afschrijvingskosten worden in de kolom 'Afschrijvingen nieuw' de afschrijvingskosten opgenomen van nieuwe investeringen. Onder doorwerking 2004 worden de afschrijvingskosten vermeld van in 2004 in gebruik genomen investeringen, waarvan de afschrijvingskosten in 2004 nog niet of niet voor een volledig jaar in de kolom  'Afschrijving nacalculatie 2004' zijn verwerkt. Onder 2005 komen de afschrijvingskosten van investeringen die in 2005 in gebruik zijn genomen. De specificatie van deze nieuwe investeringen en afschrijvingskosten dient te worden opgenomen in het overzicht ' Specificatie in gebruik genomen nacalculeerbare investeringen'. </v>
      </c>
      <c r="B20" s="1572"/>
      <c r="C20" s="1572"/>
      <c r="D20" s="1572"/>
      <c r="E20" s="1572"/>
      <c r="G20" s="456"/>
      <c r="H20" s="456"/>
    </row>
    <row r="21" spans="1:8" ht="10.5" customHeight="1">
      <c r="A21" s="1245"/>
      <c r="B21" s="948"/>
      <c r="C21" s="948"/>
      <c r="D21" s="948"/>
      <c r="E21" s="948"/>
      <c r="G21" s="456"/>
      <c r="H21" s="456"/>
    </row>
    <row r="22" spans="1:8" ht="12" customHeight="1">
      <c r="A22" s="41" t="str">
        <f>Afschrijvingen!A28</f>
        <v>3.2</v>
      </c>
      <c r="B22" s="41" t="str">
        <f>Afschrijvingen!B28</f>
        <v>Niet-nacalculeerbare afschrijvingskosten</v>
      </c>
      <c r="C22" s="948"/>
      <c r="D22" s="948"/>
      <c r="E22" s="948"/>
      <c r="G22" s="456"/>
      <c r="H22" s="456"/>
    </row>
    <row r="23" spans="1:8" ht="38.25" customHeight="1">
      <c r="A23" s="1624" t="s">
        <v>1409</v>
      </c>
      <c r="B23" s="1572"/>
      <c r="C23" s="1572"/>
      <c r="D23" s="1572"/>
      <c r="E23" s="1572"/>
      <c r="G23" s="456"/>
      <c r="H23" s="456"/>
    </row>
    <row r="24" spans="1:8" ht="11.25" customHeight="1">
      <c r="A24" s="1245"/>
      <c r="B24" s="948"/>
      <c r="C24" s="948"/>
      <c r="D24" s="948"/>
      <c r="E24" s="948"/>
      <c r="G24" s="456"/>
      <c r="H24" s="456"/>
    </row>
    <row r="25" spans="1:8" ht="12.75" customHeight="1">
      <c r="A25" s="41" t="str">
        <f>WZV!A92</f>
        <v>3.4</v>
      </c>
      <c r="B25" s="94" t="str">
        <f>WZV!B92</f>
        <v>Specificatie verkochte activa</v>
      </c>
      <c r="C25" s="948"/>
      <c r="D25" s="948"/>
      <c r="E25" s="948"/>
      <c r="G25" s="456"/>
      <c r="H25" s="456"/>
    </row>
    <row r="26" spans="1:8" ht="25.5" customHeight="1">
      <c r="A26" s="1624" t="s">
        <v>1134</v>
      </c>
      <c r="B26" s="1572"/>
      <c r="C26" s="1572"/>
      <c r="D26" s="1572"/>
      <c r="E26" s="1572"/>
      <c r="G26" s="456"/>
      <c r="H26" s="456"/>
    </row>
    <row r="27" spans="1:8" ht="12.75" customHeight="1">
      <c r="A27" s="1245"/>
      <c r="B27" s="948"/>
      <c r="C27" s="948"/>
      <c r="D27" s="948"/>
      <c r="E27" s="948"/>
      <c r="G27" s="456"/>
      <c r="H27" s="456"/>
    </row>
    <row r="28" spans="1:8" ht="12.75" customHeight="1">
      <c r="A28" s="41" t="str">
        <f>Inhoud!B30</f>
        <v>3.5</v>
      </c>
      <c r="B28" s="94" t="str">
        <f>Inhoud!C30</f>
        <v>Voordeel/nadeel budgetttair bouwen</v>
      </c>
      <c r="C28" s="948"/>
      <c r="D28" s="948"/>
      <c r="E28" s="948"/>
      <c r="G28" s="456"/>
      <c r="H28" s="456"/>
    </row>
    <row r="29" spans="1:8" ht="35.25" customHeight="1">
      <c r="A29" s="1624" t="s">
        <v>1410</v>
      </c>
      <c r="B29" s="1572"/>
      <c r="C29" s="1572"/>
      <c r="D29" s="1572"/>
      <c r="E29" s="1572"/>
      <c r="G29" s="456"/>
      <c r="H29" s="456"/>
    </row>
    <row r="30" spans="1:8" ht="12.75" customHeight="1">
      <c r="A30" s="1245"/>
      <c r="B30" s="948"/>
      <c r="C30" s="472"/>
      <c r="D30" s="453"/>
      <c r="E30" s="948"/>
      <c r="G30" s="456"/>
      <c r="H30" s="456"/>
    </row>
    <row r="31" spans="1:5" s="513" customFormat="1" ht="15.75" customHeight="1">
      <c r="A31" s="616" t="str">
        <f>Inhoud!$A$2</f>
        <v>Nacalculatieformulier 2005 GGZ-instellingen</v>
      </c>
      <c r="B31" s="542"/>
      <c r="C31" s="586"/>
      <c r="D31" s="586"/>
      <c r="E31" s="1258">
        <f>E2+1</f>
        <v>4</v>
      </c>
    </row>
    <row r="32" spans="1:8" ht="12.75" customHeight="1">
      <c r="A32" s="1245"/>
      <c r="B32" s="948"/>
      <c r="C32" s="948"/>
      <c r="D32" s="948"/>
      <c r="E32" s="948"/>
      <c r="G32" s="456"/>
      <c r="H32" s="456"/>
    </row>
    <row r="33" spans="1:8" ht="12.75" customHeight="1">
      <c r="A33" s="41" t="str">
        <f>Instandhouding!A29</f>
        <v>3.7</v>
      </c>
      <c r="B33" s="41" t="str">
        <f>CONCATENATE(Instandhouding!B29," (Beleidsregel III-836.)")</f>
        <v>Instandhoudingsinvesteringen (Beleidsregel III-836.)</v>
      </c>
      <c r="C33" s="906"/>
      <c r="D33" s="906"/>
      <c r="E33" s="906"/>
      <c r="G33" s="456"/>
      <c r="H33" s="456"/>
    </row>
    <row r="34" spans="1:8" ht="38.25" customHeight="1">
      <c r="A34" s="1624" t="str">
        <f>CONCATENATE("U dient eerst de opgebouwde en nog beschikbare jaarlijkse investeringsruimte volledig te benutten, alvorens u uw trekkingsrechten kunt aanspreken voor incidentele instandhoudingsinvesteringen. Als het totale investeringsbedrag van ",Instandhouding!A29," (getotaliseerd op regel ",Instandhouding!A37,") groter is dan de ruimte voor jaarlijkse investeringen (regel ",Instandhouding!A36,", kolom 'jaarlijks') wordt op regel ",Instandhouding!A38," in de kolom 'incidenteel' het verschil tussen beide bedragen automatisch ingevuld, met als maximum de incidentele investeringsruimte (regel ",Instandhouding!A36,", kolom 'incidenteel').")</f>
        <v>U dient eerst de opgebouwde en nog beschikbare jaarlijkse investeringsruimte volledig te benutten, alvorens u uw trekkingsrechten kunt aanspreken voor incidentele instandhoudingsinvesteringen. Als het totale investeringsbedrag van 3.7 (getotaliseerd op regel 1727) groter is dan de ruimte voor jaarlijkse investeringen (regel 1726, kolom 'jaarlijks') wordt op regel 1728 in de kolom 'incidenteel' het verschil tussen beide bedragen automatisch ingevuld, met als maximum de incidentele investeringsruimte (regel 1726, kolom 'incidenteel').</v>
      </c>
      <c r="B34" s="1565"/>
      <c r="C34" s="1565"/>
      <c r="D34" s="1565"/>
      <c r="E34" s="1565"/>
      <c r="G34" s="456"/>
      <c r="H34" s="456"/>
    </row>
    <row r="35" spans="1:5" ht="12.75" customHeight="1">
      <c r="A35" s="1245"/>
      <c r="B35" s="948"/>
      <c r="C35" s="948"/>
      <c r="D35" s="948"/>
      <c r="E35" s="948"/>
    </row>
    <row r="36" spans="1:5" s="513" customFormat="1" ht="12.75" customHeight="1">
      <c r="A36" s="41" t="str">
        <f>Instandhouding!A46</f>
        <v>3.8</v>
      </c>
      <c r="B36" s="41" t="str">
        <f>Instandhouding!B46</f>
        <v>Specificatie inbrengverplichting</v>
      </c>
      <c r="C36" s="948"/>
      <c r="D36" s="948"/>
      <c r="E36" s="948"/>
    </row>
    <row r="37" spans="1:5" s="513" customFormat="1" ht="38.25" customHeight="1">
      <c r="A37" s="1626" t="str">
        <f>CONCATENATE("In 2002 heeft het Bouwcollege een aanvang gemaakt met de vaststelling van bedragen van de inbrengverplichting. Deze bedragen moeten door CTG/ZAio in mindering worden gebracht op de opgebouwde trekkingsrechten."," U wordt verzocht in dit overzicht de gegevens te vermelden van de brieven die u in ",Voorblad!E3," hierover heeft ontvangen. In deze brieven kunt u ook het prijspeil waarop de inbrengverplichting is berekend terugvinden. ","De index die bij deze peildatum hoort dient u eveneens in dit overzicht te vermelden.")</f>
        <v>In 2002 heeft het Bouwcollege een aanvang gemaakt met de vaststelling van bedragen van de inbrengverplichting. Deze bedragen moeten door CTG/ZAio in mindering worden gebracht op de opgebouwde trekkingsrechten. U wordt verzocht in dit overzicht de gegevens te vermelden van de brieven die u in 2005 hierover heeft ontvangen. In deze brieven kunt u ook het prijspeil waarop de inbrengverplichting is berekend terugvinden. De index die bij deze peildatum hoort dient u eveneens in dit overzicht te vermelden.</v>
      </c>
      <c r="B37" s="1564"/>
      <c r="C37" s="1564"/>
      <c r="D37" s="1564"/>
      <c r="E37" s="1564"/>
    </row>
    <row r="38" spans="1:5" s="513" customFormat="1" ht="12.75" customHeight="1">
      <c r="A38" s="1489"/>
      <c r="B38" s="1464"/>
      <c r="C38" s="1464"/>
      <c r="D38" s="1464"/>
      <c r="E38" s="1464"/>
    </row>
    <row r="39" spans="1:5" s="513" customFormat="1" ht="12.75" customHeight="1">
      <c r="A39" s="1484" t="str">
        <f>'Overige kap.lasten '!A9</f>
        <v>3.10.1</v>
      </c>
      <c r="B39" s="1485" t="str">
        <f>'Overige kap.lasten '!B9</f>
        <v>Toe- en afname overgangsregeling kapitaalslasten normatief</v>
      </c>
      <c r="C39" s="1464"/>
      <c r="D39" s="1464"/>
      <c r="E39" s="1464"/>
    </row>
    <row r="40" spans="1:5" s="513" customFormat="1" ht="25.5" customHeight="1">
      <c r="A40" s="1628" t="s">
        <v>1411</v>
      </c>
      <c r="B40" s="1567"/>
      <c r="C40" s="1567"/>
      <c r="D40" s="1567"/>
      <c r="E40" s="1567"/>
    </row>
    <row r="41" spans="1:5" s="513" customFormat="1" ht="12.75" customHeight="1">
      <c r="A41" s="1467"/>
      <c r="B41" s="1487"/>
      <c r="C41" s="1487"/>
      <c r="D41" s="1487"/>
      <c r="E41" s="1487"/>
    </row>
    <row r="42" spans="1:5" s="513" customFormat="1" ht="12.75" customHeight="1">
      <c r="A42" s="1484" t="str">
        <f>'Overige kap.lasten '!A23</f>
        <v>3.10.2</v>
      </c>
      <c r="B42" s="1484" t="str">
        <f>'Overige kap.lasten '!B23</f>
        <v>Toe- en afname overgangsregeling kapitaalslasten investeringskosten</v>
      </c>
      <c r="C42" s="1464"/>
      <c r="D42" s="1464"/>
      <c r="E42" s="1464"/>
    </row>
    <row r="43" spans="1:5" s="513" customFormat="1" ht="25.5" customHeight="1">
      <c r="A43" s="1628" t="s">
        <v>1412</v>
      </c>
      <c r="B43" s="1567"/>
      <c r="C43" s="1567"/>
      <c r="D43" s="1567"/>
      <c r="E43" s="1567"/>
    </row>
    <row r="44" spans="1:5" s="513" customFormat="1" ht="12.75" customHeight="1">
      <c r="A44" s="1467"/>
      <c r="B44" s="1487"/>
      <c r="C44" s="1487"/>
      <c r="D44" s="1487"/>
      <c r="E44" s="1487"/>
    </row>
    <row r="45" spans="1:5" s="513" customFormat="1" ht="12.75" customHeight="1">
      <c r="A45" s="41" t="str">
        <f>'Overige kap.lasten '!A64</f>
        <v>3.12.1</v>
      </c>
      <c r="B45" s="41" t="str">
        <f>'Overige kap.lasten '!B64</f>
        <v>Niet-geïndexeerde huren 2005 </v>
      </c>
      <c r="C45" s="906"/>
      <c r="D45" s="906"/>
      <c r="E45" s="906"/>
    </row>
    <row r="46" spans="1:5" s="513" customFormat="1" ht="25.5" customHeight="1">
      <c r="A46" s="1624" t="s">
        <v>710</v>
      </c>
      <c r="B46" s="1627"/>
      <c r="C46" s="1627"/>
      <c r="D46" s="1627"/>
      <c r="E46" s="1627"/>
    </row>
    <row r="47" spans="1:5" s="513" customFormat="1" ht="12.75" customHeight="1">
      <c r="A47" s="1245"/>
      <c r="B47" s="1466"/>
      <c r="C47" s="1466"/>
      <c r="D47" s="1466"/>
      <c r="E47" s="1466"/>
    </row>
    <row r="48" spans="1:5" s="513" customFormat="1" ht="12.75" customHeight="1">
      <c r="A48" s="41" t="str">
        <f>'Overige kap.lasten '!A87</f>
        <v>3.12.2</v>
      </c>
      <c r="B48" s="41" t="str">
        <f>'Overige kap.lasten '!B87</f>
        <v>Geïndexeerde huren 2005 </v>
      </c>
      <c r="C48" s="906"/>
      <c r="D48" s="906"/>
      <c r="E48" s="906"/>
    </row>
    <row r="49" spans="1:5" s="513" customFormat="1" ht="38.25" customHeight="1">
      <c r="A49" s="1624" t="s">
        <v>1413</v>
      </c>
      <c r="B49" s="1627"/>
      <c r="C49" s="1627"/>
      <c r="D49" s="1627"/>
      <c r="E49" s="1627"/>
    </row>
    <row r="50" spans="1:5" s="513" customFormat="1" ht="12.75" customHeight="1">
      <c r="A50" s="1245"/>
      <c r="B50" s="1466"/>
      <c r="C50" s="1466"/>
      <c r="D50" s="1466"/>
      <c r="E50" s="1466"/>
    </row>
    <row r="51" spans="1:5" s="513" customFormat="1" ht="12.75" customHeight="1">
      <c r="A51" s="41"/>
      <c r="B51" s="41" t="str">
        <f>'Rentecalc.'!A6</f>
        <v>CALCULATIEMODEL RENTEKOSTEN</v>
      </c>
      <c r="C51" s="627"/>
      <c r="D51" s="627"/>
      <c r="E51" s="628"/>
    </row>
    <row r="52" spans="1:5" s="513" customFormat="1" ht="12.75" customHeight="1">
      <c r="A52" s="41" t="str">
        <f>'A-E'!A6</f>
        <v>A. </v>
      </c>
      <c r="B52" s="41" t="str">
        <f>'A-E'!B6</f>
        <v>Boekwaarde investeringen waarvoor vergunning is verleend</v>
      </c>
      <c r="C52" s="625"/>
      <c r="D52" s="625"/>
      <c r="E52" s="625"/>
    </row>
    <row r="53" spans="1:5" s="513" customFormat="1" ht="51" customHeight="1">
      <c r="A53" s="1624" t="str">
        <f>CONCATENATE("Op regel ",'A-E'!A9," dient u de samenstelling van de boekwaarde per 31 december  ",Voorblad!E3-1," volgens de jaarrekening op te nemen. Deze gegevens zijn exclusief de kosten voor onderhanden projecten van normale WZV-procedures. Op regel ",'A-E'!A11," t/m ",'A-E'!A22," vermeldt u in de eerste kolom de aanschafwaarde van (des)investeringen die in ",Voorblad!E3," in gebruik zijn genomen c.q. buiten gebruik zijn gesteld. In de tweede kolom dient u de maandelijkse nacalculeerbare afschrijvingskosten te vermelden."," Bij desinvesteringen vermeldt u in deze kolom ook de bedragen die tot dan toe in totaal op deze investeringen zijn afgeschreven.")</f>
        <v>Op regel 2401 dient u de samenstelling van de boekwaarde per 31 december  2004 volgens de jaarrekening op te nemen. Deze gegevens zijn exclusief de kosten voor onderhanden projecten van normale WZV-procedures. Op regel 2403 t/m 2414 vermeldt u in de eerste kolom de aanschafwaarde van (des)investeringen die in 2005 in gebruik zijn genomen c.q. buiten gebruik zijn gesteld. In de tweede kolom dient u de maandelijkse nacalculeerbare afschrijvingskosten te vermelden. Bij desinvesteringen vermeldt u in deze kolom ook de bedragen die tot dan toe in totaal op deze investeringen zijn afgeschreven.</v>
      </c>
      <c r="B53" s="1572"/>
      <c r="C53" s="1572"/>
      <c r="D53" s="1572"/>
      <c r="E53" s="1572"/>
    </row>
    <row r="54" spans="1:5" s="513" customFormat="1" ht="12.75" customHeight="1">
      <c r="A54" s="1245"/>
      <c r="B54" s="948"/>
      <c r="C54" s="948"/>
      <c r="D54" s="948"/>
      <c r="E54" s="948"/>
    </row>
    <row r="55" spans="1:5" s="513" customFormat="1" ht="12.75" customHeight="1">
      <c r="A55" s="41" t="str">
        <f>'A-E'!A50</f>
        <v>B.</v>
      </c>
      <c r="B55" s="94" t="str">
        <f>'A-E'!B50</f>
        <v>Onderhanden bouwprojecten met WZV-vergunning (geen investeringen meldingsregeling)</v>
      </c>
      <c r="C55" s="630"/>
      <c r="D55" s="630"/>
      <c r="E55" s="42"/>
    </row>
    <row r="56" spans="1:5" s="513" customFormat="1" ht="38.25" customHeight="1">
      <c r="A56" s="1572" t="str">
        <f>CONCATENATE("Op regel ",'A-E'!A54," dient u in de eerste kolom de kosten voor onderhanden projecten van WZV-vergunningen per 31 december ",Voorblad!E3-1," volgens de jaarrekening op te nemen. U kunt de bedragen vermelden in de maand waarin het uitgevoerde werk is gefactureerd."," In de factor wordt rekening gehouden met een betalingstermijn van 1 maand. In de tweede kolom vult u de onderhanden WZV-investeringen in die in ",Voorblad!E3," in gebruik zijn genomen. ")</f>
        <v>Op regel 2501 dient u in de eerste kolom de kosten voor onderhanden projecten van WZV-vergunningen per 31 december 2004 volgens de jaarrekening op te nemen. U kunt de bedragen vermelden in de maand waarin het uitgevoerde werk is gefactureerd. In de factor wordt rekening gehouden met een betalingstermijn van 1 maand. In de tweede kolom vult u de onderhanden WZV-investeringen in die in 2005 in gebruik zijn genomen. </v>
      </c>
      <c r="B56" s="1572"/>
      <c r="C56" s="1572"/>
      <c r="D56" s="1572"/>
      <c r="E56" s="1572"/>
    </row>
    <row r="57" spans="1:5" s="513" customFormat="1" ht="12.75" customHeight="1">
      <c r="A57" s="948"/>
      <c r="B57" s="948"/>
      <c r="C57" s="948"/>
      <c r="D57" s="948"/>
      <c r="E57" s="948"/>
    </row>
    <row r="58" spans="1:5" ht="12.75" customHeight="1">
      <c r="A58" s="41" t="str">
        <f>'A-E'!A74</f>
        <v>C.</v>
      </c>
      <c r="B58" s="41" t="str">
        <f>'A-E'!B74</f>
        <v>Normatieve boekwaarde medische en overige inventarissen</v>
      </c>
      <c r="C58" s="606"/>
      <c r="D58" s="606"/>
      <c r="E58" s="606"/>
    </row>
    <row r="59" spans="1:5" ht="25.5" customHeight="1">
      <c r="A59" s="1572" t="str">
        <f>CONCATENATE("U dient hier de afschrijvingen volgens de laatste rekenstaat ",Voorblad!E3," in te vullen en deze vervolgens te vermenigvuldigen met de aangegeven factor. Het resultaat is de normatieve boekwaarde van medische en overige inventarissen. ")</f>
        <v>U dient hier de afschrijvingen volgens de laatste rekenstaat 2005 in te vullen en deze vervolgens te vermenigvuldigen met de aangegeven factor. Het resultaat is de normatieve boekwaarde van medische en overige inventarissen. </v>
      </c>
      <c r="B59" s="1572"/>
      <c r="C59" s="1572"/>
      <c r="D59" s="1572"/>
      <c r="E59" s="1572"/>
    </row>
    <row r="60" spans="1:5" ht="12.75" customHeight="1">
      <c r="A60" s="948"/>
      <c r="B60" s="948"/>
      <c r="C60" s="948"/>
      <c r="D60" s="948"/>
      <c r="E60" s="948"/>
    </row>
    <row r="61" spans="1:5" s="456" customFormat="1" ht="15.75" customHeight="1">
      <c r="A61" s="616" t="str">
        <f>Inhoud!$A$2</f>
        <v>Nacalculatieformulier 2005 GGZ-instellingen</v>
      </c>
      <c r="B61" s="542"/>
      <c r="C61" s="586"/>
      <c r="D61" s="586"/>
      <c r="E61" s="1258">
        <f>E31+1</f>
        <v>5</v>
      </c>
    </row>
    <row r="62" spans="1:5" s="456" customFormat="1" ht="12.75" customHeight="1">
      <c r="A62" s="629"/>
      <c r="B62" s="514"/>
      <c r="C62" s="614"/>
      <c r="D62" s="614"/>
      <c r="E62" s="628"/>
    </row>
    <row r="63" spans="1:5" ht="12.75" customHeight="1">
      <c r="A63" s="41" t="str">
        <f>'A-E'!A96</f>
        <v>D.</v>
      </c>
      <c r="B63" s="41" t="str">
        <f>'A-E'!B96</f>
        <v>Werkelijke boekwaarde instandhoudingsinvesteringen (inclusief onderhanden werk)</v>
      </c>
      <c r="C63" s="630"/>
      <c r="D63" s="630"/>
      <c r="E63" s="42"/>
    </row>
    <row r="64" spans="1:5" ht="51" customHeight="1">
      <c r="A64" s="1622" t="str">
        <f>CONCATENATE("Op regel ",'A-E'!A99," dient u de samenstelling van de boekwaarde per 31 december ",Voorblad!E3-1," volgens de jaarrekening op te nemen. Voor instandhoudingsinvesteringen in uitvoering zijn twee varianten mogelijk."," U kunt er voor kiezen de investeringskosten aan het eind van het jaar direct te activeren en de afschrijving daarop in ",Voorblad!E3," te starten. U kunt er ook voor kiezen de investeringskosten te boeken op onderhanden werk. Alleen als u kiest voor de laatste variant dienen de regels ",'A-E'!A101," en ",'A-E'!A115," te worden ingevuld. Evenals in overzicht B wordt ook hier in de toegepaste factoren rekening gehouden met een betalingstermijn van één maand.")</f>
        <v>Op regel 2601 dient u de samenstelling van de boekwaarde per 31 december 2004 volgens de jaarrekening op te nemen. Voor instandhoudingsinvesteringen in uitvoering zijn twee varianten mogelijk. U kunt er voor kiezen de investeringskosten aan het eind van het jaar direct te activeren en de afschrijving daarop in 2005 te starten. U kunt er ook voor kiezen de investeringskosten te boeken op onderhanden werk. Alleen als u kiest voor de laatste variant dienen de regels 2603 en 2617 te worden ingevuld. Evenals in overzicht B wordt ook hier in de toegepaste factoren rekening gehouden met een betalingstermijn van één maand.</v>
      </c>
      <c r="B64" s="1623"/>
      <c r="C64" s="1623"/>
      <c r="D64" s="1623"/>
      <c r="E64" s="1623"/>
    </row>
    <row r="65" s="456" customFormat="1" ht="12" hidden="1">
      <c r="A65" s="455" t="s">
        <v>1046</v>
      </c>
    </row>
    <row r="66" s="456" customFormat="1" ht="12" hidden="1">
      <c r="A66" s="455" t="s">
        <v>1047</v>
      </c>
    </row>
    <row r="67" s="456" customFormat="1" ht="12" hidden="1">
      <c r="A67" s="455" t="s">
        <v>1048</v>
      </c>
    </row>
    <row r="68" s="456" customFormat="1" ht="12" hidden="1">
      <c r="A68" s="455" t="s">
        <v>1049</v>
      </c>
    </row>
    <row r="69" s="456" customFormat="1" ht="12" hidden="1">
      <c r="A69" s="455" t="s">
        <v>1050</v>
      </c>
    </row>
    <row r="70" s="456" customFormat="1" ht="12" hidden="1">
      <c r="A70" s="455" t="s">
        <v>1051</v>
      </c>
    </row>
    <row r="71" s="456" customFormat="1" ht="12" hidden="1">
      <c r="A71" s="455" t="s">
        <v>1052</v>
      </c>
    </row>
    <row r="72" s="456" customFormat="1" ht="12" hidden="1">
      <c r="A72" s="455" t="s">
        <v>1053</v>
      </c>
    </row>
    <row r="73" s="456" customFormat="1" ht="12" hidden="1">
      <c r="A73" s="455" t="s">
        <v>1054</v>
      </c>
    </row>
    <row r="74" s="456" customFormat="1" ht="12" hidden="1">
      <c r="A74" s="455" t="s">
        <v>1055</v>
      </c>
    </row>
    <row r="75" s="456" customFormat="1" ht="12" hidden="1">
      <c r="A75" s="455" t="s">
        <v>1056</v>
      </c>
    </row>
    <row r="76" s="456" customFormat="1" ht="12" hidden="1">
      <c r="A76" s="455" t="s">
        <v>1057</v>
      </c>
    </row>
    <row r="77" s="456" customFormat="1" ht="12.75" customHeight="1">
      <c r="A77" s="455"/>
    </row>
    <row r="78" spans="1:5" ht="12.75" customHeight="1">
      <c r="A78" s="41" t="str">
        <f>'A-E'!A131</f>
        <v>E.</v>
      </c>
      <c r="B78" s="41" t="str">
        <f>'A-E'!B131</f>
        <v>Normatief werkkapitaal</v>
      </c>
      <c r="C78" s="606"/>
      <c r="D78" s="606"/>
      <c r="E78" s="606"/>
    </row>
    <row r="79" spans="1:5" ht="25.5" customHeight="1">
      <c r="A79" s="1623" t="str">
        <f>CONCATENATE("Regel ",'A-E'!A135," is alleen van toepassing op instellingen die als bestendige gedragslijn aan het einde van het jaar tegenover (een deel van) de vakantiegeldverplichting een vordering op de AWBZ in de balans opnemen."," Het in te vullen bedrag is in beginsel gelijk aan de reservering in het jaar voorafgaande aan het jaar waarin de budgettering werd ingevoerd.")</f>
        <v>Regel 2624 is alleen van toepassing op instellingen die als bestendige gedragslijn aan het einde van het jaar tegenover (een deel van) de vakantiegeldverplichting een vordering op de AWBZ in de balans opnemen. Het in te vullen bedrag is in beginsel gelijk aan de reservering in het jaar voorafgaande aan het jaar waarin de budgettering werd ingevoerd.</v>
      </c>
      <c r="B79" s="1623"/>
      <c r="C79" s="1623"/>
      <c r="D79" s="1623"/>
      <c r="E79" s="1623"/>
    </row>
    <row r="80" spans="1:5" ht="12.75" customHeight="1">
      <c r="A80" s="606"/>
      <c r="B80" s="606"/>
      <c r="C80" s="606"/>
      <c r="D80" s="606"/>
      <c r="E80" s="606"/>
    </row>
    <row r="81" spans="1:5" s="456" customFormat="1" ht="12.75" customHeight="1">
      <c r="A81" s="41" t="str">
        <f>F!A4</f>
        <v>F. </v>
      </c>
      <c r="B81" s="41" t="str">
        <f>F!B4</f>
        <v>Langlopende leningen (incl. langlopende leasecontracten) </v>
      </c>
      <c r="C81" s="624"/>
      <c r="D81" s="624"/>
      <c r="E81" s="42"/>
    </row>
    <row r="82" spans="1:5" s="1364" customFormat="1" ht="12.75" customHeight="1">
      <c r="A82" s="1572"/>
      <c r="B82" s="1567"/>
      <c r="C82" s="1567"/>
      <c r="D82" s="1567"/>
      <c r="E82" s="1567"/>
    </row>
    <row r="83" spans="1:5" s="1364" customFormat="1" ht="12.75" customHeight="1">
      <c r="A83" s="1567"/>
      <c r="B83" s="1567"/>
      <c r="C83" s="1567"/>
      <c r="D83" s="1567"/>
      <c r="E83" s="1567"/>
    </row>
    <row r="84" spans="1:5" s="1364" customFormat="1" ht="12.75" customHeight="1">
      <c r="A84" s="1572" t="s">
        <v>1060</v>
      </c>
      <c r="B84" s="1567"/>
      <c r="C84" s="1567"/>
      <c r="D84" s="1567"/>
      <c r="E84" s="1567"/>
    </row>
    <row r="85" spans="1:5" s="1364" customFormat="1" ht="12.75" customHeight="1">
      <c r="A85" s="1567"/>
      <c r="B85" s="1567"/>
      <c r="C85" s="1567"/>
      <c r="D85" s="1567"/>
      <c r="E85" s="1567"/>
    </row>
    <row r="86" spans="1:5" s="1364" customFormat="1" ht="12.75" customHeight="1">
      <c r="A86" s="1567"/>
      <c r="B86" s="1567"/>
      <c r="C86" s="1567"/>
      <c r="D86" s="1567"/>
      <c r="E86" s="1567"/>
    </row>
    <row r="87" spans="1:5" s="456" customFormat="1" ht="25.5" customHeight="1">
      <c r="A87" s="1572" t="str">
        <f>CONCATENATE("2. In de kolom 'Datum normrente' moet voor leningen die in ",Voorblad!E3," zijn afgesloten de datum worden vermeld waarop het berekende normpercentage is vastgesteld. Dit is de datum waarop de leningsovereenkomst tot stand is gekomen.")</f>
        <v>2. In de kolom 'Datum normrente' moet voor leningen die in 2005 zijn afgesloten de datum worden vermeld waarop het berekende normpercentage is vastgesteld. Dit is de datum waarop de leningsovereenkomst tot stand is gekomen.</v>
      </c>
      <c r="B87" s="1564"/>
      <c r="C87" s="1564"/>
      <c r="D87" s="1564"/>
      <c r="E87" s="1564"/>
    </row>
    <row r="88" spans="1:5" s="456" customFormat="1" ht="12.75" customHeight="1">
      <c r="A88" s="948"/>
      <c r="B88" s="1464"/>
      <c r="C88" s="1464"/>
      <c r="D88" s="1464"/>
      <c r="E88" s="1464"/>
    </row>
    <row r="89" spans="1:5" s="456" customFormat="1" ht="51" customHeight="1">
      <c r="A89" s="1572" t="str">
        <f>CONCATENATE("3. In de kolom 'einddatum rentevastperiode' dient de datum worden opgenomen waarop het huidige rentepercentage expireert. Als een bestaande lening in ",Voorblad!E3," vervroegd is afgelost kunt u bij de vervangende lening in deze kolom de datum vermelden waarop de oorspronkelijke rentevastperiode zou aflopen, echter met een maximum van vijf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f>
        <v>3. In de kolom 'einddatum rentevastperiode' dient de datum worden opgenomen waarop het huidige rentepercentage expireert. Als een bestaande lening in 2005 vervroegd is afgelost kunt u bij de vervangende lening in deze kolom de datum vermelden waarop de oorspronkelijke rentevastperiode zou aflopen, echter met een maximum van vijf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v>
      </c>
      <c r="B89" s="1564"/>
      <c r="C89" s="1564"/>
      <c r="D89" s="1564"/>
      <c r="E89" s="1564"/>
    </row>
    <row r="90" spans="1:5" s="456" customFormat="1" ht="12.75" customHeight="1">
      <c r="A90" s="948"/>
      <c r="B90" s="1464"/>
      <c r="C90" s="1464"/>
      <c r="D90" s="1464"/>
      <c r="E90" s="1464"/>
    </row>
    <row r="91" spans="1:5" s="456" customFormat="1" ht="25.5" customHeight="1">
      <c r="A91" s="1572" t="s">
        <v>1310</v>
      </c>
      <c r="B91" s="1564"/>
      <c r="C91" s="1564"/>
      <c r="D91" s="1564"/>
      <c r="E91" s="1564"/>
    </row>
    <row r="92" spans="1:5" s="456" customFormat="1" ht="12.75" customHeight="1">
      <c r="A92" s="948"/>
      <c r="B92" s="1464"/>
      <c r="C92" s="1464"/>
      <c r="D92" s="1464"/>
      <c r="E92" s="1464"/>
    </row>
    <row r="93" spans="1:5" s="456" customFormat="1" ht="38.25" customHeight="1">
      <c r="A93" s="1572" t="s">
        <v>1311</v>
      </c>
      <c r="B93" s="1564"/>
      <c r="C93" s="1564"/>
      <c r="D93" s="1564"/>
      <c r="E93" s="1564"/>
    </row>
    <row r="94" spans="1:5" s="456" customFormat="1" ht="12.75" customHeight="1">
      <c r="A94" s="948"/>
      <c r="B94" s="1464"/>
      <c r="C94" s="1464"/>
      <c r="D94" s="1464"/>
      <c r="E94" s="1464"/>
    </row>
    <row r="95" spans="1:5" s="456" customFormat="1" ht="38.25" customHeight="1">
      <c r="A95" s="1625" t="str">
        <f>CONCATENATE("6. In de kolommen van 'Storting/Aflossing ",Voorblad!E3,"'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f>
        <v>6. In de kolommen van 'Storting/Aflossing 2005'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v>
      </c>
      <c r="B95" s="1565"/>
      <c r="C95" s="1565"/>
      <c r="D95" s="1565"/>
      <c r="E95" s="1565"/>
    </row>
    <row r="96" spans="1:5" s="456" customFormat="1" ht="12.75" customHeight="1">
      <c r="A96" s="1488"/>
      <c r="B96" s="1072"/>
      <c r="C96" s="1072"/>
      <c r="D96" s="1072"/>
      <c r="E96" s="1072"/>
    </row>
    <row r="97" spans="1:5" s="456" customFormat="1" ht="25.5" customHeight="1">
      <c r="A97" s="1565" t="s">
        <v>1312</v>
      </c>
      <c r="B97" s="1565"/>
      <c r="C97" s="1565"/>
      <c r="D97" s="1565"/>
      <c r="E97" s="1565"/>
    </row>
    <row r="98" spans="1:5" s="456" customFormat="1" ht="12.75" customHeight="1">
      <c r="A98" s="1572"/>
      <c r="B98" s="1564"/>
      <c r="C98" s="1564"/>
      <c r="D98" s="1564"/>
      <c r="E98" s="1564"/>
    </row>
    <row r="99" spans="1:5" s="456" customFormat="1" ht="12.75" customHeight="1">
      <c r="A99" s="1072"/>
      <c r="B99" s="1072"/>
      <c r="C99" s="1072"/>
      <c r="D99" s="1072"/>
      <c r="E99" s="1072"/>
    </row>
    <row r="100" spans="1:5" s="456" customFormat="1" ht="15.75" customHeight="1">
      <c r="A100" s="616" t="str">
        <f>Inhoud!$A$2</f>
        <v>Nacalculatieformulier 2005 GGZ-instellingen</v>
      </c>
      <c r="B100" s="542"/>
      <c r="C100" s="586"/>
      <c r="D100" s="586"/>
      <c r="E100" s="1258">
        <f>E61+1</f>
        <v>6</v>
      </c>
    </row>
    <row r="101" spans="1:5" s="456" customFormat="1" ht="12.75" customHeight="1">
      <c r="A101" s="1072"/>
      <c r="B101" s="1072"/>
      <c r="C101" s="1072"/>
      <c r="D101" s="1072"/>
      <c r="E101" s="1072"/>
    </row>
    <row r="102" spans="1:5" s="456" customFormat="1" ht="12.75" customHeight="1">
      <c r="A102" s="41" t="str">
        <f>'G-H'!A5</f>
        <v>G. </v>
      </c>
      <c r="B102" s="41" t="str">
        <f>'G-H'!B5</f>
        <v>Eigen vermogen</v>
      </c>
      <c r="C102" s="1072"/>
      <c r="D102" s="1072"/>
      <c r="E102" s="1072"/>
    </row>
    <row r="103" spans="1:5" s="456" customFormat="1" ht="51" customHeight="1">
      <c r="A103" s="1566" t="str">
        <f>CONCATENATE(" Op regel ",'G-H'!A21,"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","Deze regel is niet bedoeld voor investeringen waarvan de kosten  uit andere hoofde moeten worden gedekt. Zoals bijvoorbeeld bij gebouwen van RIAGG's / RIBW's.")</f>
        <v> Op regel 2915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Deze regel is niet bedoeld voor investeringen waarvan de kosten  uit andere hoofde moeten worden gedekt. Zoals bijvoorbeeld bij gebouwen van RIAGG's / RIBW's.</v>
      </c>
      <c r="B103" s="1572"/>
      <c r="C103" s="1572"/>
      <c r="D103" s="1572"/>
      <c r="E103" s="1572"/>
    </row>
    <row r="104" spans="1:5" s="456" customFormat="1" ht="12.75" customHeight="1">
      <c r="A104" s="1486"/>
      <c r="B104" s="948"/>
      <c r="C104" s="948"/>
      <c r="D104" s="948"/>
      <c r="E104" s="948"/>
    </row>
    <row r="105" spans="2:5" s="456" customFormat="1" ht="12.75" customHeight="1">
      <c r="B105" s="460" t="s">
        <v>1414</v>
      </c>
      <c r="C105" s="42"/>
      <c r="D105" s="42"/>
      <c r="E105" s="42"/>
    </row>
    <row r="106" spans="1:5" s="456" customFormat="1" ht="25.5" customHeight="1">
      <c r="A106" s="1625" t="str">
        <f>CONCATENATE("In de berekening van de aanvaardbare kosten door middel van het nacalculatieformulier zit een cirkelredenering, die (indien gewenst) met behulp van regel ",'G-H'!A20," kan worden voorkomen. U gaat als volgt te werk:")</f>
        <v>In de berekening van de aanvaardbare kosten door middel van het nacalculatieformulier zit een cirkelredenering, die (indien gewenst) met behulp van regel 2914 kan worden voorkomen. U gaat als volgt te werk:</v>
      </c>
      <c r="B106" s="1565"/>
      <c r="C106" s="1565"/>
      <c r="D106" s="1565"/>
      <c r="E106" s="1565"/>
    </row>
    <row r="107" spans="1:5" s="456" customFormat="1" ht="38.25" customHeight="1">
      <c r="A107" s="1565" t="str">
        <f>CONCATENATE("Stap 1. Vul het nacalculatieformulier volledig in met uitzondering van regel ",'G-H'!A9," , kolom ",'G-H'!D6,". Neem op deze regel het bedrag van kolom ",'G-H'!C6," over. Er wordt hierbij van C104uitgegaan dat alle overige mutaties op de onderdelen van het eigen vermogen slaan."," Deze berekening levert een voorlopig bedrag aanvaardbare kosten op, waaruit vervolgens een voorlopige mutatie van de Reserve aanvaardbare kosten kan worden afgeleid.")</f>
        <v>Stap 1. Vul het nacalculatieformulier volledig in met uitzondering van regel 2903 , kolom 31-12-2005 . Neem op deze regel het bedrag van kolom 31-12-2004  over. Er wordt hierbij van C104uitgegaan dat alle overige mutaties op de onderdelen van het eigen vermogen slaan. Deze berekening levert een voorlopig bedrag aanvaardbare kosten op, waaruit vervolgens een voorlopige mutatie van de Reserve aanvaardbare kosten kan worden afgeleid.</v>
      </c>
      <c r="B107" s="1565"/>
      <c r="C107" s="1565"/>
      <c r="D107" s="1565"/>
      <c r="E107" s="1565"/>
    </row>
    <row r="108" spans="1:5" s="456" customFormat="1" ht="25.5" customHeight="1">
      <c r="A108" s="1565" t="str">
        <f>CONCATENATE("Stap 2. Verwerk de voorlopige mutatie van de Reserve aanvaardbare kosten op regel ",'G-H'!A9," , kolom ",'G-H'!D6,". Hieruit volgt de berekening van het definitieve bedrag aanvaardbare kosten en dus ook de definitieve mutatie van de Reserve aanvaardbare kosten.")</f>
        <v>Stap 2. Verwerk de voorlopige mutatie van de Reserve aanvaardbare kosten op regel 2903 , kolom 31-12-2005 . Hieruit volgt de berekening van het definitieve bedrag aanvaardbare kosten en dus ook de definitieve mutatie van de Reserve aanvaardbare kosten.</v>
      </c>
      <c r="B108" s="1565"/>
      <c r="C108" s="1565"/>
      <c r="D108" s="1565"/>
      <c r="E108" s="1565"/>
    </row>
    <row r="109" spans="1:5" s="456" customFormat="1" ht="25.5" customHeight="1">
      <c r="A109" s="1565" t="str">
        <f>CONCATENATE("Stap 3. Verwerk de definitieve mutatie van de Reserve aanvaardbare kosten op regel ",'G-H'!A9," , kolom ",'G-H'!D6," en vul op regel ",'G-H'!A20," het verschil in tussen de voorlopige en de definitieve mutatie Reserve aanvaardbare kosten. De aanvaardbare kosten volgens de jaarrekening sluiten nu aan bij de aanvaardbare kosten volgens het nacalculatieformulier.")</f>
        <v>Stap 3. Verwerk de definitieve mutatie van de Reserve aanvaardbare kosten op regel 2903 , kolom 31-12-2005  en vul op regel 2914 het verschil in tussen de voorlopige en de definitieve mutatie Reserve aanvaardbare kosten. De aanvaardbare kosten volgens de jaarrekening sluiten nu aan bij de aanvaardbare kosten volgens het nacalculatieformulier.</v>
      </c>
      <c r="B109" s="1565"/>
      <c r="C109" s="1565"/>
      <c r="D109" s="1565"/>
      <c r="E109" s="1565"/>
    </row>
    <row r="110" spans="1:5" s="456" customFormat="1" ht="25.5" customHeight="1">
      <c r="A110" s="1565" t="str">
        <f>CONCATENATE("Opmerking: Als na het vaststellen van de jaarrekening nog veranderingen worden aangebracht in de gegevens van het nacalculatieformulier, ","sluit het bedrag van de aanvaardbare kosten confom het nacalculatieformulier niet langer aan bij de aanvaardbare kosten volgens de jaarrekening. In dat geval hoeft regel ",'G-H'!A21," niet ingevuld te worden.")</f>
        <v>Opmerking: Als na het vaststellen van de jaarrekening nog veranderingen worden aangebracht in de gegevens van het nacalculatieformulier, sluit het bedrag van de aanvaardbare kosten confom het nacalculatieformulier niet langer aan bij de aanvaardbare kosten volgens de jaarrekening. In dat geval hoeft regel 2915 niet ingevuld te worden.</v>
      </c>
      <c r="B110" s="1565"/>
      <c r="C110" s="1565"/>
      <c r="D110" s="1565"/>
      <c r="E110" s="1565"/>
    </row>
    <row r="111" spans="1:5" s="456" customFormat="1" ht="12.75" customHeight="1">
      <c r="A111" s="1072"/>
      <c r="B111" s="1072"/>
      <c r="C111" s="1072"/>
      <c r="D111" s="1072"/>
      <c r="E111" s="1072"/>
    </row>
    <row r="112" spans="1:5" ht="12.75" customHeight="1">
      <c r="A112" s="41" t="str">
        <f>'G-H'!A28</f>
        <v>H. </v>
      </c>
      <c r="B112" s="41" t="str">
        <f>'G-H'!B28</f>
        <v>Rentekosten langlopende leningen</v>
      </c>
      <c r="C112" s="42"/>
      <c r="D112" s="42"/>
      <c r="E112" s="42"/>
    </row>
    <row r="113" spans="1:5" ht="25.5" customHeight="1">
      <c r="A113" s="1566" t="str">
        <f>CONCATENATE("De rente van langlopende leningen op regel ",'G-H'!A30," dient te corresponderen met de leningen die in het overzicht onder F zijn vermeld. Als op regel ",'G-H'!A33," rentekosten zijn vermeld van leasecontracten dient op regel ",F!A38," het daarmee corresponderende leningbedrag te worden vermeld.")</f>
        <v>De rente van langlopende leningen op regel 2920 dient te corresponderen met de leningen die in het overzicht onder F zijn vermeld. Als op regel 2923 rentekosten zijn vermeld van leasecontracten dient op regel 2732 het daarmee corresponderende leningbedrag te worden vermeld.</v>
      </c>
      <c r="B113" s="1572"/>
      <c r="C113" s="1572"/>
      <c r="D113" s="1572"/>
      <c r="E113" s="1572"/>
    </row>
    <row r="114" spans="1:5" ht="12.75" customHeight="1">
      <c r="A114" s="1486"/>
      <c r="B114" s="948"/>
      <c r="C114" s="948"/>
      <c r="D114" s="948"/>
      <c r="E114" s="948"/>
    </row>
    <row r="115" ht="12.75" customHeight="1">
      <c r="B115" s="460" t="s">
        <v>1181</v>
      </c>
    </row>
    <row r="116" spans="1:5" ht="51" customHeight="1">
      <c r="A116" s="1572" t="s">
        <v>647</v>
      </c>
      <c r="B116" s="1572"/>
      <c r="C116" s="1572"/>
      <c r="D116" s="1572"/>
      <c r="E116" s="1572"/>
    </row>
  </sheetData>
  <sheetProtection password="958F" sheet="1" objects="1" scenarios="1"/>
  <mergeCells count="37">
    <mergeCell ref="A53:E53"/>
    <mergeCell ref="A26:E26"/>
    <mergeCell ref="A46:E46"/>
    <mergeCell ref="A40:E40"/>
    <mergeCell ref="A49:E49"/>
    <mergeCell ref="A43:E43"/>
    <mergeCell ref="A29:E29"/>
    <mergeCell ref="A116:E116"/>
    <mergeCell ref="A113:E113"/>
    <mergeCell ref="A34:E34"/>
    <mergeCell ref="A106:E106"/>
    <mergeCell ref="A64:E64"/>
    <mergeCell ref="A95:E95"/>
    <mergeCell ref="A79:E79"/>
    <mergeCell ref="A59:E59"/>
    <mergeCell ref="A93:E93"/>
    <mergeCell ref="A37:E37"/>
    <mergeCell ref="A82:E83"/>
    <mergeCell ref="A84:E86"/>
    <mergeCell ref="A56:E56"/>
    <mergeCell ref="A7:E7"/>
    <mergeCell ref="A8:E8"/>
    <mergeCell ref="A11:E11"/>
    <mergeCell ref="A20:E20"/>
    <mergeCell ref="A17:E17"/>
    <mergeCell ref="A14:E14"/>
    <mergeCell ref="A23:E23"/>
    <mergeCell ref="A91:E91"/>
    <mergeCell ref="A87:E87"/>
    <mergeCell ref="A109:E109"/>
    <mergeCell ref="A110:E110"/>
    <mergeCell ref="A97:E97"/>
    <mergeCell ref="A107:E107"/>
    <mergeCell ref="A103:E103"/>
    <mergeCell ref="A108:E108"/>
    <mergeCell ref="A98:E98"/>
    <mergeCell ref="A89:E89"/>
  </mergeCells>
  <printOptions/>
  <pageMargins left="0.3937007874015748" right="0.3937007874015748" top="0.3937007874015748" bottom="0.3937007874015748" header="0.5118110236220472" footer="0.11811023622047245"/>
  <pageSetup fitToHeight="3" horizontalDpi="300" verticalDpi="300" orientation="landscape" paperSize="9" scale="95" r:id="rId2"/>
  <rowBreaks count="3" manualBreakCount="3">
    <brk id="29" max="4" man="1"/>
    <brk id="59" max="4" man="1"/>
    <brk id="98" max="4" man="1"/>
  </rowBreaks>
  <drawing r:id="rId1"/>
</worksheet>
</file>

<file path=xl/worksheets/sheet5.xml><?xml version="1.0" encoding="utf-8"?>
<worksheet xmlns="http://schemas.openxmlformats.org/spreadsheetml/2006/main" xmlns:r="http://schemas.openxmlformats.org/officeDocument/2006/relationships">
  <sheetPr codeName="Blad5"/>
  <dimension ref="A1:P234"/>
  <sheetViews>
    <sheetView showGridLines="0" zoomScale="86" zoomScaleNormal="86" zoomScaleSheetLayoutView="86" workbookViewId="0" topLeftCell="A1">
      <selection activeCell="A2" sqref="A2"/>
    </sheetView>
  </sheetViews>
  <sheetFormatPr defaultColWidth="9.140625" defaultRowHeight="12.75"/>
  <cols>
    <col min="1" max="1" width="4.57421875" style="455" customWidth="1"/>
    <col min="2" max="2" width="4.7109375" style="456" customWidth="1"/>
    <col min="3" max="3" width="30.28125" style="456" customWidth="1"/>
    <col min="4" max="4" width="10.8515625" style="459" customWidth="1"/>
    <col min="5" max="5" width="7.8515625" style="456" customWidth="1"/>
    <col min="6" max="6" width="12.00390625" style="456" customWidth="1"/>
    <col min="7" max="7" width="1.8515625" style="458" customWidth="1"/>
    <col min="8" max="8" width="4.7109375" style="451" customWidth="1"/>
    <col min="9" max="9" width="5.00390625" style="453" customWidth="1"/>
    <col min="10" max="10" width="29.421875" style="453" customWidth="1"/>
    <col min="11" max="11" width="13.00390625" style="453" customWidth="1"/>
    <col min="12" max="12" width="7.8515625" style="453" customWidth="1"/>
    <col min="13" max="13" width="13.8515625" style="453" customWidth="1"/>
    <col min="14" max="21" width="9.140625" style="453" customWidth="1"/>
    <col min="22" max="22" width="1.7109375" style="453" customWidth="1"/>
    <col min="23" max="16384" width="9.140625" style="453" customWidth="1"/>
  </cols>
  <sheetData>
    <row r="1" spans="4:7" ht="15.75" customHeight="1">
      <c r="D1" s="575"/>
      <c r="G1" s="453"/>
    </row>
    <row r="2" spans="1:13" s="513" customFormat="1" ht="15.75" customHeight="1">
      <c r="A2" s="616" t="str">
        <f>Inhoud!$A$2</f>
        <v>Nacalculatieformulier 2005 GGZ-instellingen</v>
      </c>
      <c r="B2" s="631"/>
      <c r="C2" s="631"/>
      <c r="D2" s="631"/>
      <c r="E2" s="631"/>
      <c r="F2" s="542"/>
      <c r="G2" s="542"/>
      <c r="H2" s="635" t="b">
        <f>Voorblad!E28</f>
        <v>1</v>
      </c>
      <c r="I2" s="631"/>
      <c r="J2" s="635"/>
      <c r="K2" s="631"/>
      <c r="L2" s="631"/>
      <c r="M2" s="1258">
        <f>instructie!E100+1</f>
        <v>7</v>
      </c>
    </row>
    <row r="3" spans="1:13" ht="12">
      <c r="A3" s="41"/>
      <c r="B3" s="42"/>
      <c r="C3" s="42"/>
      <c r="D3" s="43"/>
      <c r="E3" s="42"/>
      <c r="F3" s="90"/>
      <c r="G3" s="603"/>
      <c r="H3" s="656"/>
      <c r="I3" s="603"/>
      <c r="J3" s="603"/>
      <c r="K3" s="603"/>
      <c r="L3" s="603"/>
      <c r="M3" s="603"/>
    </row>
    <row r="4" spans="1:13" ht="12.75" customHeight="1">
      <c r="A4" s="14" t="str">
        <f>CONCATENATE("RUBRIEK 1: NACALCULATIE PRODUCTIE")</f>
        <v>RUBRIEK 1: NACALCULATIE PRODUCTIE</v>
      </c>
      <c r="B4" s="95"/>
      <c r="C4" s="95"/>
      <c r="D4" s="636"/>
      <c r="E4" s="603"/>
      <c r="F4" s="95"/>
      <c r="G4" s="656"/>
      <c r="H4" s="603"/>
      <c r="I4" s="603"/>
      <c r="J4" s="603"/>
      <c r="K4" s="603"/>
      <c r="L4" s="603"/>
      <c r="M4" s="603"/>
    </row>
    <row r="5" spans="1:13" ht="12.75" customHeight="1">
      <c r="A5" s="41" t="s">
        <v>1272</v>
      </c>
      <c r="B5" s="639" t="s">
        <v>1273</v>
      </c>
      <c r="C5" s="95"/>
      <c r="D5" s="636"/>
      <c r="E5" s="603"/>
      <c r="F5" s="95"/>
      <c r="G5" s="656"/>
      <c r="H5" s="603"/>
      <c r="I5" s="603"/>
      <c r="J5" s="603"/>
      <c r="K5" s="603"/>
      <c r="L5" s="603"/>
      <c r="M5" s="603"/>
    </row>
    <row r="6" spans="1:13" ht="12.75" customHeight="1">
      <c r="A6" s="603"/>
      <c r="B6" s="603"/>
      <c r="C6" s="639"/>
      <c r="D6" s="639"/>
      <c r="E6" s="639"/>
      <c r="F6" s="639"/>
      <c r="G6" s="639"/>
      <c r="H6" s="603"/>
      <c r="I6" s="603"/>
      <c r="J6" s="603"/>
      <c r="K6" s="603"/>
      <c r="L6" s="603"/>
      <c r="M6" s="603"/>
    </row>
    <row r="7" spans="1:13" ht="12">
      <c r="A7" s="41"/>
      <c r="B7" s="1124" t="s">
        <v>1118</v>
      </c>
      <c r="C7" s="1125"/>
      <c r="D7" s="641" t="s">
        <v>975</v>
      </c>
      <c r="E7" s="642" t="s">
        <v>1215</v>
      </c>
      <c r="F7" s="642" t="s">
        <v>974</v>
      </c>
      <c r="H7" s="1246"/>
      <c r="I7" s="1124" t="s">
        <v>1130</v>
      </c>
      <c r="J7" s="1126"/>
      <c r="K7" s="641" t="s">
        <v>975</v>
      </c>
      <c r="L7" s="642" t="s">
        <v>1215</v>
      </c>
      <c r="M7" s="642" t="s">
        <v>974</v>
      </c>
    </row>
    <row r="8" spans="1:13" ht="12">
      <c r="A8" s="761">
        <f>(100*M2)+1</f>
        <v>701</v>
      </c>
      <c r="B8" s="1123" t="s">
        <v>1175</v>
      </c>
      <c r="C8" s="1123" t="s">
        <v>1277</v>
      </c>
      <c r="D8" s="434"/>
      <c r="E8" s="665">
        <f>VLOOKUP(B8,Uitvoerbestand!$A$1:$I$185,9,FALSE)</f>
        <v>66.44</v>
      </c>
      <c r="F8" s="433">
        <f aca="true" t="shared" si="0" ref="F8:F13">D8*E8</f>
        <v>0</v>
      </c>
      <c r="G8" s="579"/>
      <c r="H8" s="761">
        <f>A36+1</f>
        <v>726</v>
      </c>
      <c r="I8" s="1123" t="s">
        <v>1198</v>
      </c>
      <c r="J8" s="1123" t="s">
        <v>1136</v>
      </c>
      <c r="K8" s="434"/>
      <c r="L8" s="665">
        <f>VLOOKUP(I8,Uitvoerbestand!$A$1:$I$185,9,FALSE)</f>
        <v>185.68</v>
      </c>
      <c r="M8" s="433">
        <f aca="true" t="shared" si="1" ref="M8:M13">K8*L8</f>
        <v>0</v>
      </c>
    </row>
    <row r="9" spans="1:13" ht="12">
      <c r="A9" s="761">
        <f aca="true" t="shared" si="2" ref="A9:A14">A8+1</f>
        <v>702</v>
      </c>
      <c r="B9" s="645" t="s">
        <v>1176</v>
      </c>
      <c r="C9" s="645" t="s">
        <v>1278</v>
      </c>
      <c r="D9" s="434"/>
      <c r="E9" s="665">
        <f>VLOOKUP(B9,Uitvoerbestand!$A$1:$I$185,9,FALSE)</f>
        <v>80.69</v>
      </c>
      <c r="F9" s="433">
        <f t="shared" si="0"/>
        <v>0</v>
      </c>
      <c r="G9" s="579"/>
      <c r="H9" s="761">
        <f aca="true" t="shared" si="3" ref="H9:H14">H8+1</f>
        <v>727</v>
      </c>
      <c r="I9" s="645" t="s">
        <v>1199</v>
      </c>
      <c r="J9" s="645" t="s">
        <v>1137</v>
      </c>
      <c r="K9" s="434"/>
      <c r="L9" s="665">
        <f>VLOOKUP(I9,Uitvoerbestand!$A$1:$I$185,9,FALSE)</f>
        <v>244.17</v>
      </c>
      <c r="M9" s="433">
        <f t="shared" si="1"/>
        <v>0</v>
      </c>
    </row>
    <row r="10" spans="1:13" ht="12">
      <c r="A10" s="761">
        <f t="shared" si="2"/>
        <v>703</v>
      </c>
      <c r="B10" s="645" t="s">
        <v>1177</v>
      </c>
      <c r="C10" s="645" t="s">
        <v>1119</v>
      </c>
      <c r="D10" s="434"/>
      <c r="E10" s="665">
        <f>VLOOKUP(B10,Uitvoerbestand!$A$1:$I$185,9,FALSE)</f>
        <v>104.6</v>
      </c>
      <c r="F10" s="433">
        <f t="shared" si="0"/>
        <v>0</v>
      </c>
      <c r="G10" s="579"/>
      <c r="H10" s="761">
        <f t="shared" si="3"/>
        <v>728</v>
      </c>
      <c r="I10" s="645" t="s">
        <v>1200</v>
      </c>
      <c r="J10" s="645" t="s">
        <v>1138</v>
      </c>
      <c r="K10" s="434"/>
      <c r="L10" s="665">
        <f>VLOOKUP(I10,Uitvoerbestand!$A$1:$I$185,9,FALSE)</f>
        <v>188.87</v>
      </c>
      <c r="M10" s="433">
        <f t="shared" si="1"/>
        <v>0</v>
      </c>
    </row>
    <row r="11" spans="1:13" ht="12">
      <c r="A11" s="761">
        <f t="shared" si="2"/>
        <v>704</v>
      </c>
      <c r="B11" s="645" t="s">
        <v>1178</v>
      </c>
      <c r="C11" s="645" t="s">
        <v>1120</v>
      </c>
      <c r="D11" s="434"/>
      <c r="E11" s="665">
        <f>VLOOKUP(B11,Uitvoerbestand!$A$1:$I$185,9,FALSE)</f>
        <v>113.28999999999999</v>
      </c>
      <c r="F11" s="433">
        <f t="shared" si="0"/>
        <v>0</v>
      </c>
      <c r="G11" s="579"/>
      <c r="H11" s="761">
        <f t="shared" si="3"/>
        <v>729</v>
      </c>
      <c r="I11" s="645" t="s">
        <v>1201</v>
      </c>
      <c r="J11" s="645" t="s">
        <v>1139</v>
      </c>
      <c r="K11" s="434"/>
      <c r="L11" s="665">
        <f>VLOOKUP(I11,Uitvoerbestand!$A$1:$I$185,9,FALSE)</f>
        <v>282.14000000000004</v>
      </c>
      <c r="M11" s="433">
        <f t="shared" si="1"/>
        <v>0</v>
      </c>
    </row>
    <row r="12" spans="1:13" ht="12">
      <c r="A12" s="761">
        <f t="shared" si="2"/>
        <v>705</v>
      </c>
      <c r="B12" s="645" t="s">
        <v>1179</v>
      </c>
      <c r="C12" s="645" t="s">
        <v>1279</v>
      </c>
      <c r="D12" s="434"/>
      <c r="E12" s="665">
        <f>VLOOKUP(B12,Uitvoerbestand!$A$1:$I$185,9,FALSE)</f>
        <v>151.66</v>
      </c>
      <c r="F12" s="433">
        <f t="shared" si="0"/>
        <v>0</v>
      </c>
      <c r="G12" s="579"/>
      <c r="H12" s="761">
        <f t="shared" si="3"/>
        <v>730</v>
      </c>
      <c r="I12" s="645" t="s">
        <v>1202</v>
      </c>
      <c r="J12" s="645" t="s">
        <v>1140</v>
      </c>
      <c r="K12" s="434"/>
      <c r="L12" s="665">
        <f>VLOOKUP(I12,Uitvoerbestand!$A$1:$I$185,9,FALSE)</f>
        <v>241.76</v>
      </c>
      <c r="M12" s="433">
        <f t="shared" si="1"/>
        <v>0</v>
      </c>
    </row>
    <row r="13" spans="1:13" ht="12">
      <c r="A13" s="761">
        <f t="shared" si="2"/>
        <v>706</v>
      </c>
      <c r="B13" s="36" t="s">
        <v>1182</v>
      </c>
      <c r="C13" s="36" t="s">
        <v>1121</v>
      </c>
      <c r="D13" s="764"/>
      <c r="E13" s="665">
        <f>VLOOKUP(B13,Uitvoerbestand!$A$1:$I$185,9,FALSE)</f>
        <v>204.92</v>
      </c>
      <c r="F13" s="765">
        <f t="shared" si="0"/>
        <v>0</v>
      </c>
      <c r="G13" s="579"/>
      <c r="H13" s="761">
        <f t="shared" si="3"/>
        <v>731</v>
      </c>
      <c r="I13" s="36" t="s">
        <v>1203</v>
      </c>
      <c r="J13" s="36" t="s">
        <v>1141</v>
      </c>
      <c r="K13" s="434"/>
      <c r="L13" s="665">
        <f>VLOOKUP(I13,Uitvoerbestand!$A$1:$I$185,9,FALSE)</f>
        <v>304.65000000000003</v>
      </c>
      <c r="M13" s="765">
        <f t="shared" si="1"/>
        <v>0</v>
      </c>
    </row>
    <row r="14" spans="1:13" ht="12">
      <c r="A14" s="761">
        <f t="shared" si="2"/>
        <v>707</v>
      </c>
      <c r="B14" s="762" t="str">
        <f>CONCATENATE("Totaal regel ",A8," t/m ",A13,)</f>
        <v>Totaal regel 701 t/m 706</v>
      </c>
      <c r="C14" s="763"/>
      <c r="D14" s="766">
        <f>SUM(D8:D13)</f>
        <v>0</v>
      </c>
      <c r="E14" s="767"/>
      <c r="F14" s="766">
        <f>SUM(F8:F13)</f>
        <v>0</v>
      </c>
      <c r="G14" s="581"/>
      <c r="H14" s="761">
        <f t="shared" si="3"/>
        <v>732</v>
      </c>
      <c r="I14" s="762" t="str">
        <f>CONCATENATE("Totaal regel ",H8," t/m ",H13,)</f>
        <v>Totaal regel 726 t/m 731</v>
      </c>
      <c r="J14" s="763"/>
      <c r="K14" s="766">
        <f>SUM(K8:K13)</f>
        <v>0</v>
      </c>
      <c r="L14" s="767"/>
      <c r="M14" s="766">
        <f>SUM(M8:M13)</f>
        <v>0</v>
      </c>
    </row>
    <row r="15" spans="1:14" ht="12">
      <c r="A15" s="603"/>
      <c r="B15" s="603"/>
      <c r="C15" s="603"/>
      <c r="D15" s="580"/>
      <c r="E15" s="580"/>
      <c r="F15" s="580"/>
      <c r="G15" s="580"/>
      <c r="H15" s="603"/>
      <c r="I15" s="603"/>
      <c r="J15" s="603"/>
      <c r="K15" s="580"/>
      <c r="L15" s="580"/>
      <c r="M15" s="580"/>
      <c r="N15" s="580"/>
    </row>
    <row r="16" spans="1:13" ht="12">
      <c r="A16" s="41"/>
      <c r="B16" s="1124" t="s">
        <v>1122</v>
      </c>
      <c r="C16" s="1125"/>
      <c r="D16" s="1133" t="s">
        <v>975</v>
      </c>
      <c r="E16" s="642" t="s">
        <v>1215</v>
      </c>
      <c r="F16" s="642" t="s">
        <v>974</v>
      </c>
      <c r="G16" s="581"/>
      <c r="H16" s="761">
        <f>H14+1</f>
        <v>733</v>
      </c>
      <c r="I16" s="762" t="s">
        <v>1216</v>
      </c>
      <c r="J16" s="763"/>
      <c r="K16" s="434"/>
      <c r="L16" s="665">
        <f>VLOOKUP(I16,Uitvoerbestand!$B$1:$I$185,8,FALSE)</f>
        <v>291.39000000000004</v>
      </c>
      <c r="M16" s="433">
        <f>K16*L16</f>
        <v>0</v>
      </c>
    </row>
    <row r="17" spans="1:12" ht="12">
      <c r="A17" s="761">
        <f>A14+1</f>
        <v>708</v>
      </c>
      <c r="B17" s="1123" t="s">
        <v>1183</v>
      </c>
      <c r="C17" s="1123" t="s">
        <v>1123</v>
      </c>
      <c r="D17" s="434"/>
      <c r="E17" s="665">
        <f>VLOOKUP(B17,Uitvoerbestand!$A$1:$I$185,9,FALSE)</f>
        <v>133.74</v>
      </c>
      <c r="F17" s="433">
        <f aca="true" t="shared" si="4" ref="F17:F23">D17*E17</f>
        <v>0</v>
      </c>
      <c r="G17" s="579"/>
      <c r="H17" s="603"/>
      <c r="I17" s="603"/>
      <c r="J17" s="603"/>
      <c r="L17" s="565"/>
    </row>
    <row r="18" spans="1:13" ht="12">
      <c r="A18" s="761">
        <f aca="true" t="shared" si="5" ref="A18:A24">A17+1</f>
        <v>709</v>
      </c>
      <c r="B18" s="645" t="s">
        <v>1184</v>
      </c>
      <c r="C18" s="645" t="s">
        <v>1219</v>
      </c>
      <c r="D18" s="434"/>
      <c r="E18" s="665">
        <f>VLOOKUP(B18,Uitvoerbestand!$A$1:$I$185,9,FALSE)</f>
        <v>183.24</v>
      </c>
      <c r="F18" s="433">
        <f t="shared" si="4"/>
        <v>0</v>
      </c>
      <c r="G18" s="579"/>
      <c r="H18" s="41"/>
      <c r="I18" s="1124" t="s">
        <v>137</v>
      </c>
      <c r="J18" s="1125"/>
      <c r="K18" s="641" t="s">
        <v>975</v>
      </c>
      <c r="L18" s="642" t="s">
        <v>1215</v>
      </c>
      <c r="M18" s="642" t="s">
        <v>974</v>
      </c>
    </row>
    <row r="19" spans="1:13" ht="12">
      <c r="A19" s="761">
        <f t="shared" si="5"/>
        <v>710</v>
      </c>
      <c r="B19" s="645" t="s">
        <v>1185</v>
      </c>
      <c r="C19" s="645" t="s">
        <v>1124</v>
      </c>
      <c r="D19" s="434"/>
      <c r="E19" s="665">
        <f>VLOOKUP(B19,Uitvoerbestand!$A$1:$I$185,9,FALSE)</f>
        <v>165.32</v>
      </c>
      <c r="F19" s="433">
        <f t="shared" si="4"/>
        <v>0</v>
      </c>
      <c r="G19" s="579"/>
      <c r="H19" s="761">
        <f>H16+1</f>
        <v>734</v>
      </c>
      <c r="I19" s="1123" t="s">
        <v>138</v>
      </c>
      <c r="J19" s="1123" t="s">
        <v>142</v>
      </c>
      <c r="K19" s="434"/>
      <c r="L19" s="665">
        <f>VLOOKUP(I19,Uitvoerbestand!$A$1:$I$185,9,FALSE)</f>
        <v>29.95</v>
      </c>
      <c r="M19" s="433">
        <f>K19*L19</f>
        <v>0</v>
      </c>
    </row>
    <row r="20" spans="1:13" ht="12">
      <c r="A20" s="761">
        <f t="shared" si="5"/>
        <v>711</v>
      </c>
      <c r="B20" s="645" t="s">
        <v>1186</v>
      </c>
      <c r="C20" s="645" t="s">
        <v>1220</v>
      </c>
      <c r="D20" s="434"/>
      <c r="E20" s="665">
        <f>VLOOKUP(B20,Uitvoerbestand!$A$1:$I$185,9,FALSE)</f>
        <v>214.79</v>
      </c>
      <c r="F20" s="433">
        <f t="shared" si="4"/>
        <v>0</v>
      </c>
      <c r="G20" s="579"/>
      <c r="H20" s="761">
        <f>H19+1</f>
        <v>735</v>
      </c>
      <c r="I20" s="645" t="s">
        <v>139</v>
      </c>
      <c r="J20" s="645" t="s">
        <v>143</v>
      </c>
      <c r="K20" s="434"/>
      <c r="L20" s="665">
        <f>VLOOKUP(I20,Uitvoerbestand!$A$1:$I$185,9,FALSE)</f>
        <v>72.42999999999999</v>
      </c>
      <c r="M20" s="433">
        <f>K20*L20</f>
        <v>0</v>
      </c>
    </row>
    <row r="21" spans="1:13" ht="12">
      <c r="A21" s="761">
        <f t="shared" si="5"/>
        <v>712</v>
      </c>
      <c r="B21" s="645" t="s">
        <v>1187</v>
      </c>
      <c r="C21" s="645" t="s">
        <v>1280</v>
      </c>
      <c r="D21" s="434"/>
      <c r="E21" s="665">
        <f>VLOOKUP(B21,Uitvoerbestand!$A$1:$I$185,9,FALSE)</f>
        <v>217.66</v>
      </c>
      <c r="F21" s="433">
        <f t="shared" si="4"/>
        <v>0</v>
      </c>
      <c r="G21" s="579"/>
      <c r="H21" s="761">
        <f>H20+1</f>
        <v>736</v>
      </c>
      <c r="I21" s="645" t="s">
        <v>140</v>
      </c>
      <c r="J21" s="645" t="s">
        <v>144</v>
      </c>
      <c r="K21" s="434"/>
      <c r="L21" s="665">
        <f>VLOOKUP(I21,Uitvoerbestand!$A$1:$I$185,9,FALSE)</f>
        <v>40.42</v>
      </c>
      <c r="M21" s="433">
        <f>K21*L21</f>
        <v>0</v>
      </c>
    </row>
    <row r="22" spans="1:13" ht="12">
      <c r="A22" s="761">
        <f t="shared" si="5"/>
        <v>713</v>
      </c>
      <c r="B22" s="36" t="s">
        <v>1188</v>
      </c>
      <c r="C22" s="36" t="s">
        <v>1221</v>
      </c>
      <c r="D22" s="764"/>
      <c r="E22" s="665">
        <f>VLOOKUP(B22,Uitvoerbestand!$A$1:$I$185,9,FALSE)</f>
        <v>277.32</v>
      </c>
      <c r="F22" s="765">
        <f>D22*E22</f>
        <v>0</v>
      </c>
      <c r="G22" s="579"/>
      <c r="H22" s="761">
        <f>H21+1</f>
        <v>737</v>
      </c>
      <c r="I22" s="645" t="s">
        <v>141</v>
      </c>
      <c r="J22" s="645" t="s">
        <v>145</v>
      </c>
      <c r="K22" s="434"/>
      <c r="L22" s="665">
        <f>VLOOKUP(I22,Uitvoerbestand!$A$1:$I$185,9,FALSE)</f>
        <v>80.87</v>
      </c>
      <c r="M22" s="433">
        <f>K22*L22</f>
        <v>0</v>
      </c>
    </row>
    <row r="23" spans="1:13" ht="12">
      <c r="A23" s="761">
        <f t="shared" si="5"/>
        <v>714</v>
      </c>
      <c r="B23" s="36" t="s">
        <v>1374</v>
      </c>
      <c r="C23" s="36" t="s">
        <v>1375</v>
      </c>
      <c r="D23" s="764"/>
      <c r="E23" s="665">
        <f>VLOOKUP(B23,Uitvoerbestand!$A$1:$I$185,9,FALSE)</f>
        <v>198.78</v>
      </c>
      <c r="F23" s="765">
        <f t="shared" si="4"/>
        <v>0</v>
      </c>
      <c r="G23" s="579"/>
      <c r="H23" s="761">
        <f>H22+1</f>
        <v>738</v>
      </c>
      <c r="I23" s="762" t="str">
        <f>CONCATENATE("Totaal regel ",H19," t/m ",H22,)</f>
        <v>Totaal regel 734 t/m 737</v>
      </c>
      <c r="J23" s="763"/>
      <c r="K23" s="766">
        <f>SUM(K19:K22)</f>
        <v>0</v>
      </c>
      <c r="L23" s="767"/>
      <c r="M23" s="766">
        <f>SUM(M19:M22)</f>
        <v>0</v>
      </c>
    </row>
    <row r="24" spans="1:7" ht="12">
      <c r="A24" s="761">
        <f t="shared" si="5"/>
        <v>715</v>
      </c>
      <c r="B24" s="762" t="str">
        <f>CONCATENATE("Totaal regel ",A17," t/m ",A23,)</f>
        <v>Totaal regel 708 t/m 714</v>
      </c>
      <c r="C24" s="763"/>
      <c r="D24" s="766">
        <f>SUM(D17:D23)</f>
        <v>0</v>
      </c>
      <c r="E24" s="767"/>
      <c r="F24" s="766">
        <f>SUM(F17:F23)</f>
        <v>0</v>
      </c>
      <c r="G24" s="581"/>
    </row>
    <row r="25" spans="1:15" ht="12.75">
      <c r="A25" s="603"/>
      <c r="B25" s="603"/>
      <c r="C25" s="603"/>
      <c r="D25" s="453"/>
      <c r="E25" s="453"/>
      <c r="F25" s="453"/>
      <c r="G25" s="581"/>
      <c r="O25"/>
    </row>
    <row r="26" spans="1:15" ht="12.75">
      <c r="A26" s="41"/>
      <c r="B26" s="1124" t="s">
        <v>1125</v>
      </c>
      <c r="C26" s="1125"/>
      <c r="D26" s="641" t="s">
        <v>975</v>
      </c>
      <c r="E26" s="642" t="s">
        <v>1215</v>
      </c>
      <c r="F26" s="642" t="s">
        <v>974</v>
      </c>
      <c r="G26" s="579"/>
      <c r="H26" s="41"/>
      <c r="I26" s="1124" t="s">
        <v>1142</v>
      </c>
      <c r="J26" s="1125"/>
      <c r="K26" s="641" t="s">
        <v>975</v>
      </c>
      <c r="L26" s="642" t="s">
        <v>1215</v>
      </c>
      <c r="M26" s="642" t="s">
        <v>974</v>
      </c>
      <c r="O26"/>
    </row>
    <row r="27" spans="1:15" ht="12.75">
      <c r="A27" s="761">
        <f>A24+1</f>
        <v>716</v>
      </c>
      <c r="B27" s="1123" t="s">
        <v>1189</v>
      </c>
      <c r="C27" s="1123" t="s">
        <v>1126</v>
      </c>
      <c r="D27" s="434"/>
      <c r="E27" s="665">
        <f>VLOOKUP(B27,Uitvoerbestand!$A$1:$I$185,9,FALSE)</f>
        <v>81.59</v>
      </c>
      <c r="F27" s="433">
        <f aca="true" t="shared" si="6" ref="F27:F35">D27*E27</f>
        <v>0</v>
      </c>
      <c r="G27" s="579"/>
      <c r="H27" s="761">
        <f>H23+1</f>
        <v>739</v>
      </c>
      <c r="I27" s="1123" t="s">
        <v>1204</v>
      </c>
      <c r="J27" s="1123" t="s">
        <v>963</v>
      </c>
      <c r="K27" s="434"/>
      <c r="L27" s="665">
        <f>VLOOKUP(I27,Uitvoerbestand!$A$1:$I$185,9,FALSE)</f>
        <v>107.21000000000001</v>
      </c>
      <c r="M27" s="433">
        <f>K27*L27</f>
        <v>0</v>
      </c>
      <c r="O27"/>
    </row>
    <row r="28" spans="1:15" ht="12.75">
      <c r="A28" s="761">
        <f aca="true" t="shared" si="7" ref="A28:A35">A27+1</f>
        <v>717</v>
      </c>
      <c r="B28" s="645" t="s">
        <v>1190</v>
      </c>
      <c r="C28" s="645" t="s">
        <v>1127</v>
      </c>
      <c r="D28" s="434"/>
      <c r="E28" s="665">
        <f>VLOOKUP(B28,Uitvoerbestand!$A$1:$I$185,9,FALSE)</f>
        <v>111.71000000000001</v>
      </c>
      <c r="F28" s="433">
        <f t="shared" si="6"/>
        <v>0</v>
      </c>
      <c r="G28" s="579"/>
      <c r="H28" s="761">
        <f>H27+1</f>
        <v>740</v>
      </c>
      <c r="I28" s="36" t="s">
        <v>1205</v>
      </c>
      <c r="J28" s="36" t="s">
        <v>1143</v>
      </c>
      <c r="K28" s="764"/>
      <c r="L28" s="665">
        <f>VLOOKUP(I28,Uitvoerbestand!$A$1:$I$185,9,FALSE)</f>
        <v>131.97</v>
      </c>
      <c r="M28" s="765">
        <f>K28*L28</f>
        <v>0</v>
      </c>
      <c r="O28"/>
    </row>
    <row r="29" spans="1:15" ht="12.75">
      <c r="A29" s="761">
        <f t="shared" si="7"/>
        <v>718</v>
      </c>
      <c r="B29" s="645" t="s">
        <v>1191</v>
      </c>
      <c r="C29" s="645" t="s">
        <v>1281</v>
      </c>
      <c r="D29" s="434"/>
      <c r="E29" s="665">
        <f>VLOOKUP(B29,Uitvoerbestand!$A$1:$I$185,9,FALSE)</f>
        <v>172.64999999999998</v>
      </c>
      <c r="F29" s="433">
        <f t="shared" si="6"/>
        <v>0</v>
      </c>
      <c r="G29" s="579"/>
      <c r="H29" s="761">
        <f>H28+1</f>
        <v>741</v>
      </c>
      <c r="I29" s="762" t="str">
        <f>CONCATENATE("Totaal regel ",H27," t/m ",H28,)</f>
        <v>Totaal regel 739 t/m 740</v>
      </c>
      <c r="J29" s="763"/>
      <c r="K29" s="766">
        <f>SUM(K27:K28)</f>
        <v>0</v>
      </c>
      <c r="L29" s="767"/>
      <c r="M29" s="766">
        <f>SUM(M27:M28)</f>
        <v>0</v>
      </c>
      <c r="O29"/>
    </row>
    <row r="30" spans="1:15" ht="12.75">
      <c r="A30" s="761">
        <f t="shared" si="7"/>
        <v>719</v>
      </c>
      <c r="B30" s="645" t="s">
        <v>1192</v>
      </c>
      <c r="C30" s="645" t="s">
        <v>1128</v>
      </c>
      <c r="D30" s="434"/>
      <c r="E30" s="665">
        <f>VLOOKUP(B30,Uitvoerbestand!$A$1:$I$185,9,FALSE)</f>
        <v>38.11</v>
      </c>
      <c r="F30" s="433">
        <f t="shared" si="6"/>
        <v>0</v>
      </c>
      <c r="G30" s="579"/>
      <c r="H30"/>
      <c r="I30"/>
      <c r="J30"/>
      <c r="K30"/>
      <c r="L30"/>
      <c r="M30"/>
      <c r="O30"/>
    </row>
    <row r="31" spans="1:15" ht="12.75">
      <c r="A31" s="761">
        <f t="shared" si="7"/>
        <v>720</v>
      </c>
      <c r="B31" s="645" t="s">
        <v>1193</v>
      </c>
      <c r="C31" s="645" t="s">
        <v>1129</v>
      </c>
      <c r="D31" s="434"/>
      <c r="E31" s="665">
        <f>VLOOKUP(B31,Uitvoerbestand!$A$1:$I$185,9,FALSE)</f>
        <v>42.27</v>
      </c>
      <c r="F31" s="433">
        <f t="shared" si="6"/>
        <v>0</v>
      </c>
      <c r="G31" s="579"/>
      <c r="O31"/>
    </row>
    <row r="32" spans="1:15" ht="12.75">
      <c r="A32" s="761">
        <f t="shared" si="7"/>
        <v>721</v>
      </c>
      <c r="B32" s="645" t="s">
        <v>1194</v>
      </c>
      <c r="C32" s="645" t="s">
        <v>1127</v>
      </c>
      <c r="D32" s="434"/>
      <c r="E32" s="665">
        <f>VLOOKUP(B32,Uitvoerbestand!$A$1:$I$185,9,FALSE)</f>
        <v>94.58</v>
      </c>
      <c r="F32" s="433">
        <f t="shared" si="6"/>
        <v>0</v>
      </c>
      <c r="G32" s="579"/>
      <c r="H32" s="41"/>
      <c r="I32" s="1124" t="s">
        <v>1144</v>
      </c>
      <c r="J32" s="1125"/>
      <c r="K32" s="641" t="s">
        <v>975</v>
      </c>
      <c r="L32" s="642" t="s">
        <v>1215</v>
      </c>
      <c r="M32" s="642" t="s">
        <v>974</v>
      </c>
      <c r="O32"/>
    </row>
    <row r="33" spans="1:15" ht="12.75">
      <c r="A33" s="761">
        <f t="shared" si="7"/>
        <v>722</v>
      </c>
      <c r="B33" s="645" t="s">
        <v>1195</v>
      </c>
      <c r="C33" s="645" t="s">
        <v>1282</v>
      </c>
      <c r="D33" s="434"/>
      <c r="E33" s="665">
        <f>VLOOKUP(B33,Uitvoerbestand!$A$1:$I$185,9,FALSE)</f>
        <v>61.29</v>
      </c>
      <c r="F33" s="433">
        <f t="shared" si="6"/>
        <v>0</v>
      </c>
      <c r="G33" s="579"/>
      <c r="H33" s="761">
        <f>H29+1</f>
        <v>742</v>
      </c>
      <c r="I33" s="1123" t="s">
        <v>1206</v>
      </c>
      <c r="J33" s="1123" t="s">
        <v>1145</v>
      </c>
      <c r="K33" s="434"/>
      <c r="L33" s="665">
        <f>VLOOKUP(I33,Uitvoerbestand!$A$1:$I$185,9,FALSE)</f>
        <v>217.27999999999997</v>
      </c>
      <c r="M33" s="433">
        <f>K33*L33</f>
        <v>0</v>
      </c>
      <c r="O33"/>
    </row>
    <row r="34" spans="1:15" ht="12.75">
      <c r="A34" s="761">
        <f t="shared" si="7"/>
        <v>723</v>
      </c>
      <c r="B34" s="645" t="s">
        <v>1196</v>
      </c>
      <c r="C34" s="645" t="s">
        <v>1127</v>
      </c>
      <c r="D34" s="434"/>
      <c r="E34" s="665">
        <f>VLOOKUP(B34,Uitvoerbestand!$A$1:$I$185,9,FALSE)</f>
        <v>103.51</v>
      </c>
      <c r="F34" s="433">
        <f t="shared" si="6"/>
        <v>0</v>
      </c>
      <c r="G34" s="579"/>
      <c r="H34" s="761">
        <f>H33+1</f>
        <v>743</v>
      </c>
      <c r="I34" s="645" t="s">
        <v>1207</v>
      </c>
      <c r="J34" s="645" t="s">
        <v>1146</v>
      </c>
      <c r="K34" s="434"/>
      <c r="L34" s="665">
        <f>VLOOKUP(I34,Uitvoerbestand!$A$1:$I$185,9,FALSE)</f>
        <v>156.38</v>
      </c>
      <c r="M34" s="433">
        <f>K34*L34</f>
        <v>0</v>
      </c>
      <c r="O34"/>
    </row>
    <row r="35" spans="1:15" ht="12.75">
      <c r="A35" s="761">
        <f t="shared" si="7"/>
        <v>724</v>
      </c>
      <c r="B35" s="36" t="s">
        <v>1197</v>
      </c>
      <c r="C35" s="36" t="s">
        <v>1283</v>
      </c>
      <c r="D35" s="434"/>
      <c r="E35" s="665">
        <f>VLOOKUP(B35,Uitvoerbestand!$A$1:$I$185,9,FALSE)</f>
        <v>145.25</v>
      </c>
      <c r="F35" s="765">
        <f t="shared" si="6"/>
        <v>0</v>
      </c>
      <c r="G35" s="579"/>
      <c r="H35" s="761">
        <f>H34+1</f>
        <v>744</v>
      </c>
      <c r="I35" s="36" t="s">
        <v>1208</v>
      </c>
      <c r="J35" s="36" t="s">
        <v>1147</v>
      </c>
      <c r="K35" s="764"/>
      <c r="L35" s="665">
        <f>VLOOKUP(I35,Uitvoerbestand!$A$1:$I$185,9,FALSE)</f>
        <v>178.76</v>
      </c>
      <c r="M35" s="765">
        <f>K35*L35</f>
        <v>0</v>
      </c>
      <c r="O35"/>
    </row>
    <row r="36" spans="1:13" ht="12.75" customHeight="1">
      <c r="A36" s="761">
        <f>A35+1</f>
        <v>725</v>
      </c>
      <c r="B36" s="762" t="str">
        <f>CONCATENATE("Totaal regel ",A27," t/m ",A35,)</f>
        <v>Totaal regel 716 t/m 724</v>
      </c>
      <c r="C36" s="763"/>
      <c r="D36" s="766">
        <f>SUM(D27:D35)</f>
        <v>0</v>
      </c>
      <c r="E36" s="767"/>
      <c r="F36" s="766">
        <f>SUM(F27:F35)</f>
        <v>0</v>
      </c>
      <c r="G36" s="573"/>
      <c r="H36" s="761">
        <f>H35+1</f>
        <v>745</v>
      </c>
      <c r="I36" s="762" t="str">
        <f>CONCATENATE("Totaal regel ",H33," t/m ",H35,)</f>
        <v>Totaal regel 742 t/m 744</v>
      </c>
      <c r="J36" s="763"/>
      <c r="K36" s="766">
        <f>SUM(K33:K35)</f>
        <v>0</v>
      </c>
      <c r="L36" s="767"/>
      <c r="M36" s="766">
        <f>SUM(M33:M35)</f>
        <v>0</v>
      </c>
    </row>
    <row r="37" spans="1:7" ht="12.75" customHeight="1">
      <c r="A37" s="573"/>
      <c r="B37" s="573"/>
      <c r="C37" s="573"/>
      <c r="E37" s="573"/>
      <c r="F37" s="578"/>
      <c r="G37" s="573"/>
    </row>
    <row r="38" spans="1:7" ht="12.75" customHeight="1">
      <c r="A38" s="573"/>
      <c r="B38" s="573"/>
      <c r="C38" s="573"/>
      <c r="E38" s="573"/>
      <c r="F38" s="578"/>
      <c r="G38" s="573"/>
    </row>
    <row r="39" spans="1:8" ht="12.75" customHeight="1">
      <c r="A39" s="573"/>
      <c r="B39" s="573"/>
      <c r="C39" s="573"/>
      <c r="E39" s="573"/>
      <c r="F39" s="578"/>
      <c r="G39" s="573"/>
      <c r="H39" s="453"/>
    </row>
    <row r="40" spans="1:8" ht="12.75" customHeight="1">
      <c r="A40" s="573"/>
      <c r="B40" s="573"/>
      <c r="C40" s="573"/>
      <c r="E40" s="573"/>
      <c r="F40" s="578"/>
      <c r="G40" s="573"/>
      <c r="H40" s="453"/>
    </row>
    <row r="41" spans="4:13" ht="15.75" customHeight="1">
      <c r="D41" s="575"/>
      <c r="G41" s="453"/>
      <c r="H41" s="455"/>
      <c r="I41" s="562"/>
      <c r="J41" s="562"/>
      <c r="K41" s="459"/>
      <c r="L41" s="565"/>
      <c r="M41" s="465"/>
    </row>
    <row r="42" spans="1:13" s="513" customFormat="1" ht="15.75" customHeight="1">
      <c r="A42" s="616" t="str">
        <f>Inhoud!$A$2</f>
        <v>Nacalculatieformulier 2005 GGZ-instellingen</v>
      </c>
      <c r="B42" s="631"/>
      <c r="C42" s="631"/>
      <c r="D42" s="631"/>
      <c r="E42" s="631"/>
      <c r="F42" s="635"/>
      <c r="G42" s="631"/>
      <c r="H42" s="631"/>
      <c r="I42" s="631"/>
      <c r="J42" s="631"/>
      <c r="K42" s="631"/>
      <c r="L42" s="631"/>
      <c r="M42" s="1258">
        <f>M2+1</f>
        <v>8</v>
      </c>
    </row>
    <row r="43" spans="1:13" ht="12">
      <c r="A43" s="41"/>
      <c r="B43" s="42"/>
      <c r="C43" s="42"/>
      <c r="D43" s="43"/>
      <c r="E43" s="42"/>
      <c r="F43" s="90"/>
      <c r="G43" s="603"/>
      <c r="H43" s="41"/>
      <c r="I43" s="562"/>
      <c r="J43" s="562"/>
      <c r="K43" s="43"/>
      <c r="L43" s="565"/>
      <c r="M43" s="658"/>
    </row>
    <row r="44" spans="1:13" ht="12">
      <c r="A44" s="41"/>
      <c r="B44" s="1124" t="s">
        <v>1148</v>
      </c>
      <c r="C44" s="1125"/>
      <c r="D44" s="641" t="s">
        <v>975</v>
      </c>
      <c r="E44" s="642" t="s">
        <v>1215</v>
      </c>
      <c r="F44" s="642" t="s">
        <v>974</v>
      </c>
      <c r="G44" s="603"/>
      <c r="H44" s="41"/>
      <c r="I44" s="1124" t="s">
        <v>1170</v>
      </c>
      <c r="J44" s="1125"/>
      <c r="K44" s="641" t="s">
        <v>975</v>
      </c>
      <c r="L44" s="642" t="s">
        <v>1215</v>
      </c>
      <c r="M44" s="642" t="s">
        <v>974</v>
      </c>
    </row>
    <row r="45" spans="1:13" ht="12">
      <c r="A45" s="761">
        <f>M42*100+1</f>
        <v>801</v>
      </c>
      <c r="B45" s="1123" t="s">
        <v>1209</v>
      </c>
      <c r="C45" s="1123" t="s">
        <v>1149</v>
      </c>
      <c r="D45" s="434"/>
      <c r="E45" s="665">
        <f>VLOOKUP(B45,Uitvoerbestand!$A$1:$I$185,9,FALSE)</f>
        <v>108.03</v>
      </c>
      <c r="F45" s="433">
        <f aca="true" t="shared" si="8" ref="F45:F50">D45*E45</f>
        <v>0</v>
      </c>
      <c r="G45" s="603"/>
      <c r="H45" s="761">
        <f>A79+1</f>
        <v>828</v>
      </c>
      <c r="I45" s="1123" t="s">
        <v>940</v>
      </c>
      <c r="J45" s="1123" t="s">
        <v>1160</v>
      </c>
      <c r="K45" s="434"/>
      <c r="L45" s="665">
        <f>VLOOKUP(I45,Uitvoerbestand!$A$1:$I$185,9,FALSE)</f>
        <v>19.05</v>
      </c>
      <c r="M45" s="433">
        <f aca="true" t="shared" si="9" ref="M45:M50">K45*L45</f>
        <v>0</v>
      </c>
    </row>
    <row r="46" spans="1:13" ht="12">
      <c r="A46" s="761">
        <f aca="true" t="shared" si="10" ref="A46:A51">A45+1</f>
        <v>802</v>
      </c>
      <c r="B46" s="645" t="s">
        <v>1210</v>
      </c>
      <c r="C46" s="645" t="s">
        <v>1150</v>
      </c>
      <c r="D46" s="434"/>
      <c r="E46" s="665">
        <f>VLOOKUP(B46,Uitvoerbestand!$A$1:$I$185,9,FALSE)</f>
        <v>135.88</v>
      </c>
      <c r="F46" s="433">
        <f t="shared" si="8"/>
        <v>0</v>
      </c>
      <c r="G46" s="603"/>
      <c r="H46" s="761">
        <f aca="true" t="shared" si="11" ref="H46:H56">H45+1</f>
        <v>829</v>
      </c>
      <c r="I46" s="645" t="s">
        <v>941</v>
      </c>
      <c r="J46" s="645" t="s">
        <v>1161</v>
      </c>
      <c r="K46" s="434"/>
      <c r="L46" s="665">
        <f>VLOOKUP(I46,Uitvoerbestand!$A$1:$I$185,9,FALSE)</f>
        <v>183.74</v>
      </c>
      <c r="M46" s="433">
        <f t="shared" si="9"/>
        <v>0</v>
      </c>
    </row>
    <row r="47" spans="1:13" ht="12">
      <c r="A47" s="761">
        <f t="shared" si="10"/>
        <v>803</v>
      </c>
      <c r="B47" s="645" t="s">
        <v>1211</v>
      </c>
      <c r="C47" s="645" t="s">
        <v>1218</v>
      </c>
      <c r="D47" s="434"/>
      <c r="E47" s="665">
        <f>VLOOKUP(B47,Uitvoerbestand!$A$1:$I$185,9,FALSE)</f>
        <v>122.06</v>
      </c>
      <c r="F47" s="433">
        <f t="shared" si="8"/>
        <v>0</v>
      </c>
      <c r="G47" s="603"/>
      <c r="H47" s="761">
        <f t="shared" si="11"/>
        <v>830</v>
      </c>
      <c r="I47" s="645" t="s">
        <v>942</v>
      </c>
      <c r="J47" s="645" t="s">
        <v>1162</v>
      </c>
      <c r="K47" s="434"/>
      <c r="L47" s="665">
        <f>VLOOKUP(I47,Uitvoerbestand!$A$1:$I$185,9,FALSE)</f>
        <v>380.8</v>
      </c>
      <c r="M47" s="433">
        <f t="shared" si="9"/>
        <v>0</v>
      </c>
    </row>
    <row r="48" spans="1:13" ht="12">
      <c r="A48" s="761">
        <f t="shared" si="10"/>
        <v>804</v>
      </c>
      <c r="B48" s="645" t="s">
        <v>1212</v>
      </c>
      <c r="C48" s="645" t="s">
        <v>1150</v>
      </c>
      <c r="D48" s="434"/>
      <c r="E48" s="665">
        <f>VLOOKUP(B48,Uitvoerbestand!$A$1:$I$185,9,FALSE)</f>
        <v>153.18</v>
      </c>
      <c r="F48" s="433">
        <f t="shared" si="8"/>
        <v>0</v>
      </c>
      <c r="G48" s="603"/>
      <c r="H48" s="761">
        <f t="shared" si="11"/>
        <v>831</v>
      </c>
      <c r="I48" s="645" t="s">
        <v>943</v>
      </c>
      <c r="J48" s="645" t="s">
        <v>1163</v>
      </c>
      <c r="K48" s="434"/>
      <c r="L48" s="665">
        <f>VLOOKUP(I48,Uitvoerbestand!$A$1:$I$185,9,FALSE)</f>
        <v>93.54</v>
      </c>
      <c r="M48" s="433">
        <f t="shared" si="9"/>
        <v>0</v>
      </c>
    </row>
    <row r="49" spans="1:13" ht="12">
      <c r="A49" s="761">
        <f t="shared" si="10"/>
        <v>805</v>
      </c>
      <c r="B49" s="645" t="s">
        <v>1213</v>
      </c>
      <c r="C49" s="645" t="s">
        <v>1151</v>
      </c>
      <c r="D49" s="434"/>
      <c r="E49" s="665">
        <f>VLOOKUP(B49,Uitvoerbestand!$A$1:$I$185,9,FALSE)</f>
        <v>61.36</v>
      </c>
      <c r="F49" s="433">
        <f t="shared" si="8"/>
        <v>0</v>
      </c>
      <c r="G49" s="603"/>
      <c r="H49" s="761">
        <f t="shared" si="11"/>
        <v>832</v>
      </c>
      <c r="I49" s="645" t="s">
        <v>944</v>
      </c>
      <c r="J49" s="645" t="s">
        <v>1164</v>
      </c>
      <c r="K49" s="434"/>
      <c r="L49" s="665">
        <f>VLOOKUP(I49,Uitvoerbestand!$A$1:$I$185,9,FALSE)</f>
        <v>63.089999999999996</v>
      </c>
      <c r="M49" s="433">
        <f t="shared" si="9"/>
        <v>0</v>
      </c>
    </row>
    <row r="50" spans="1:13" ht="12">
      <c r="A50" s="761">
        <f t="shared" si="10"/>
        <v>806</v>
      </c>
      <c r="B50" s="36" t="s">
        <v>1214</v>
      </c>
      <c r="C50" s="36" t="s">
        <v>1217</v>
      </c>
      <c r="D50" s="764"/>
      <c r="E50" s="665">
        <f>VLOOKUP(B50,Uitvoerbestand!$A$1:$I$185,9,FALSE)</f>
        <v>85.49</v>
      </c>
      <c r="F50" s="765">
        <f t="shared" si="8"/>
        <v>0</v>
      </c>
      <c r="G50" s="603"/>
      <c r="H50" s="761">
        <f t="shared" si="11"/>
        <v>833</v>
      </c>
      <c r="I50" s="645" t="s">
        <v>945</v>
      </c>
      <c r="J50" s="645" t="s">
        <v>1165</v>
      </c>
      <c r="K50" s="434"/>
      <c r="L50" s="665">
        <f>VLOOKUP(I50,Uitvoerbestand!$A$1:$I$185,9,FALSE)</f>
        <v>79.38000000000001</v>
      </c>
      <c r="M50" s="433">
        <f t="shared" si="9"/>
        <v>0</v>
      </c>
    </row>
    <row r="51" spans="1:13" ht="12">
      <c r="A51" s="761">
        <f t="shared" si="10"/>
        <v>807</v>
      </c>
      <c r="B51" s="762" t="str">
        <f>CONCATENATE("Totaal regel ",A45," t/m ",A50,)</f>
        <v>Totaal regel 801 t/m 806</v>
      </c>
      <c r="C51" s="763"/>
      <c r="D51" s="766">
        <f>SUM(D45:D50)</f>
        <v>0</v>
      </c>
      <c r="E51" s="767"/>
      <c r="F51" s="766">
        <f>SUM(F45:F50)</f>
        <v>0</v>
      </c>
      <c r="G51" s="603"/>
      <c r="H51" s="761">
        <f t="shared" si="11"/>
        <v>834</v>
      </c>
      <c r="I51" s="1231" t="s">
        <v>163</v>
      </c>
      <c r="J51" s="453" t="s">
        <v>162</v>
      </c>
      <c r="K51" s="434"/>
      <c r="L51" s="665">
        <f>VLOOKUP(I51,Uitvoerbestand!$A$1:$I$185,9,FALSE)</f>
        <v>44.5</v>
      </c>
      <c r="M51" s="433">
        <f>K51*L51</f>
        <v>0</v>
      </c>
    </row>
    <row r="52" spans="1:13" ht="12">
      <c r="A52" s="603"/>
      <c r="B52" s="603"/>
      <c r="C52" s="603"/>
      <c r="D52" s="580"/>
      <c r="E52" s="580"/>
      <c r="F52" s="580"/>
      <c r="G52" s="603"/>
      <c r="H52" s="761">
        <f t="shared" si="11"/>
        <v>835</v>
      </c>
      <c r="I52" s="645" t="s">
        <v>946</v>
      </c>
      <c r="J52" s="645" t="s">
        <v>1166</v>
      </c>
      <c r="K52" s="434"/>
      <c r="L52" s="665">
        <f>VLOOKUP(I52,Uitvoerbestand!$A$1:$I$185,9,FALSE)</f>
        <v>54.879999999999995</v>
      </c>
      <c r="M52" s="433">
        <f>K52*L52</f>
        <v>0</v>
      </c>
    </row>
    <row r="53" spans="1:13" ht="12">
      <c r="A53" s="761">
        <f>A51+1</f>
        <v>808</v>
      </c>
      <c r="B53" s="762" t="s">
        <v>1152</v>
      </c>
      <c r="C53" s="763"/>
      <c r="D53" s="434"/>
      <c r="E53" s="665">
        <f>VLOOKUP(B53,Uitvoerbestand!$B$1:$I$185,8,FALSE)</f>
        <v>168.3</v>
      </c>
      <c r="F53" s="433">
        <f>D53*E53</f>
        <v>0</v>
      </c>
      <c r="G53" s="603"/>
      <c r="H53" s="761">
        <f t="shared" si="11"/>
        <v>836</v>
      </c>
      <c r="I53" s="645" t="s">
        <v>1115</v>
      </c>
      <c r="J53" s="645" t="s">
        <v>1167</v>
      </c>
      <c r="K53" s="434"/>
      <c r="L53" s="665">
        <f>VLOOKUP(I53,Uitvoerbestand!$A$1:$I$185,9,FALSE)</f>
        <v>190.26</v>
      </c>
      <c r="M53" s="433">
        <f>K53*L53</f>
        <v>0</v>
      </c>
    </row>
    <row r="54" spans="1:13" ht="12">
      <c r="A54" s="41"/>
      <c r="B54" s="42"/>
      <c r="C54" s="42"/>
      <c r="D54" s="43"/>
      <c r="E54" s="42"/>
      <c r="F54" s="90"/>
      <c r="G54" s="603"/>
      <c r="H54" s="761">
        <f t="shared" si="11"/>
        <v>837</v>
      </c>
      <c r="I54" s="645" t="s">
        <v>1116</v>
      </c>
      <c r="J54" s="645" t="s">
        <v>1168</v>
      </c>
      <c r="K54" s="434"/>
      <c r="L54" s="665">
        <f>VLOOKUP(I54,Uitvoerbestand!$A$1:$I$185,9,FALSE)</f>
        <v>710.02</v>
      </c>
      <c r="M54" s="433">
        <f>K54*L54</f>
        <v>0</v>
      </c>
    </row>
    <row r="55" spans="1:13" ht="12">
      <c r="A55" s="41"/>
      <c r="B55" s="1124" t="s">
        <v>1153</v>
      </c>
      <c r="C55" s="1125"/>
      <c r="D55" s="641" t="s">
        <v>975</v>
      </c>
      <c r="E55" s="642" t="s">
        <v>1215</v>
      </c>
      <c r="F55" s="642" t="s">
        <v>974</v>
      </c>
      <c r="G55" s="603"/>
      <c r="H55" s="761">
        <f t="shared" si="11"/>
        <v>838</v>
      </c>
      <c r="I55" s="36" t="s">
        <v>1117</v>
      </c>
      <c r="J55" s="36" t="s">
        <v>1169</v>
      </c>
      <c r="K55" s="764"/>
      <c r="L55" s="665">
        <f>VLOOKUP(I55,Uitvoerbestand!$A$1:$I$185,9,FALSE)</f>
        <v>36.120000000000005</v>
      </c>
      <c r="M55" s="765">
        <f>K55*L55</f>
        <v>0</v>
      </c>
    </row>
    <row r="56" spans="1:13" ht="12">
      <c r="A56" s="761">
        <f>A53+1</f>
        <v>809</v>
      </c>
      <c r="B56" s="1123" t="s">
        <v>1063</v>
      </c>
      <c r="C56" s="1123" t="s">
        <v>930</v>
      </c>
      <c r="D56" s="434"/>
      <c r="E56" s="665">
        <f>VLOOKUP(B56,Uitvoerbestand!$A$1:$I$185,9,FALSE)</f>
        <v>304.54</v>
      </c>
      <c r="F56" s="433">
        <f>D56*E56</f>
        <v>0</v>
      </c>
      <c r="G56" s="603"/>
      <c r="H56" s="761">
        <f t="shared" si="11"/>
        <v>839</v>
      </c>
      <c r="I56" s="772" t="str">
        <f>CONCATENATE("Totaal regel ",H45," t/m ",H55,)</f>
        <v>Totaal regel 828 t/m 838</v>
      </c>
      <c r="J56" s="773"/>
      <c r="K56" s="766">
        <f>SUM(K45:K55)</f>
        <v>0</v>
      </c>
      <c r="L56" s="767"/>
      <c r="M56" s="766">
        <f>SUM(M45:M55)</f>
        <v>0</v>
      </c>
    </row>
    <row r="57" spans="1:13" ht="12">
      <c r="A57" s="761">
        <f>A56+1</f>
        <v>810</v>
      </c>
      <c r="B57" s="645" t="s">
        <v>1064</v>
      </c>
      <c r="C57" s="645" t="s">
        <v>1154</v>
      </c>
      <c r="D57" s="434"/>
      <c r="E57" s="665">
        <f>VLOOKUP(B57,Uitvoerbestand!$A$1:$I$185,9,FALSE)</f>
        <v>304.54</v>
      </c>
      <c r="F57" s="433">
        <f>D57*E57</f>
        <v>0</v>
      </c>
      <c r="G57" s="603"/>
      <c r="H57" s="41"/>
      <c r="I57" s="562"/>
      <c r="J57" s="562"/>
      <c r="K57" s="43"/>
      <c r="L57" s="565"/>
      <c r="M57" s="658"/>
    </row>
    <row r="58" spans="1:13" ht="12">
      <c r="A58" s="761">
        <f>A57+1</f>
        <v>811</v>
      </c>
      <c r="B58" s="645" t="s">
        <v>1065</v>
      </c>
      <c r="C58" s="645" t="s">
        <v>1158</v>
      </c>
      <c r="D58" s="434"/>
      <c r="E58" s="665">
        <f>VLOOKUP(B58,Uitvoerbestand!$A$1:$I$185,9,FALSE)</f>
        <v>858.43</v>
      </c>
      <c r="F58" s="433">
        <f>D58*E58</f>
        <v>0</v>
      </c>
      <c r="G58" s="603"/>
      <c r="H58" s="41"/>
      <c r="I58" s="1124" t="s">
        <v>1171</v>
      </c>
      <c r="J58" s="1125"/>
      <c r="K58" s="641" t="s">
        <v>975</v>
      </c>
      <c r="L58" s="642" t="s">
        <v>1215</v>
      </c>
      <c r="M58" s="642" t="s">
        <v>974</v>
      </c>
    </row>
    <row r="59" spans="1:13" ht="12">
      <c r="A59" s="761">
        <f>A58+1</f>
        <v>812</v>
      </c>
      <c r="B59" s="645" t="s">
        <v>1066</v>
      </c>
      <c r="C59" s="645" t="s">
        <v>1058</v>
      </c>
      <c r="D59" s="434"/>
      <c r="E59" s="665">
        <f>VLOOKUP(B59,Uitvoerbestand!$A$1:$I$185,9,FALSE)</f>
        <v>2483.7</v>
      </c>
      <c r="F59" s="433">
        <f>D59*E59</f>
        <v>0</v>
      </c>
      <c r="G59" s="603"/>
      <c r="H59" s="761">
        <f>H56+1</f>
        <v>840</v>
      </c>
      <c r="I59" s="1123" t="s">
        <v>664</v>
      </c>
      <c r="J59" s="1123" t="s">
        <v>1160</v>
      </c>
      <c r="K59" s="434"/>
      <c r="L59" s="665">
        <f>VLOOKUP(I59,Uitvoerbestand!$A$1:$I$185,9,FALSE)</f>
        <v>19.05</v>
      </c>
      <c r="M59" s="433">
        <f aca="true" t="shared" si="12" ref="M59:M65">K59*L59</f>
        <v>0</v>
      </c>
    </row>
    <row r="60" spans="1:13" ht="12">
      <c r="A60" s="761">
        <f>A59+1</f>
        <v>813</v>
      </c>
      <c r="B60" s="36" t="s">
        <v>1067</v>
      </c>
      <c r="C60" s="36" t="s">
        <v>1062</v>
      </c>
      <c r="D60" s="764"/>
      <c r="E60" s="665">
        <f>VLOOKUP(B60,Uitvoerbestand!$A$1:$I$185,9,FALSE)</f>
        <v>1200.46</v>
      </c>
      <c r="F60" s="765">
        <f>D60*E60</f>
        <v>0</v>
      </c>
      <c r="G60" s="603"/>
      <c r="H60" s="761">
        <f aca="true" t="shared" si="13" ref="H60:H70">H59+1</f>
        <v>841</v>
      </c>
      <c r="I60" s="1123" t="s">
        <v>665</v>
      </c>
      <c r="J60" s="645" t="s">
        <v>1161</v>
      </c>
      <c r="K60" s="434"/>
      <c r="L60" s="665">
        <f>VLOOKUP(I60,Uitvoerbestand!$A$1:$I$185,9,FALSE)</f>
        <v>183.74</v>
      </c>
      <c r="M60" s="433">
        <f t="shared" si="12"/>
        <v>0</v>
      </c>
    </row>
    <row r="61" spans="1:13" ht="12">
      <c r="A61" s="761">
        <f>A60+1</f>
        <v>814</v>
      </c>
      <c r="B61" s="762" t="str">
        <f>CONCATENATE("Totaal regel ",A56," t/m ",A60,)</f>
        <v>Totaal regel 809 t/m 813</v>
      </c>
      <c r="C61" s="763"/>
      <c r="D61" s="766">
        <f>SUM(D56:D60)</f>
        <v>0</v>
      </c>
      <c r="E61" s="767"/>
      <c r="F61" s="766">
        <f>SUM(F56:F60)</f>
        <v>0</v>
      </c>
      <c r="G61" s="603"/>
      <c r="H61" s="761">
        <f t="shared" si="13"/>
        <v>842</v>
      </c>
      <c r="I61" s="1123" t="s">
        <v>666</v>
      </c>
      <c r="J61" s="645" t="s">
        <v>1162</v>
      </c>
      <c r="K61" s="434"/>
      <c r="L61" s="665">
        <f>VLOOKUP(I61,Uitvoerbestand!$A$1:$I$185,9,FALSE)</f>
        <v>380.8</v>
      </c>
      <c r="M61" s="433">
        <f t="shared" si="12"/>
        <v>0</v>
      </c>
    </row>
    <row r="62" spans="7:13" ht="12">
      <c r="G62" s="603"/>
      <c r="H62" s="761">
        <f t="shared" si="13"/>
        <v>843</v>
      </c>
      <c r="I62" s="1123" t="s">
        <v>667</v>
      </c>
      <c r="J62" s="645" t="s">
        <v>1163</v>
      </c>
      <c r="K62" s="434"/>
      <c r="L62" s="665">
        <f>VLOOKUP(I62,Uitvoerbestand!$A$1:$I$185,9,FALSE)</f>
        <v>93.54</v>
      </c>
      <c r="M62" s="433">
        <f t="shared" si="12"/>
        <v>0</v>
      </c>
    </row>
    <row r="63" spans="1:13" ht="12">
      <c r="A63" s="41"/>
      <c r="B63" s="562" t="s">
        <v>134</v>
      </c>
      <c r="C63" s="42"/>
      <c r="E63" s="466"/>
      <c r="F63" s="465"/>
      <c r="G63" s="603"/>
      <c r="H63" s="761">
        <f t="shared" si="13"/>
        <v>844</v>
      </c>
      <c r="I63" s="1123" t="s">
        <v>668</v>
      </c>
      <c r="J63" s="645" t="s">
        <v>1164</v>
      </c>
      <c r="K63" s="434"/>
      <c r="L63" s="665">
        <f>VLOOKUP(I63,Uitvoerbestand!$A$1:$I$185,9,FALSE)</f>
        <v>63.089999999999996</v>
      </c>
      <c r="M63" s="433">
        <f t="shared" si="12"/>
        <v>0</v>
      </c>
    </row>
    <row r="64" spans="1:13" ht="12">
      <c r="A64" s="761">
        <f>A61+1</f>
        <v>815</v>
      </c>
      <c r="B64" s="762" t="s">
        <v>1376</v>
      </c>
      <c r="C64" s="769"/>
      <c r="D64" s="770"/>
      <c r="E64" s="771"/>
      <c r="F64" s="434"/>
      <c r="G64" s="603"/>
      <c r="H64" s="761">
        <f t="shared" si="13"/>
        <v>845</v>
      </c>
      <c r="I64" s="1123" t="s">
        <v>669</v>
      </c>
      <c r="J64" s="645" t="s">
        <v>1165</v>
      </c>
      <c r="K64" s="434"/>
      <c r="L64" s="665">
        <f>VLOOKUP(I64,Uitvoerbestand!$A$1:$I$185,9,FALSE)</f>
        <v>79.38000000000001</v>
      </c>
      <c r="M64" s="433">
        <f t="shared" si="12"/>
        <v>0</v>
      </c>
    </row>
    <row r="65" spans="6:13" ht="12">
      <c r="F65" s="472"/>
      <c r="G65" s="581"/>
      <c r="H65" s="761">
        <f t="shared" si="13"/>
        <v>846</v>
      </c>
      <c r="I65" s="1231" t="s">
        <v>165</v>
      </c>
      <c r="J65" s="453" t="s">
        <v>162</v>
      </c>
      <c r="K65" s="434"/>
      <c r="L65" s="665">
        <f>VLOOKUP(I65,Uitvoerbestand!$A$1:$I$185,9,FALSE)</f>
        <v>44.5</v>
      </c>
      <c r="M65" s="433">
        <f t="shared" si="12"/>
        <v>0</v>
      </c>
    </row>
    <row r="66" spans="7:13" ht="12">
      <c r="G66" s="581"/>
      <c r="H66" s="761">
        <f t="shared" si="13"/>
        <v>847</v>
      </c>
      <c r="I66" s="1123" t="s">
        <v>670</v>
      </c>
      <c r="J66" s="645" t="s">
        <v>1166</v>
      </c>
      <c r="K66" s="434"/>
      <c r="L66" s="665">
        <f>VLOOKUP(I66,Uitvoerbestand!$A$1:$I$185,9,FALSE)</f>
        <v>54.879999999999995</v>
      </c>
      <c r="M66" s="433">
        <f>K66*L66</f>
        <v>0</v>
      </c>
    </row>
    <row r="67" spans="1:13" ht="12">
      <c r="A67" s="41"/>
      <c r="B67" s="1124" t="s">
        <v>1159</v>
      </c>
      <c r="C67" s="1125"/>
      <c r="D67" s="641" t="s">
        <v>975</v>
      </c>
      <c r="E67" s="642" t="s">
        <v>1215</v>
      </c>
      <c r="F67" s="642" t="s">
        <v>974</v>
      </c>
      <c r="G67" s="581"/>
      <c r="H67" s="761">
        <f t="shared" si="13"/>
        <v>848</v>
      </c>
      <c r="I67" s="1123" t="s">
        <v>671</v>
      </c>
      <c r="J67" s="645" t="s">
        <v>1167</v>
      </c>
      <c r="K67" s="434"/>
      <c r="L67" s="665">
        <f>VLOOKUP(I67,Uitvoerbestand!$A$1:$I$185,9,FALSE)</f>
        <v>190.26</v>
      </c>
      <c r="M67" s="433">
        <f>K67*L67</f>
        <v>0</v>
      </c>
    </row>
    <row r="68" spans="1:13" ht="12">
      <c r="A68" s="761">
        <f>A64+1</f>
        <v>816</v>
      </c>
      <c r="B68" s="1123" t="s">
        <v>932</v>
      </c>
      <c r="C68" s="1123" t="s">
        <v>1160</v>
      </c>
      <c r="D68" s="434"/>
      <c r="E68" s="665">
        <f>VLOOKUP(B68,Uitvoerbestand!$A$1:$I$185,9,FALSE)</f>
        <v>19.05</v>
      </c>
      <c r="F68" s="433">
        <f aca="true" t="shared" si="14" ref="F68:F74">D68*E68</f>
        <v>0</v>
      </c>
      <c r="G68" s="581"/>
      <c r="H68" s="761">
        <f t="shared" si="13"/>
        <v>849</v>
      </c>
      <c r="I68" s="1123" t="s">
        <v>672</v>
      </c>
      <c r="J68" s="645" t="s">
        <v>1168</v>
      </c>
      <c r="K68" s="434"/>
      <c r="L68" s="665">
        <f>VLOOKUP(I68,Uitvoerbestand!$A$1:$I$185,9,FALSE)</f>
        <v>710.02</v>
      </c>
      <c r="M68" s="433">
        <f>K68*L68</f>
        <v>0</v>
      </c>
    </row>
    <row r="69" spans="1:13" ht="12">
      <c r="A69" s="761">
        <f aca="true" t="shared" si="15" ref="A69:A79">A68+1</f>
        <v>817</v>
      </c>
      <c r="B69" s="645" t="s">
        <v>933</v>
      </c>
      <c r="C69" s="645" t="s">
        <v>1161</v>
      </c>
      <c r="D69" s="434"/>
      <c r="E69" s="665">
        <f>VLOOKUP(B69,Uitvoerbestand!$A$1:$I$185,9,FALSE)</f>
        <v>146.14000000000001</v>
      </c>
      <c r="F69" s="433">
        <f t="shared" si="14"/>
        <v>0</v>
      </c>
      <c r="G69" s="581"/>
      <c r="H69" s="761">
        <f t="shared" si="13"/>
        <v>850</v>
      </c>
      <c r="I69" s="1123" t="s">
        <v>673</v>
      </c>
      <c r="J69" s="36" t="s">
        <v>1169</v>
      </c>
      <c r="K69" s="764"/>
      <c r="L69" s="665">
        <f>VLOOKUP(I69,Uitvoerbestand!$A$1:$I$185,9,FALSE)</f>
        <v>36.120000000000005</v>
      </c>
      <c r="M69" s="765">
        <f>K69*L69</f>
        <v>0</v>
      </c>
    </row>
    <row r="70" spans="1:13" ht="12">
      <c r="A70" s="761">
        <f t="shared" si="15"/>
        <v>818</v>
      </c>
      <c r="B70" s="645" t="s">
        <v>934</v>
      </c>
      <c r="C70" s="645" t="s">
        <v>1162</v>
      </c>
      <c r="D70" s="434"/>
      <c r="E70" s="665">
        <f>VLOOKUP(B70,Uitvoerbestand!$A$1:$I$185,9,FALSE)</f>
        <v>398.12</v>
      </c>
      <c r="F70" s="433">
        <f t="shared" si="14"/>
        <v>0</v>
      </c>
      <c r="G70" s="581"/>
      <c r="H70" s="761">
        <f t="shared" si="13"/>
        <v>851</v>
      </c>
      <c r="I70" s="762" t="str">
        <f>CONCATENATE("Totaal regel ",H59," t/m ",H69,)</f>
        <v>Totaal regel 840 t/m 850</v>
      </c>
      <c r="J70" s="763"/>
      <c r="K70" s="766">
        <f>SUM(K59:K69)</f>
        <v>0</v>
      </c>
      <c r="L70" s="767"/>
      <c r="M70" s="766">
        <f>SUM(M59:M69)</f>
        <v>0</v>
      </c>
    </row>
    <row r="71" spans="1:7" ht="12">
      <c r="A71" s="761">
        <f t="shared" si="15"/>
        <v>819</v>
      </c>
      <c r="B71" s="645" t="s">
        <v>935</v>
      </c>
      <c r="C71" s="645" t="s">
        <v>1163</v>
      </c>
      <c r="D71" s="434"/>
      <c r="E71" s="665">
        <f>VLOOKUP(B71,Uitvoerbestand!$A$1:$I$185,9,FALSE)</f>
        <v>138.33</v>
      </c>
      <c r="F71" s="433">
        <f t="shared" si="14"/>
        <v>0</v>
      </c>
      <c r="G71" s="581"/>
    </row>
    <row r="72" spans="1:13" ht="12">
      <c r="A72" s="761">
        <f t="shared" si="15"/>
        <v>820</v>
      </c>
      <c r="B72" s="645" t="s">
        <v>936</v>
      </c>
      <c r="C72" s="645" t="s">
        <v>1164</v>
      </c>
      <c r="D72" s="434"/>
      <c r="E72" s="665">
        <f>VLOOKUP(B72,Uitvoerbestand!$A$1:$I$185,9,FALSE)</f>
        <v>89.03</v>
      </c>
      <c r="F72" s="433">
        <f t="shared" si="14"/>
        <v>0</v>
      </c>
      <c r="G72" s="581"/>
      <c r="H72" s="41"/>
      <c r="I72" s="1124" t="s">
        <v>1172</v>
      </c>
      <c r="J72" s="1125"/>
      <c r="K72" s="641" t="s">
        <v>975</v>
      </c>
      <c r="L72" s="642" t="s">
        <v>1215</v>
      </c>
      <c r="M72" s="642" t="s">
        <v>974</v>
      </c>
    </row>
    <row r="73" spans="1:13" ht="12">
      <c r="A73" s="761">
        <f t="shared" si="15"/>
        <v>821</v>
      </c>
      <c r="B73" s="645" t="s">
        <v>937</v>
      </c>
      <c r="C73" s="645" t="s">
        <v>1165</v>
      </c>
      <c r="D73" s="434"/>
      <c r="E73" s="665">
        <f>VLOOKUP(B73,Uitvoerbestand!$A$1:$I$185,9,FALSE)</f>
        <v>83.61</v>
      </c>
      <c r="F73" s="433">
        <f t="shared" si="14"/>
        <v>0</v>
      </c>
      <c r="G73" s="581"/>
      <c r="H73" s="761">
        <f>H70+1</f>
        <v>852</v>
      </c>
      <c r="I73" s="1123" t="s">
        <v>674</v>
      </c>
      <c r="J73" s="1123" t="s">
        <v>1160</v>
      </c>
      <c r="K73" s="434"/>
      <c r="L73" s="665">
        <f>VLOOKUP(I73,Uitvoerbestand!$A$1:$I$185,9,FALSE)</f>
        <v>19.05</v>
      </c>
      <c r="M73" s="433">
        <f aca="true" t="shared" si="16" ref="M73:M79">K73*L73</f>
        <v>0</v>
      </c>
    </row>
    <row r="74" spans="1:13" ht="12">
      <c r="A74" s="761">
        <f t="shared" si="15"/>
        <v>822</v>
      </c>
      <c r="B74" s="995" t="s">
        <v>164</v>
      </c>
      <c r="C74" s="453" t="s">
        <v>162</v>
      </c>
      <c r="D74" s="434"/>
      <c r="E74" s="665">
        <f>VLOOKUP(B74,Uitvoerbestand!$A$1:$I$185,9,FALSE)</f>
        <v>46.62</v>
      </c>
      <c r="F74" s="433">
        <f t="shared" si="14"/>
        <v>0</v>
      </c>
      <c r="G74" s="581"/>
      <c r="H74" s="761">
        <f aca="true" t="shared" si="17" ref="H74:H83">H73+1</f>
        <v>853</v>
      </c>
      <c r="I74" s="1123" t="s">
        <v>675</v>
      </c>
      <c r="J74" s="645" t="s">
        <v>1161</v>
      </c>
      <c r="K74" s="434"/>
      <c r="L74" s="665">
        <f>VLOOKUP(I74,Uitvoerbestand!$A$1:$I$185,9,FALSE)</f>
        <v>183.74</v>
      </c>
      <c r="M74" s="433">
        <f t="shared" si="16"/>
        <v>0</v>
      </c>
    </row>
    <row r="75" spans="1:13" ht="12">
      <c r="A75" s="761">
        <f t="shared" si="15"/>
        <v>823</v>
      </c>
      <c r="B75" s="645" t="s">
        <v>938</v>
      </c>
      <c r="C75" s="645" t="s">
        <v>1166</v>
      </c>
      <c r="D75" s="434"/>
      <c r="E75" s="665">
        <f>VLOOKUP(B75,Uitvoerbestand!$A$1:$I$185,9,FALSE)</f>
        <v>57.879999999999995</v>
      </c>
      <c r="F75" s="433">
        <f>D75*E75</f>
        <v>0</v>
      </c>
      <c r="G75" s="581"/>
      <c r="H75" s="761">
        <f t="shared" si="17"/>
        <v>854</v>
      </c>
      <c r="I75" s="1123" t="s">
        <v>676</v>
      </c>
      <c r="J75" s="645" t="s">
        <v>1162</v>
      </c>
      <c r="K75" s="434"/>
      <c r="L75" s="665">
        <f>VLOOKUP(I75,Uitvoerbestand!$A$1:$I$185,9,FALSE)</f>
        <v>380.8</v>
      </c>
      <c r="M75" s="433">
        <f t="shared" si="16"/>
        <v>0</v>
      </c>
    </row>
    <row r="76" spans="1:13" ht="12">
      <c r="A76" s="761">
        <f t="shared" si="15"/>
        <v>824</v>
      </c>
      <c r="B76" s="645" t="s">
        <v>1112</v>
      </c>
      <c r="C76" s="645" t="s">
        <v>1167</v>
      </c>
      <c r="D76" s="434"/>
      <c r="E76" s="665">
        <f>VLOOKUP(B76,Uitvoerbestand!$A$1:$I$185,9,FALSE)</f>
        <v>190.26</v>
      </c>
      <c r="F76" s="433">
        <f>D76*E76</f>
        <v>0</v>
      </c>
      <c r="G76" s="581"/>
      <c r="H76" s="761">
        <f t="shared" si="17"/>
        <v>855</v>
      </c>
      <c r="I76" s="1123" t="s">
        <v>677</v>
      </c>
      <c r="J76" s="645" t="s">
        <v>1163</v>
      </c>
      <c r="K76" s="434"/>
      <c r="L76" s="665">
        <f>VLOOKUP(I76,Uitvoerbestand!$A$1:$I$185,9,FALSE)</f>
        <v>93.54</v>
      </c>
      <c r="M76" s="433">
        <f t="shared" si="16"/>
        <v>0</v>
      </c>
    </row>
    <row r="77" spans="1:13" ht="12">
      <c r="A77" s="761">
        <f t="shared" si="15"/>
        <v>825</v>
      </c>
      <c r="B77" s="645" t="s">
        <v>1113</v>
      </c>
      <c r="C77" s="645" t="s">
        <v>1168</v>
      </c>
      <c r="D77" s="434"/>
      <c r="E77" s="665">
        <f>VLOOKUP(B77,Uitvoerbestand!$A$1:$I$185,9,FALSE)</f>
        <v>710.02</v>
      </c>
      <c r="F77" s="433">
        <f>D77*E77</f>
        <v>0</v>
      </c>
      <c r="G77" s="581"/>
      <c r="H77" s="761">
        <f t="shared" si="17"/>
        <v>856</v>
      </c>
      <c r="I77" s="1123" t="s">
        <v>678</v>
      </c>
      <c r="J77" s="645" t="s">
        <v>1164</v>
      </c>
      <c r="K77" s="434"/>
      <c r="L77" s="665">
        <f>VLOOKUP(I77,Uitvoerbestand!$A$1:$I$185,9,FALSE)</f>
        <v>63.089999999999996</v>
      </c>
      <c r="M77" s="433">
        <f t="shared" si="16"/>
        <v>0</v>
      </c>
    </row>
    <row r="78" spans="1:13" ht="12">
      <c r="A78" s="761">
        <f t="shared" si="15"/>
        <v>826</v>
      </c>
      <c r="B78" s="36" t="s">
        <v>1114</v>
      </c>
      <c r="C78" s="36" t="s">
        <v>1169</v>
      </c>
      <c r="D78" s="764"/>
      <c r="E78" s="665">
        <f>VLOOKUP(B78,Uitvoerbestand!$A$1:$I$185,9,FALSE)</f>
        <v>36.120000000000005</v>
      </c>
      <c r="F78" s="765">
        <f>D78*E78</f>
        <v>0</v>
      </c>
      <c r="G78" s="579"/>
      <c r="H78" s="761">
        <f t="shared" si="17"/>
        <v>857</v>
      </c>
      <c r="I78" s="1123" t="s">
        <v>679</v>
      </c>
      <c r="J78" s="645" t="s">
        <v>1165</v>
      </c>
      <c r="K78" s="434"/>
      <c r="L78" s="665">
        <f>VLOOKUP(I78,Uitvoerbestand!$A$1:$I$185,9,FALSE)</f>
        <v>79.38000000000001</v>
      </c>
      <c r="M78" s="433">
        <f t="shared" si="16"/>
        <v>0</v>
      </c>
    </row>
    <row r="79" spans="1:13" ht="12">
      <c r="A79" s="761">
        <f t="shared" si="15"/>
        <v>827</v>
      </c>
      <c r="B79" s="762" t="str">
        <f>CONCATENATE("Totaal regel ",A68," t/m ",A78,)</f>
        <v>Totaal regel 816 t/m 826</v>
      </c>
      <c r="C79" s="763"/>
      <c r="D79" s="766">
        <f>SUM(D68:D78)</f>
        <v>0</v>
      </c>
      <c r="E79" s="767"/>
      <c r="F79" s="766">
        <f>SUM(F68:F78)</f>
        <v>0</v>
      </c>
      <c r="G79" s="579"/>
      <c r="H79" s="761">
        <f t="shared" si="17"/>
        <v>858</v>
      </c>
      <c r="I79" s="1231" t="s">
        <v>166</v>
      </c>
      <c r="J79" s="453" t="s">
        <v>162</v>
      </c>
      <c r="K79" s="434"/>
      <c r="L79" s="665">
        <f>VLOOKUP(I79,Uitvoerbestand!$A$1:$I$185,9,FALSE)</f>
        <v>44.5</v>
      </c>
      <c r="M79" s="433">
        <f t="shared" si="16"/>
        <v>0</v>
      </c>
    </row>
    <row r="80" spans="7:13" ht="12">
      <c r="G80" s="581"/>
      <c r="H80" s="761">
        <f t="shared" si="17"/>
        <v>859</v>
      </c>
      <c r="I80" s="1123" t="s">
        <v>680</v>
      </c>
      <c r="J80" s="645" t="s">
        <v>1166</v>
      </c>
      <c r="K80" s="434"/>
      <c r="L80" s="665">
        <f>VLOOKUP(I80,Uitvoerbestand!$A$1:$I$185,9,FALSE)</f>
        <v>54.879999999999995</v>
      </c>
      <c r="M80" s="433">
        <f>K80*L80</f>
        <v>0</v>
      </c>
    </row>
    <row r="81" spans="6:13" ht="12">
      <c r="F81" s="472"/>
      <c r="G81" s="581"/>
      <c r="H81" s="761">
        <f t="shared" si="17"/>
        <v>860</v>
      </c>
      <c r="I81" s="1123" t="s">
        <v>681</v>
      </c>
      <c r="J81" s="645" t="s">
        <v>1167</v>
      </c>
      <c r="K81" s="434"/>
      <c r="L81" s="665">
        <f>VLOOKUP(I81,Uitvoerbestand!$A$1:$I$185,9,FALSE)</f>
        <v>190.26</v>
      </c>
      <c r="M81" s="433">
        <f>K81*L81</f>
        <v>0</v>
      </c>
    </row>
    <row r="82" spans="6:13" ht="12">
      <c r="F82" s="472"/>
      <c r="G82" s="581"/>
      <c r="H82" s="761">
        <f t="shared" si="17"/>
        <v>861</v>
      </c>
      <c r="I82" s="1123" t="s">
        <v>682</v>
      </c>
      <c r="J82" s="645" t="s">
        <v>1168</v>
      </c>
      <c r="K82" s="434"/>
      <c r="L82" s="665">
        <f>VLOOKUP(I82,Uitvoerbestand!$A$1:$I$185,9,FALSE)</f>
        <v>710.02</v>
      </c>
      <c r="M82" s="433">
        <f>K82*L82</f>
        <v>0</v>
      </c>
    </row>
    <row r="83" spans="6:13" ht="12">
      <c r="F83" s="472"/>
      <c r="G83" s="581"/>
      <c r="H83" s="761">
        <f t="shared" si="17"/>
        <v>862</v>
      </c>
      <c r="I83" s="1123" t="s">
        <v>683</v>
      </c>
      <c r="J83" s="36" t="s">
        <v>1169</v>
      </c>
      <c r="K83" s="764"/>
      <c r="L83" s="665">
        <f>VLOOKUP(I83,Uitvoerbestand!$A$1:$I$185,9,FALSE)</f>
        <v>36.120000000000005</v>
      </c>
      <c r="M83" s="765">
        <f>K83*L83</f>
        <v>0</v>
      </c>
    </row>
    <row r="84" spans="6:13" ht="12">
      <c r="F84" s="472"/>
      <c r="G84" s="581"/>
      <c r="H84" s="761">
        <f>H83+1</f>
        <v>863</v>
      </c>
      <c r="I84" s="762" t="str">
        <f>CONCATENATE("Totaal regel ",H73," t/m ",H83,)</f>
        <v>Totaal regel 852 t/m 862</v>
      </c>
      <c r="J84" s="763"/>
      <c r="K84" s="766">
        <f>SUM(K73:K83)</f>
        <v>0</v>
      </c>
      <c r="L84" s="767"/>
      <c r="M84" s="766">
        <f>SUM(M73:M83)</f>
        <v>0</v>
      </c>
    </row>
    <row r="85" spans="6:7" ht="12">
      <c r="F85" s="472"/>
      <c r="G85" s="581"/>
    </row>
    <row r="86" spans="6:7" ht="12">
      <c r="F86" s="472"/>
      <c r="G86" s="581"/>
    </row>
    <row r="87" spans="1:7" ht="12">
      <c r="A87" s="603"/>
      <c r="B87" s="603"/>
      <c r="C87" s="603"/>
      <c r="D87" s="580"/>
      <c r="E87" s="580"/>
      <c r="F87" s="1032"/>
      <c r="G87" s="581"/>
    </row>
    <row r="88" ht="15.75" customHeight="1">
      <c r="G88" s="581"/>
    </row>
    <row r="89" spans="1:14" ht="15.75" customHeight="1">
      <c r="A89" s="616" t="str">
        <f>Inhoud!$A$2</f>
        <v>Nacalculatieformulier 2005 GGZ-instellingen</v>
      </c>
      <c r="B89" s="631"/>
      <c r="C89" s="631"/>
      <c r="D89" s="635"/>
      <c r="E89" s="635"/>
      <c r="F89" s="631"/>
      <c r="G89" s="631"/>
      <c r="H89" s="631"/>
      <c r="I89" s="631"/>
      <c r="J89" s="631"/>
      <c r="K89" s="631"/>
      <c r="L89" s="631"/>
      <c r="M89" s="1258">
        <f>M42+1</f>
        <v>9</v>
      </c>
      <c r="N89" s="513"/>
    </row>
    <row r="90" spans="6:7" ht="12">
      <c r="F90" s="1229"/>
      <c r="G90" s="581"/>
    </row>
    <row r="91" spans="6:13" ht="12">
      <c r="F91" s="881"/>
      <c r="G91" s="581"/>
      <c r="H91" s="26"/>
      <c r="I91" s="27" t="s">
        <v>1157</v>
      </c>
      <c r="J91" s="451"/>
      <c r="K91" s="451"/>
      <c r="L91" s="451"/>
      <c r="M91" s="451"/>
    </row>
    <row r="92" spans="1:13" ht="12" customHeight="1">
      <c r="A92" s="41"/>
      <c r="B92" s="1124" t="s">
        <v>1173</v>
      </c>
      <c r="C92" s="1125"/>
      <c r="D92" s="641" t="s">
        <v>975</v>
      </c>
      <c r="E92" s="642" t="s">
        <v>1215</v>
      </c>
      <c r="F92" s="642" t="s">
        <v>974</v>
      </c>
      <c r="G92" s="579"/>
      <c r="H92" s="629"/>
      <c r="I92" s="640" t="s">
        <v>1090</v>
      </c>
      <c r="J92" s="640" t="s">
        <v>810</v>
      </c>
      <c r="K92" s="641" t="s">
        <v>975</v>
      </c>
      <c r="L92" s="1536" t="s">
        <v>791</v>
      </c>
      <c r="M92" s="642" t="s">
        <v>974</v>
      </c>
    </row>
    <row r="93" spans="1:16" ht="12" customHeight="1">
      <c r="A93" s="761">
        <f>M89*100+1</f>
        <v>901</v>
      </c>
      <c r="B93" s="1123" t="s">
        <v>1044</v>
      </c>
      <c r="C93" s="1123" t="s">
        <v>1160</v>
      </c>
      <c r="D93" s="434"/>
      <c r="E93" s="665">
        <f>VLOOKUP(B93,Uitvoerbestand!$A$1:$I$185,9,FALSE)</f>
        <v>19.05</v>
      </c>
      <c r="F93" s="433">
        <f aca="true" t="shared" si="18" ref="F93:F100">D93*E93</f>
        <v>0</v>
      </c>
      <c r="G93" s="579"/>
      <c r="H93" s="761">
        <f>A120+1</f>
        <v>925</v>
      </c>
      <c r="I93" s="36" t="s">
        <v>96</v>
      </c>
      <c r="J93" s="569" t="s">
        <v>1313</v>
      </c>
      <c r="K93" s="434"/>
      <c r="L93" s="1230"/>
      <c r="M93" s="433">
        <f>K93*L93</f>
        <v>0</v>
      </c>
      <c r="N93" s="1533"/>
      <c r="O93" s="697"/>
      <c r="P93" s="451"/>
    </row>
    <row r="94" spans="1:16" ht="12" customHeight="1">
      <c r="A94" s="761">
        <f aca="true" t="shared" si="19" ref="A94:A101">A93+1</f>
        <v>902</v>
      </c>
      <c r="B94" s="645" t="s">
        <v>947</v>
      </c>
      <c r="C94" s="645" t="s">
        <v>1161</v>
      </c>
      <c r="D94" s="434"/>
      <c r="E94" s="665">
        <f>VLOOKUP(B94,Uitvoerbestand!$A$1:$I$185,9,FALSE)</f>
        <v>350.89</v>
      </c>
      <c r="F94" s="433">
        <f t="shared" si="18"/>
        <v>0</v>
      </c>
      <c r="G94" s="579"/>
      <c r="H94" s="761">
        <f>H93+1</f>
        <v>926</v>
      </c>
      <c r="I94" s="36" t="s">
        <v>97</v>
      </c>
      <c r="J94" s="569" t="s">
        <v>100</v>
      </c>
      <c r="K94" s="434"/>
      <c r="L94" s="1230"/>
      <c r="M94" s="433">
        <f aca="true" t="shared" si="20" ref="M94:M109">K94*L94</f>
        <v>0</v>
      </c>
      <c r="N94" s="1533"/>
      <c r="O94" s="697"/>
      <c r="P94" s="451"/>
    </row>
    <row r="95" spans="1:16" ht="12" customHeight="1">
      <c r="A95" s="761">
        <f t="shared" si="19"/>
        <v>903</v>
      </c>
      <c r="B95" s="645" t="s">
        <v>948</v>
      </c>
      <c r="C95" s="645" t="s">
        <v>1163</v>
      </c>
      <c r="D95" s="434"/>
      <c r="E95" s="665">
        <f>VLOOKUP(B95,Uitvoerbestand!$A$1:$I$185,9,FALSE)</f>
        <v>185.04</v>
      </c>
      <c r="F95" s="433">
        <f t="shared" si="18"/>
        <v>0</v>
      </c>
      <c r="G95" s="579"/>
      <c r="H95" s="761">
        <f aca="true" t="shared" si="21" ref="H95:H106">H94+1</f>
        <v>927</v>
      </c>
      <c r="I95" s="36" t="s">
        <v>98</v>
      </c>
      <c r="J95" s="569" t="s">
        <v>101</v>
      </c>
      <c r="K95" s="434"/>
      <c r="L95" s="1230"/>
      <c r="M95" s="433">
        <f t="shared" si="20"/>
        <v>0</v>
      </c>
      <c r="N95" s="1533"/>
      <c r="O95" s="697"/>
      <c r="P95" s="451"/>
    </row>
    <row r="96" spans="1:16" ht="12" customHeight="1">
      <c r="A96" s="761">
        <f t="shared" si="19"/>
        <v>904</v>
      </c>
      <c r="B96" s="645" t="s">
        <v>949</v>
      </c>
      <c r="C96" s="645" t="s">
        <v>1164</v>
      </c>
      <c r="D96" s="434"/>
      <c r="E96" s="665">
        <f>VLOOKUP(B96,Uitvoerbestand!$A$1:$I$185,9,FALSE)</f>
        <v>109.4</v>
      </c>
      <c r="F96" s="433">
        <f t="shared" si="18"/>
        <v>0</v>
      </c>
      <c r="G96" s="579"/>
      <c r="H96" s="761">
        <f t="shared" si="21"/>
        <v>928</v>
      </c>
      <c r="I96" s="36" t="s">
        <v>99</v>
      </c>
      <c r="J96" s="569" t="s">
        <v>102</v>
      </c>
      <c r="K96" s="434"/>
      <c r="L96" s="1230"/>
      <c r="M96" s="433">
        <f t="shared" si="20"/>
        <v>0</v>
      </c>
      <c r="N96" s="1533"/>
      <c r="O96" s="697"/>
      <c r="P96" s="451"/>
    </row>
    <row r="97" spans="1:16" ht="12" customHeight="1">
      <c r="A97" s="761">
        <f t="shared" si="19"/>
        <v>905</v>
      </c>
      <c r="B97" s="645" t="s">
        <v>950</v>
      </c>
      <c r="C97" s="645" t="s">
        <v>1165</v>
      </c>
      <c r="D97" s="434"/>
      <c r="E97" s="665">
        <f>VLOOKUP(B97,Uitvoerbestand!$A$1:$I$185,9,FALSE)</f>
        <v>101.2</v>
      </c>
      <c r="F97" s="433">
        <f t="shared" si="18"/>
        <v>0</v>
      </c>
      <c r="G97" s="579"/>
      <c r="H97" s="761">
        <f t="shared" si="21"/>
        <v>929</v>
      </c>
      <c r="I97" s="36" t="s">
        <v>103</v>
      </c>
      <c r="J97" s="569" t="s">
        <v>104</v>
      </c>
      <c r="K97" s="434"/>
      <c r="L97" s="1230"/>
      <c r="M97" s="433">
        <f t="shared" si="20"/>
        <v>0</v>
      </c>
      <c r="N97" s="1533"/>
      <c r="O97" s="697"/>
      <c r="P97" s="451"/>
    </row>
    <row r="98" spans="1:16" ht="12">
      <c r="A98" s="761">
        <f t="shared" si="19"/>
        <v>906</v>
      </c>
      <c r="B98" s="1231" t="s">
        <v>167</v>
      </c>
      <c r="C98" s="453" t="s">
        <v>162</v>
      </c>
      <c r="D98" s="434"/>
      <c r="E98" s="665">
        <f>VLOOKUP(B98,Uitvoerbestand!$A$1:$I$185,9,FALSE)</f>
        <v>55.41</v>
      </c>
      <c r="F98" s="433">
        <f t="shared" si="18"/>
        <v>0</v>
      </c>
      <c r="G98" s="579"/>
      <c r="H98" s="761">
        <f t="shared" si="21"/>
        <v>930</v>
      </c>
      <c r="I98" s="36" t="s">
        <v>106</v>
      </c>
      <c r="J98" s="569" t="s">
        <v>105</v>
      </c>
      <c r="K98" s="434"/>
      <c r="L98" s="1230"/>
      <c r="M98" s="433">
        <f t="shared" si="20"/>
        <v>0</v>
      </c>
      <c r="N98" s="1533"/>
      <c r="O98" s="697"/>
      <c r="P98" s="451"/>
    </row>
    <row r="99" spans="1:16" ht="12">
      <c r="A99" s="761">
        <f t="shared" si="19"/>
        <v>907</v>
      </c>
      <c r="B99" s="1142" t="s">
        <v>1043</v>
      </c>
      <c r="C99" s="1142" t="s">
        <v>1166</v>
      </c>
      <c r="D99" s="764"/>
      <c r="E99" s="665">
        <f>VLOOKUP(B99,Uitvoerbestand!$A$1:$I$185,9,FALSE)</f>
        <v>71.25</v>
      </c>
      <c r="F99" s="765">
        <f t="shared" si="18"/>
        <v>0</v>
      </c>
      <c r="G99" s="579"/>
      <c r="H99" s="761">
        <f t="shared" si="21"/>
        <v>931</v>
      </c>
      <c r="I99" s="36" t="s">
        <v>903</v>
      </c>
      <c r="J99" s="569" t="s">
        <v>892</v>
      </c>
      <c r="K99" s="434"/>
      <c r="L99" s="1230"/>
      <c r="M99" s="433">
        <f t="shared" si="20"/>
        <v>0</v>
      </c>
      <c r="N99" s="1533"/>
      <c r="O99" s="697"/>
      <c r="P99" s="451"/>
    </row>
    <row r="100" spans="1:16" ht="12">
      <c r="A100" s="761">
        <f t="shared" si="19"/>
        <v>908</v>
      </c>
      <c r="B100" s="1231" t="s">
        <v>168</v>
      </c>
      <c r="C100" s="453" t="s">
        <v>146</v>
      </c>
      <c r="D100" s="434"/>
      <c r="E100" s="665">
        <f>VLOOKUP(B100,Uitvoerbestand!$A$1:$I$185,9,FALSE)</f>
        <v>91.79</v>
      </c>
      <c r="F100" s="433">
        <f t="shared" si="18"/>
        <v>0</v>
      </c>
      <c r="G100" s="579"/>
      <c r="H100" s="761">
        <f t="shared" si="21"/>
        <v>932</v>
      </c>
      <c r="I100" s="453" t="s">
        <v>705</v>
      </c>
      <c r="J100" s="569" t="s">
        <v>894</v>
      </c>
      <c r="K100" s="434"/>
      <c r="L100" s="1230"/>
      <c r="M100" s="433">
        <f t="shared" si="20"/>
        <v>0</v>
      </c>
      <c r="N100" s="1533"/>
      <c r="O100" s="697"/>
      <c r="P100" s="451"/>
    </row>
    <row r="101" spans="1:16" ht="12">
      <c r="A101" s="761">
        <f t="shared" si="19"/>
        <v>909</v>
      </c>
      <c r="B101" s="762" t="str">
        <f>CONCATENATE("Totaal regel ",A93," t/m ",A100)</f>
        <v>Totaal regel 901 t/m 908</v>
      </c>
      <c r="C101" s="763"/>
      <c r="D101" s="766">
        <f>SUM(D93:D100)</f>
        <v>0</v>
      </c>
      <c r="E101" s="767"/>
      <c r="F101" s="766">
        <f>SUM(F93:F100)</f>
        <v>0</v>
      </c>
      <c r="G101" s="581"/>
      <c r="H101" s="761">
        <f t="shared" si="21"/>
        <v>933</v>
      </c>
      <c r="I101" s="36" t="s">
        <v>108</v>
      </c>
      <c r="J101" s="570" t="s">
        <v>109</v>
      </c>
      <c r="K101" s="434"/>
      <c r="L101" s="1230"/>
      <c r="M101" s="433">
        <f t="shared" si="20"/>
        <v>0</v>
      </c>
      <c r="N101" s="1533"/>
      <c r="O101" s="697"/>
      <c r="P101" s="451"/>
    </row>
    <row r="102" spans="1:16" ht="12">
      <c r="A102" s="1232"/>
      <c r="B102" s="42"/>
      <c r="C102" s="562"/>
      <c r="E102" s="565"/>
      <c r="F102" s="465"/>
      <c r="G102" s="581"/>
      <c r="H102" s="761">
        <f t="shared" si="21"/>
        <v>934</v>
      </c>
      <c r="I102" s="36" t="s">
        <v>895</v>
      </c>
      <c r="J102" s="1231" t="s">
        <v>899</v>
      </c>
      <c r="K102" s="434"/>
      <c r="L102" s="1230"/>
      <c r="M102" s="433">
        <f t="shared" si="20"/>
        <v>0</v>
      </c>
      <c r="N102" s="1533"/>
      <c r="O102" s="697"/>
      <c r="P102" s="451"/>
    </row>
    <row r="103" spans="1:16" ht="12">
      <c r="A103" s="1233"/>
      <c r="B103" s="1124" t="s">
        <v>1174</v>
      </c>
      <c r="C103" s="1125"/>
      <c r="D103" s="641" t="s">
        <v>975</v>
      </c>
      <c r="E103" s="642" t="s">
        <v>1215</v>
      </c>
      <c r="F103" s="642" t="s">
        <v>974</v>
      </c>
      <c r="G103" s="581"/>
      <c r="H103" s="761">
        <f t="shared" si="21"/>
        <v>935</v>
      </c>
      <c r="I103" s="36" t="s">
        <v>896</v>
      </c>
      <c r="J103" s="1231" t="s">
        <v>893</v>
      </c>
      <c r="K103" s="434"/>
      <c r="L103" s="1230"/>
      <c r="M103" s="433">
        <f t="shared" si="20"/>
        <v>0</v>
      </c>
      <c r="N103" s="1533"/>
      <c r="O103" s="697"/>
      <c r="P103" s="451"/>
    </row>
    <row r="104" spans="1:16" ht="12.75" customHeight="1">
      <c r="A104" s="761">
        <f>A101+1</f>
        <v>910</v>
      </c>
      <c r="B104" s="1123" t="s">
        <v>66</v>
      </c>
      <c r="C104" s="1123" t="s">
        <v>171</v>
      </c>
      <c r="D104" s="434"/>
      <c r="E104" s="665">
        <f>VLOOKUP(B104,Uitvoerbestand!$A$1:$I$185,9,FALSE)</f>
        <v>64.87</v>
      </c>
      <c r="F104" s="433">
        <f>D104*E104</f>
        <v>0</v>
      </c>
      <c r="G104" s="581"/>
      <c r="H104" s="761">
        <f t="shared" si="21"/>
        <v>936</v>
      </c>
      <c r="I104" s="36" t="s">
        <v>897</v>
      </c>
      <c r="J104" s="1231" t="s">
        <v>900</v>
      </c>
      <c r="K104" s="434"/>
      <c r="L104" s="1230"/>
      <c r="M104" s="433">
        <f t="shared" si="20"/>
        <v>0</v>
      </c>
      <c r="N104" s="1533"/>
      <c r="O104" s="697"/>
      <c r="P104" s="451"/>
    </row>
    <row r="105" spans="1:16" ht="12.75" customHeight="1">
      <c r="A105" s="761">
        <f>A104+1</f>
        <v>911</v>
      </c>
      <c r="B105" s="645" t="s">
        <v>66</v>
      </c>
      <c r="C105" s="645" t="s">
        <v>172</v>
      </c>
      <c r="D105" s="434"/>
      <c r="E105" s="665">
        <f>VLOOKUP(B105,Uitvoerbestand!$A$1:$I$185,9,FALSE)</f>
        <v>64.87</v>
      </c>
      <c r="F105" s="433">
        <f>D105*E105</f>
        <v>0</v>
      </c>
      <c r="G105" s="581"/>
      <c r="H105" s="761">
        <f t="shared" si="21"/>
        <v>937</v>
      </c>
      <c r="I105" s="36" t="s">
        <v>75</v>
      </c>
      <c r="J105" s="1231" t="s">
        <v>901</v>
      </c>
      <c r="K105" s="434"/>
      <c r="L105" s="1230"/>
      <c r="M105" s="433">
        <f t="shared" si="20"/>
        <v>0</v>
      </c>
      <c r="N105" s="1533"/>
      <c r="O105" s="697"/>
      <c r="P105" s="451"/>
    </row>
    <row r="106" spans="1:16" ht="12.75" customHeight="1">
      <c r="A106" s="761">
        <f>A105+1</f>
        <v>912</v>
      </c>
      <c r="B106" s="762" t="str">
        <f>CONCATENATE("Totaal regel ",A104," t/m ",A105,)</f>
        <v>Totaal regel 910 t/m 911</v>
      </c>
      <c r="C106" s="762"/>
      <c r="D106" s="766">
        <f>SUM(D104:D105)</f>
        <v>0</v>
      </c>
      <c r="E106" s="767"/>
      <c r="F106" s="766">
        <f>F104+F105</f>
        <v>0</v>
      </c>
      <c r="G106" s="579"/>
      <c r="H106" s="761">
        <f t="shared" si="21"/>
        <v>938</v>
      </c>
      <c r="I106" s="36" t="s">
        <v>898</v>
      </c>
      <c r="J106" s="1231" t="s">
        <v>902</v>
      </c>
      <c r="K106" s="434"/>
      <c r="L106" s="1230"/>
      <c r="M106" s="433">
        <f t="shared" si="20"/>
        <v>0</v>
      </c>
      <c r="N106" s="1533"/>
      <c r="O106" s="697"/>
      <c r="P106" s="451"/>
    </row>
    <row r="107" spans="6:16" ht="12.75" customHeight="1">
      <c r="F107" s="1235"/>
      <c r="G107" s="581"/>
      <c r="H107" s="761">
        <f>H106+1</f>
        <v>939</v>
      </c>
      <c r="I107" s="434"/>
      <c r="J107" s="583"/>
      <c r="K107" s="434"/>
      <c r="L107" s="1230"/>
      <c r="M107" s="433">
        <f t="shared" si="20"/>
        <v>0</v>
      </c>
      <c r="N107" s="1534"/>
      <c r="O107" s="1535"/>
      <c r="P107" s="451"/>
    </row>
    <row r="108" spans="1:15" ht="12.75" customHeight="1">
      <c r="A108" s="41"/>
      <c r="B108" s="1124" t="s">
        <v>819</v>
      </c>
      <c r="C108" s="657"/>
      <c r="D108" s="641" t="s">
        <v>975</v>
      </c>
      <c r="E108" s="642" t="s">
        <v>1215</v>
      </c>
      <c r="F108" s="642" t="s">
        <v>974</v>
      </c>
      <c r="G108" s="579"/>
      <c r="H108" s="761">
        <f>H107+1</f>
        <v>940</v>
      </c>
      <c r="I108" s="434"/>
      <c r="J108" s="583"/>
      <c r="K108" s="434"/>
      <c r="L108" s="1230"/>
      <c r="M108" s="433">
        <f t="shared" si="20"/>
        <v>0</v>
      </c>
      <c r="O108"/>
    </row>
    <row r="109" spans="1:13" ht="12.75" customHeight="1">
      <c r="A109" s="761">
        <f>A106+1</f>
        <v>913</v>
      </c>
      <c r="B109" s="645" t="s">
        <v>627</v>
      </c>
      <c r="C109" s="645" t="s">
        <v>169</v>
      </c>
      <c r="D109" s="434"/>
      <c r="E109" s="1462">
        <f>VLOOKUP(B109,Uitvoerbestand!$A$1:$I$185,9,FALSE)</f>
        <v>126.83</v>
      </c>
      <c r="F109" s="433">
        <f aca="true" t="shared" si="22" ref="F109:F114">D109*E109</f>
        <v>0</v>
      </c>
      <c r="G109" s="579"/>
      <c r="H109" s="761">
        <f>H108+1</f>
        <v>941</v>
      </c>
      <c r="I109" s="434"/>
      <c r="J109" s="583"/>
      <c r="K109" s="434"/>
      <c r="L109" s="1230"/>
      <c r="M109" s="433">
        <f t="shared" si="20"/>
        <v>0</v>
      </c>
    </row>
    <row r="110" spans="1:13" ht="12.75" customHeight="1">
      <c r="A110" s="761">
        <f>A109+1</f>
        <v>914</v>
      </c>
      <c r="B110" s="645" t="s">
        <v>627</v>
      </c>
      <c r="C110" s="645" t="s">
        <v>170</v>
      </c>
      <c r="D110" s="434"/>
      <c r="E110" s="665">
        <f>VLOOKUP(B110,Uitvoerbestand!$A$1:$I$185,9,FALSE)</f>
        <v>126.83</v>
      </c>
      <c r="F110" s="433">
        <f t="shared" si="22"/>
        <v>0</v>
      </c>
      <c r="G110" s="579"/>
      <c r="H110" s="761">
        <f>H109+1</f>
        <v>942</v>
      </c>
      <c r="I110" s="762" t="str">
        <f>CONCATENATE("Totaal regel ",H93," t/m ",H109)</f>
        <v>Totaal regel 925 t/m 941</v>
      </c>
      <c r="J110" s="763"/>
      <c r="K110" s="766">
        <f>SUM(K93:K109)</f>
        <v>0</v>
      </c>
      <c r="L110" s="767"/>
      <c r="M110" s="766">
        <f>SUM(M93:M109)</f>
        <v>0</v>
      </c>
    </row>
    <row r="111" spans="1:9" ht="12.75" customHeight="1">
      <c r="A111" s="761">
        <f aca="true" t="shared" si="23" ref="A111:A120">A110+1</f>
        <v>915</v>
      </c>
      <c r="B111" s="645" t="s">
        <v>628</v>
      </c>
      <c r="C111" s="645" t="s">
        <v>626</v>
      </c>
      <c r="D111" s="434"/>
      <c r="E111" s="665">
        <f>VLOOKUP(B111,Uitvoerbestand!$A$1:$I$185,9,FALSE)</f>
        <v>143.8</v>
      </c>
      <c r="F111" s="433">
        <f t="shared" si="22"/>
        <v>0</v>
      </c>
      <c r="G111" s="579"/>
      <c r="I111" s="456" t="s">
        <v>1156</v>
      </c>
    </row>
    <row r="112" spans="1:9" ht="12">
      <c r="A112" s="761">
        <f t="shared" si="23"/>
        <v>916</v>
      </c>
      <c r="B112" s="1234" t="s">
        <v>629</v>
      </c>
      <c r="C112" s="645" t="s">
        <v>175</v>
      </c>
      <c r="D112" s="434"/>
      <c r="E112" s="907">
        <f>VLOOKUP(C112,Uitvoerbestand!$B$1:$I$182,8,FALSE)</f>
        <v>1474.28</v>
      </c>
      <c r="F112" s="433">
        <f t="shared" si="22"/>
        <v>0</v>
      </c>
      <c r="G112" s="581"/>
      <c r="I112" s="456" t="s">
        <v>904</v>
      </c>
    </row>
    <row r="113" spans="1:13" ht="12" customHeight="1">
      <c r="A113" s="761">
        <f t="shared" si="23"/>
        <v>917</v>
      </c>
      <c r="B113" s="645" t="s">
        <v>705</v>
      </c>
      <c r="C113" s="777" t="s">
        <v>174</v>
      </c>
      <c r="D113" s="434"/>
      <c r="E113" s="665">
        <f>VLOOKUP(B113,Uitvoerbestand!$A$1:$I$185,9,FALSE)</f>
        <v>75.29</v>
      </c>
      <c r="F113" s="433">
        <f t="shared" si="22"/>
        <v>0</v>
      </c>
      <c r="G113" s="581"/>
      <c r="I113" s="1563" t="s">
        <v>1155</v>
      </c>
      <c r="L113" s="1629"/>
      <c r="M113" s="1629"/>
    </row>
    <row r="114" spans="1:13" ht="12" customHeight="1">
      <c r="A114" s="761">
        <f t="shared" si="23"/>
        <v>918</v>
      </c>
      <c r="B114" s="1234" t="s">
        <v>629</v>
      </c>
      <c r="C114" s="569" t="s">
        <v>173</v>
      </c>
      <c r="D114" s="434"/>
      <c r="E114" s="907">
        <f>VLOOKUP(C114,Uitvoerbestand!$B$1:$I$182,8,FALSE)</f>
        <v>2956.14</v>
      </c>
      <c r="F114" s="433">
        <f t="shared" si="22"/>
        <v>0</v>
      </c>
      <c r="G114" s="579"/>
      <c r="L114" s="1629"/>
      <c r="M114" s="1629"/>
    </row>
    <row r="115" spans="1:13" ht="12" customHeight="1">
      <c r="A115" s="761">
        <f t="shared" si="23"/>
        <v>919</v>
      </c>
      <c r="B115" s="645" t="s">
        <v>75</v>
      </c>
      <c r="C115" s="456" t="s">
        <v>684</v>
      </c>
      <c r="D115" s="434"/>
      <c r="E115" s="665">
        <f>VLOOKUP(B115,Uitvoerbestand!$A$1:$I$185,9,FALSE)</f>
        <v>7.390000000000001</v>
      </c>
      <c r="F115" s="433">
        <f>D115*E115</f>
        <v>0</v>
      </c>
      <c r="G115" s="581"/>
      <c r="L115" s="1629"/>
      <c r="M115" s="1629"/>
    </row>
    <row r="116" spans="1:14" ht="13.5">
      <c r="A116" s="761">
        <f t="shared" si="23"/>
        <v>920</v>
      </c>
      <c r="B116" s="652" t="s">
        <v>921</v>
      </c>
      <c r="C116" s="351"/>
      <c r="D116" s="582"/>
      <c r="E116" s="582"/>
      <c r="F116" s="909"/>
      <c r="G116" s="579"/>
      <c r="L116" s="1629"/>
      <c r="M116" s="1629"/>
      <c r="N116" s="562"/>
    </row>
    <row r="117" spans="1:14" ht="13.5">
      <c r="A117" s="761">
        <f t="shared" si="23"/>
        <v>921</v>
      </c>
      <c r="B117" s="652" t="s">
        <v>922</v>
      </c>
      <c r="C117" s="351"/>
      <c r="D117" s="582"/>
      <c r="E117" s="582"/>
      <c r="F117" s="909"/>
      <c r="G117" s="581"/>
      <c r="L117" s="1629"/>
      <c r="M117" s="1629"/>
      <c r="N117"/>
    </row>
    <row r="118" spans="1:13" ht="12">
      <c r="A118" s="761">
        <f t="shared" si="23"/>
        <v>922</v>
      </c>
      <c r="B118" s="456" t="s">
        <v>792</v>
      </c>
      <c r="C118" s="351"/>
      <c r="D118" s="582"/>
      <c r="E118" s="582"/>
      <c r="F118" s="909"/>
      <c r="G118" s="581"/>
      <c r="L118" s="1629"/>
      <c r="M118" s="1629"/>
    </row>
    <row r="119" spans="1:7" ht="12.75" customHeight="1">
      <c r="A119" s="761">
        <f t="shared" si="23"/>
        <v>923</v>
      </c>
      <c r="B119" s="652" t="s">
        <v>923</v>
      </c>
      <c r="F119" s="909"/>
      <c r="G119" s="453"/>
    </row>
    <row r="120" spans="1:7" ht="12.75" customHeight="1">
      <c r="A120" s="761">
        <f t="shared" si="23"/>
        <v>924</v>
      </c>
      <c r="B120" s="762" t="str">
        <f>CONCATENATE("Totaal regel ",A109," t/m ",A119)</f>
        <v>Totaal regel 913 t/m 923</v>
      </c>
      <c r="C120" s="769"/>
      <c r="D120" s="781"/>
      <c r="E120" s="782"/>
      <c r="F120" s="766">
        <f>SUM(F109:F119)</f>
        <v>0</v>
      </c>
      <c r="G120" s="453"/>
    </row>
    <row r="121" spans="2:3" s="513" customFormat="1" ht="12.75" customHeight="1">
      <c r="B121" s="1522" t="s">
        <v>920</v>
      </c>
      <c r="C121" s="514"/>
    </row>
    <row r="122" spans="2:3" s="513" customFormat="1" ht="12.75" customHeight="1">
      <c r="B122" s="697" t="s">
        <v>793</v>
      </c>
      <c r="C122" s="514"/>
    </row>
    <row r="123" spans="2:3" s="513" customFormat="1" ht="12.75" customHeight="1">
      <c r="B123" s="697" t="s">
        <v>910</v>
      </c>
      <c r="C123" s="514"/>
    </row>
    <row r="124" spans="2:3" s="513" customFormat="1" ht="12.75" customHeight="1">
      <c r="B124" s="697" t="s">
        <v>1415</v>
      </c>
      <c r="C124" s="514"/>
    </row>
    <row r="125" spans="2:3" s="513" customFormat="1" ht="12.75" customHeight="1">
      <c r="B125" s="697"/>
      <c r="C125" s="514"/>
    </row>
    <row r="126" s="513" customFormat="1" ht="15.75" customHeight="1">
      <c r="G126" s="548"/>
    </row>
    <row r="127" spans="1:13" s="513" customFormat="1" ht="15.75" customHeight="1">
      <c r="A127" s="616" t="str">
        <f>Inhoud!$A$2</f>
        <v>Nacalculatieformulier 2005 GGZ-instellingen</v>
      </c>
      <c r="B127" s="631"/>
      <c r="C127" s="631"/>
      <c r="D127" s="635"/>
      <c r="E127" s="635"/>
      <c r="F127" s="631"/>
      <c r="G127" s="631"/>
      <c r="H127" s="631"/>
      <c r="I127" s="631"/>
      <c r="J127" s="631"/>
      <c r="K127" s="631"/>
      <c r="L127" s="631"/>
      <c r="M127" s="1258">
        <f>M89+1</f>
        <v>10</v>
      </c>
    </row>
    <row r="128" s="513" customFormat="1" ht="12.75" customHeight="1">
      <c r="G128" s="548"/>
    </row>
    <row r="129" spans="1:13" s="513" customFormat="1" ht="12.75" customHeight="1">
      <c r="A129" s="41"/>
      <c r="B129" s="1141" t="str">
        <f>CONCATENATE("Recapitulatie werkelijke productie ",Voorblad!E3)</f>
        <v>Recapitulatie werkelijke productie 2005</v>
      </c>
      <c r="C129" s="52"/>
      <c r="D129" s="720"/>
      <c r="E129" s="1644" t="s">
        <v>1215</v>
      </c>
      <c r="F129" s="1645"/>
      <c r="G129" s="548"/>
      <c r="H129" s="41"/>
      <c r="I129" s="1135" t="str">
        <f>CONCATENATE("Beschikbaar productiebudget *) ",Voorblad!E3)</f>
        <v>Beschikbaar productiebudget *) 2005</v>
      </c>
      <c r="J129" s="52"/>
      <c r="K129" s="720"/>
      <c r="L129" s="1634" t="s">
        <v>1215</v>
      </c>
      <c r="M129" s="1635"/>
    </row>
    <row r="130" spans="1:13" s="513" customFormat="1" ht="12.75" customHeight="1">
      <c r="A130" s="761">
        <f>M127*100+1</f>
        <v>1001</v>
      </c>
      <c r="B130" s="408" t="str">
        <f>CONCATENATE(B7," (regel ",A14,")")</f>
        <v>Dagen verslavingszorg (regel 707)</v>
      </c>
      <c r="C130" s="1120"/>
      <c r="D130" s="1140"/>
      <c r="E130" s="1648">
        <f>F14</f>
        <v>0</v>
      </c>
      <c r="F130" s="1649"/>
      <c r="G130" s="548"/>
      <c r="H130" s="761">
        <f>A153+1</f>
        <v>1024</v>
      </c>
      <c r="I130" s="778" t="s">
        <v>1365</v>
      </c>
      <c r="J130" s="1120"/>
      <c r="K130" s="1134"/>
      <c r="L130" s="1630"/>
      <c r="M130" s="1631"/>
    </row>
    <row r="131" spans="1:13" s="513" customFormat="1" ht="12.75" customHeight="1">
      <c r="A131" s="761">
        <f aca="true" t="shared" si="24" ref="A131:A150">A130+1</f>
        <v>1002</v>
      </c>
      <c r="B131" s="652" t="str">
        <f>CONCATENATE(B16," (regel ",A24,")")</f>
        <v>Dagen kinderen en jeugd (regel 715)</v>
      </c>
      <c r="C131" s="351"/>
      <c r="D131" s="660"/>
      <c r="E131" s="1646">
        <f>F24</f>
        <v>0</v>
      </c>
      <c r="F131" s="1647"/>
      <c r="G131" s="548"/>
      <c r="H131" s="761">
        <f aca="true" t="shared" si="25" ref="H131:H136">H130+1</f>
        <v>1025</v>
      </c>
      <c r="I131" s="570" t="s">
        <v>1373</v>
      </c>
      <c r="J131" s="351"/>
      <c r="K131" s="663"/>
      <c r="L131" s="1636"/>
      <c r="M131" s="1637"/>
    </row>
    <row r="132" spans="1:13" s="513" customFormat="1" ht="12.75" customHeight="1">
      <c r="A132" s="761">
        <f t="shared" si="24"/>
        <v>1003</v>
      </c>
      <c r="B132" s="652" t="str">
        <f>CONCATENATE(B26," (regel ",A36,")")</f>
        <v>Dagen volwassenen en ouderen (regel 725)</v>
      </c>
      <c r="C132" s="351"/>
      <c r="D132" s="660"/>
      <c r="E132" s="1646">
        <f>F36</f>
        <v>0</v>
      </c>
      <c r="F132" s="1647"/>
      <c r="G132" s="548"/>
      <c r="H132" s="761">
        <f t="shared" si="25"/>
        <v>1026</v>
      </c>
      <c r="I132" s="570" t="s">
        <v>111</v>
      </c>
      <c r="J132" s="351"/>
      <c r="K132" s="663"/>
      <c r="L132" s="1636"/>
      <c r="M132" s="1637"/>
    </row>
    <row r="133" spans="1:13" s="513" customFormat="1" ht="12.75" customHeight="1">
      <c r="A133" s="761">
        <f t="shared" si="24"/>
        <v>1004</v>
      </c>
      <c r="B133" s="652" t="str">
        <f>CONCATENATE(I7," (regel ",H14,")")</f>
        <v>Dagen forensisch (regel 732)</v>
      </c>
      <c r="C133" s="351"/>
      <c r="D133" s="660"/>
      <c r="E133" s="1646">
        <f>M14</f>
        <v>0</v>
      </c>
      <c r="F133" s="1647"/>
      <c r="G133" s="548"/>
      <c r="H133" s="761">
        <f t="shared" si="25"/>
        <v>1027</v>
      </c>
      <c r="I133" s="570" t="s">
        <v>112</v>
      </c>
      <c r="J133" s="453"/>
      <c r="K133" s="453"/>
      <c r="L133" s="1636"/>
      <c r="M133" s="1637"/>
    </row>
    <row r="134" spans="1:13" s="513" customFormat="1" ht="12.75" customHeight="1">
      <c r="A134" s="761">
        <f t="shared" si="24"/>
        <v>1005</v>
      </c>
      <c r="B134" s="652" t="str">
        <f>CONCATENATE(I16," (regel ",H16,")")</f>
        <v>Dagen intensieve behandelingen (regel 733)</v>
      </c>
      <c r="C134" s="351"/>
      <c r="D134" s="660"/>
      <c r="E134" s="1646">
        <f>M16</f>
        <v>0</v>
      </c>
      <c r="F134" s="1647"/>
      <c r="G134" s="548"/>
      <c r="H134" s="761">
        <f t="shared" si="25"/>
        <v>1028</v>
      </c>
      <c r="I134" s="984" t="s">
        <v>873</v>
      </c>
      <c r="J134" s="582"/>
      <c r="K134" s="663"/>
      <c r="L134" s="1636"/>
      <c r="M134" s="1637"/>
    </row>
    <row r="135" spans="1:13" s="513" customFormat="1" ht="12.75" customHeight="1">
      <c r="A135" s="761">
        <f t="shared" si="24"/>
        <v>1006</v>
      </c>
      <c r="B135" s="652" t="str">
        <f>CONCATENATE(I18," (regel ",H23,")")</f>
        <v>Verzorgingsdagen Beschermd Wonen (regel 738)</v>
      </c>
      <c r="E135" s="1646">
        <f>M23</f>
        <v>0</v>
      </c>
      <c r="F135" s="1647"/>
      <c r="G135" s="548"/>
      <c r="H135" s="761">
        <f t="shared" si="25"/>
        <v>1029</v>
      </c>
      <c r="I135" s="513" t="s">
        <v>1334</v>
      </c>
      <c r="L135" s="1636"/>
      <c r="M135" s="1637"/>
    </row>
    <row r="136" spans="1:13" s="513" customFormat="1" ht="12.75" customHeight="1">
      <c r="A136" s="761">
        <f t="shared" si="24"/>
        <v>1007</v>
      </c>
      <c r="B136" s="652" t="str">
        <f>CONCATENATE(I26," (regel ",H29,")")</f>
        <v>Deeltijd verslavingszorg (regel 741)</v>
      </c>
      <c r="C136" s="351"/>
      <c r="D136" s="660"/>
      <c r="E136" s="1646">
        <f>M29</f>
        <v>0</v>
      </c>
      <c r="F136" s="1647"/>
      <c r="G136" s="548"/>
      <c r="H136" s="761">
        <f t="shared" si="25"/>
        <v>1030</v>
      </c>
      <c r="I136" s="762" t="str">
        <f>CONCATENATE("Beschikbaar prod.budget (",H130," t/m ",H133," - ",H134," - ",H135,")")</f>
        <v>Beschikbaar prod.budget (1024 t/m 1027 - 1028 - 1029)</v>
      </c>
      <c r="J136" s="769"/>
      <c r="K136" s="779"/>
      <c r="L136" s="1639">
        <f>SUM(L130:M133)-L134-L135</f>
        <v>0</v>
      </c>
      <c r="M136" s="1633"/>
    </row>
    <row r="137" spans="1:13" s="513" customFormat="1" ht="12.75" customHeight="1">
      <c r="A137" s="761">
        <f t="shared" si="24"/>
        <v>1008</v>
      </c>
      <c r="B137" s="652" t="str">
        <f>CONCATENATE(I32," (regel ",H36,")")</f>
        <v>Deeltijd kinderen en jeugd (regel 745)</v>
      </c>
      <c r="C137" s="351"/>
      <c r="D137" s="660"/>
      <c r="E137" s="1646">
        <f>M36</f>
        <v>0</v>
      </c>
      <c r="F137" s="1633"/>
      <c r="G137" s="548"/>
      <c r="H137" s="761">
        <f>H136+1</f>
        <v>1031</v>
      </c>
      <c r="I137" s="778" t="str">
        <f>CONCATENATE("Over-/onderschrijding (regel ",A150,"  -/- ",H136,")")</f>
        <v>Over-/onderschrijding (regel 1021  -/- 1030)</v>
      </c>
      <c r="J137" s="778"/>
      <c r="K137" s="778"/>
      <c r="L137" s="1640">
        <f>E150-L136</f>
        <v>0</v>
      </c>
      <c r="M137" s="1641"/>
    </row>
    <row r="138" spans="1:13" s="513" customFormat="1" ht="12.75" customHeight="1">
      <c r="A138" s="761">
        <f t="shared" si="24"/>
        <v>1009</v>
      </c>
      <c r="B138" s="652" t="str">
        <f>CONCATENATE(B44," (regel ",A51,")")</f>
        <v>Deeltijd volwassenen en ouderen (regel 807)</v>
      </c>
      <c r="C138" s="351"/>
      <c r="D138" s="660"/>
      <c r="E138" s="1646">
        <f>F51</f>
        <v>0</v>
      </c>
      <c r="F138" s="1633"/>
      <c r="G138" s="548"/>
      <c r="H138" s="761">
        <f>H137+1</f>
        <v>1032</v>
      </c>
      <c r="I138" s="776" t="str">
        <f>CONCATENATE("Nacalculatie productie ",Voorblad!E3)</f>
        <v>Nacalculatie productie 2005</v>
      </c>
      <c r="J138" s="572"/>
      <c r="K138" s="1078"/>
      <c r="L138" s="1638">
        <f>IF(AND(L137&gt;0,L134&lt;0),0,IF(AND(L137&gt;0,L134&gt;=0),0,L137))</f>
        <v>0</v>
      </c>
      <c r="M138" s="1577"/>
    </row>
    <row r="139" spans="1:14" s="513" customFormat="1" ht="12.75" customHeight="1">
      <c r="A139" s="761">
        <f t="shared" si="24"/>
        <v>1010</v>
      </c>
      <c r="B139" s="652" t="str">
        <f>CONCATENATE(B53," (regel ",A53,")")</f>
        <v>Deeltijd forensisch (regel 808)</v>
      </c>
      <c r="C139" s="351"/>
      <c r="D139" s="660"/>
      <c r="E139" s="1646">
        <f>F53</f>
        <v>0</v>
      </c>
      <c r="F139" s="1633"/>
      <c r="G139" s="548"/>
      <c r="H139" s="761">
        <f>H138+1</f>
        <v>1033</v>
      </c>
      <c r="I139" s="776" t="s">
        <v>905</v>
      </c>
      <c r="J139" s="1457"/>
      <c r="K139" s="1458"/>
      <c r="L139" s="1632" t="str">
        <f>IF(L138=0," ",ROUND(L138/L136,2))</f>
        <v> </v>
      </c>
      <c r="M139" s="1633"/>
      <c r="N139" s="1548"/>
    </row>
    <row r="140" spans="1:13" s="513" customFormat="1" ht="12.75" customHeight="1">
      <c r="A140" s="761">
        <f t="shared" si="24"/>
        <v>1011</v>
      </c>
      <c r="B140" s="652" t="str">
        <f>CONCATENATE(B55," (regel ",A61,")")</f>
        <v>Eerste opnames (regel 814)</v>
      </c>
      <c r="C140" s="351"/>
      <c r="D140" s="660"/>
      <c r="E140" s="1646">
        <f>F61</f>
        <v>0</v>
      </c>
      <c r="F140" s="1633"/>
      <c r="G140" s="548"/>
      <c r="H140" s="761">
        <f>H139+1</f>
        <v>1034</v>
      </c>
      <c r="I140" s="776" t="str">
        <f>CONCATENATE("Mutatie nacalculatie productie ****) ",Voorblad!E5)</f>
        <v>Mutatie nacalculatie productie ****) </v>
      </c>
      <c r="J140" s="572"/>
      <c r="K140" s="1078"/>
      <c r="L140" s="1636"/>
      <c r="M140" s="1637"/>
    </row>
    <row r="141" spans="1:13" s="513" customFormat="1" ht="12.75" customHeight="1">
      <c r="A141" s="761">
        <f t="shared" si="24"/>
        <v>1012</v>
      </c>
      <c r="B141" s="652" t="str">
        <f>CONCATENATE(B63," (regel ",A64,")")</f>
        <v>Zorgvernieuwing (regel 815)</v>
      </c>
      <c r="C141" s="351"/>
      <c r="D141" s="660"/>
      <c r="E141" s="1646">
        <f>F64</f>
        <v>0</v>
      </c>
      <c r="F141" s="1633"/>
      <c r="G141" s="548"/>
      <c r="H141" s="761">
        <f>H140+1</f>
        <v>1035</v>
      </c>
      <c r="I141" s="776" t="str">
        <f>CONCATENATE("Definitieve nacalculatie productie ",Voorblad!E6)</f>
        <v>Definitieve nacalculatie productie </v>
      </c>
      <c r="J141" s="572"/>
      <c r="K141" s="1078"/>
      <c r="L141" s="1639">
        <f>L138+L140</f>
        <v>0</v>
      </c>
      <c r="M141" s="1633"/>
    </row>
    <row r="142" spans="1:8" s="513" customFormat="1" ht="12.75" customHeight="1">
      <c r="A142" s="761">
        <f t="shared" si="24"/>
        <v>1013</v>
      </c>
      <c r="B142" s="652" t="str">
        <f>CONCATENATE(B67," (regel ",A79,")")</f>
        <v>Ambulant kinderen en jeugd (regel 827)</v>
      </c>
      <c r="C142" s="351"/>
      <c r="D142" s="660"/>
      <c r="E142" s="1646">
        <f>F79</f>
        <v>0</v>
      </c>
      <c r="F142" s="1633"/>
      <c r="G142" s="548"/>
      <c r="H142" s="456" t="s">
        <v>1416</v>
      </c>
    </row>
    <row r="143" spans="1:8" s="513" customFormat="1" ht="12.75" customHeight="1">
      <c r="A143" s="761">
        <f t="shared" si="24"/>
        <v>1014</v>
      </c>
      <c r="B143" s="652" t="str">
        <f>CONCATENATE(I44," (regel ",H56,")")</f>
        <v>Ambulant volwassenen (regel 839)</v>
      </c>
      <c r="C143" s="351"/>
      <c r="D143" s="660"/>
      <c r="E143" s="1646">
        <f>M56</f>
        <v>0</v>
      </c>
      <c r="F143" s="1633"/>
      <c r="G143" s="548"/>
      <c r="H143" s="451" t="s">
        <v>645</v>
      </c>
    </row>
    <row r="144" spans="1:12" s="513" customFormat="1" ht="12.75" customHeight="1">
      <c r="A144" s="761">
        <f t="shared" si="24"/>
        <v>1015</v>
      </c>
      <c r="B144" s="652" t="str">
        <f>CONCATENATE(I58," (regel ",H70,")")</f>
        <v>Ambulant ouderen (regel 851)</v>
      </c>
      <c r="C144" s="351"/>
      <c r="D144" s="660"/>
      <c r="E144" s="1646">
        <f>M70</f>
        <v>0</v>
      </c>
      <c r="F144" s="1633"/>
      <c r="G144" s="548"/>
      <c r="H144" s="1402" t="s">
        <v>646</v>
      </c>
      <c r="I144" s="456"/>
      <c r="J144" s="456"/>
      <c r="K144" s="472"/>
      <c r="L144" s="472"/>
    </row>
    <row r="145" spans="1:13" s="513" customFormat="1" ht="12.75" customHeight="1">
      <c r="A145" s="761">
        <f t="shared" si="24"/>
        <v>1016</v>
      </c>
      <c r="B145" s="652" t="str">
        <f>CONCATENATE(I72," (regel ",H84,")")</f>
        <v>Ambulant verslavingszorg (regel 863)</v>
      </c>
      <c r="C145" s="351"/>
      <c r="D145" s="660"/>
      <c r="E145" s="1646">
        <f>M84</f>
        <v>0</v>
      </c>
      <c r="F145" s="1633"/>
      <c r="G145" s="548"/>
      <c r="H145" s="451" t="s">
        <v>651</v>
      </c>
      <c r="I145" s="453"/>
      <c r="J145" s="453"/>
      <c r="K145" s="453"/>
      <c r="L145" s="453"/>
      <c r="M145" s="453"/>
    </row>
    <row r="146" spans="1:13" s="513" customFormat="1" ht="12.75" customHeight="1">
      <c r="A146" s="761">
        <f t="shared" si="24"/>
        <v>1017</v>
      </c>
      <c r="B146" s="652" t="str">
        <f>CONCATENATE(B92," (regel ",A101,")")</f>
        <v>Ambulant forensisch (regel 909)</v>
      </c>
      <c r="C146" s="661"/>
      <c r="D146" s="660"/>
      <c r="E146" s="1646">
        <f>F101</f>
        <v>0</v>
      </c>
      <c r="F146" s="1633"/>
      <c r="G146" s="548"/>
      <c r="H146" s="451" t="s">
        <v>653</v>
      </c>
      <c r="I146" s="453"/>
      <c r="J146" s="453"/>
      <c r="K146" s="453"/>
      <c r="L146" s="453"/>
      <c r="M146" s="453"/>
    </row>
    <row r="147" spans="1:13" s="513" customFormat="1" ht="12.75" customHeight="1">
      <c r="A147" s="761">
        <f t="shared" si="24"/>
        <v>1018</v>
      </c>
      <c r="B147" s="652" t="str">
        <f>CONCATENATE(B103," (regel ",A106,")")</f>
        <v>Dienstverlening en preventie (regel 912)</v>
      </c>
      <c r="C147" s="661"/>
      <c r="D147" s="660"/>
      <c r="E147" s="1646">
        <f>F106</f>
        <v>0</v>
      </c>
      <c r="F147" s="1633"/>
      <c r="G147" s="548"/>
      <c r="H147" s="555" t="s">
        <v>654</v>
      </c>
      <c r="I147" s="453"/>
      <c r="J147" s="453"/>
      <c r="K147" s="453"/>
      <c r="L147" s="453"/>
      <c r="M147" s="453"/>
    </row>
    <row r="148" spans="1:13" s="513" customFormat="1" ht="12.75" customHeight="1">
      <c r="A148" s="761">
        <f t="shared" si="24"/>
        <v>1019</v>
      </c>
      <c r="B148" s="1075" t="str">
        <f>CONCATENATE(B108," (regel ",A120,")")</f>
        <v>Overig (regel 924)</v>
      </c>
      <c r="C148" s="661"/>
      <c r="D148" s="1076"/>
      <c r="E148" s="1646">
        <f>F120</f>
        <v>0</v>
      </c>
      <c r="F148" s="1633"/>
      <c r="G148" s="548"/>
      <c r="H148" s="472" t="s">
        <v>1335</v>
      </c>
      <c r="I148" s="453"/>
      <c r="J148" s="453"/>
      <c r="K148" s="453"/>
      <c r="L148" s="453"/>
      <c r="M148" s="453"/>
    </row>
    <row r="149" spans="1:13" s="513" customFormat="1" ht="12.75" customHeight="1">
      <c r="A149" s="761">
        <f t="shared" si="24"/>
        <v>1020</v>
      </c>
      <c r="B149" s="1075" t="str">
        <f>CONCATENATE("Sectoroverstijgende productie"," (regel ",H110,")")</f>
        <v>Sectoroverstijgende productie (regel 942)</v>
      </c>
      <c r="C149" s="582"/>
      <c r="D149" s="1077"/>
      <c r="E149" s="1646">
        <f>M110</f>
        <v>0</v>
      </c>
      <c r="F149" s="1633"/>
      <c r="G149" s="548"/>
      <c r="H149" s="472" t="s">
        <v>1078</v>
      </c>
      <c r="I149" s="456"/>
      <c r="J149" s="564"/>
      <c r="K149" s="459"/>
      <c r="L149" s="456"/>
      <c r="M149" s="456"/>
    </row>
    <row r="150" spans="1:13" s="513" customFormat="1" ht="12.75" customHeight="1">
      <c r="A150" s="761">
        <f t="shared" si="24"/>
        <v>1021</v>
      </c>
      <c r="B150" s="762" t="str">
        <f>CONCATENATE("Werkelijke productie (regel ",A130," t/m ",A149,")")</f>
        <v>Werkelijke productie (regel 1001 t/m 1020)</v>
      </c>
      <c r="C150" s="769"/>
      <c r="D150" s="779"/>
      <c r="E150" s="1639">
        <f>SUM(E130:E149)</f>
        <v>0</v>
      </c>
      <c r="F150" s="1633"/>
      <c r="G150" s="548"/>
      <c r="H150" s="472" t="s">
        <v>1079</v>
      </c>
      <c r="I150" s="1403"/>
      <c r="J150" s="1403"/>
      <c r="K150" s="1403"/>
      <c r="L150" s="1403"/>
      <c r="M150" s="1403"/>
    </row>
    <row r="151" spans="7:13" ht="12.75" customHeight="1">
      <c r="G151" s="573"/>
      <c r="H151" s="465" t="s">
        <v>1080</v>
      </c>
      <c r="I151" s="1403"/>
      <c r="J151" s="1403"/>
      <c r="K151" s="1403"/>
      <c r="L151" s="1403"/>
      <c r="M151" s="1403"/>
    </row>
    <row r="152" spans="1:13" ht="12.75" customHeight="1">
      <c r="A152" s="761">
        <f>A150+1</f>
        <v>1022</v>
      </c>
      <c r="B152" s="652" t="s">
        <v>1307</v>
      </c>
      <c r="C152" s="661"/>
      <c r="D152" s="660"/>
      <c r="E152" s="1636"/>
      <c r="F152" s="1650"/>
      <c r="G152" s="581"/>
      <c r="H152" s="451" t="str">
        <f>CONCATENATE("****) Door partijen voorgestelde mutatie op nacalculatie productie conform regel ",H138)</f>
        <v>****) Door partijen voorgestelde mutatie op nacalculatie productie conform regel 1032</v>
      </c>
      <c r="I152" s="1403"/>
      <c r="J152" s="1403"/>
      <c r="K152" s="1403"/>
      <c r="L152" s="1403"/>
      <c r="M152" s="1403"/>
    </row>
    <row r="153" spans="1:13" ht="12.75" customHeight="1">
      <c r="A153" s="761">
        <f>A152+1</f>
        <v>1023</v>
      </c>
      <c r="B153" s="652" t="s">
        <v>79</v>
      </c>
      <c r="C153" s="661"/>
      <c r="D153" s="660"/>
      <c r="E153" s="1651" t="str">
        <f>IF(E152=0," ",ROUND(E150/E152,4)-1)</f>
        <v> </v>
      </c>
      <c r="F153" s="1641"/>
      <c r="G153" s="580"/>
      <c r="H153" s="513"/>
      <c r="I153" s="1403"/>
      <c r="J153" s="1403"/>
      <c r="K153" s="1403"/>
      <c r="L153" s="1403"/>
      <c r="M153" s="1403"/>
    </row>
    <row r="154" spans="7:13" ht="12.75" customHeight="1">
      <c r="G154" s="580"/>
      <c r="H154" s="562" t="s">
        <v>639</v>
      </c>
      <c r="I154" s="1124" t="s">
        <v>72</v>
      </c>
      <c r="J154" s="1001"/>
      <c r="K154" s="1139"/>
      <c r="L154" s="1001" t="s">
        <v>640</v>
      </c>
      <c r="M154" s="1338"/>
    </row>
    <row r="155" spans="2:13" ht="12.75" customHeight="1">
      <c r="B155" s="455"/>
      <c r="C155" s="455"/>
      <c r="D155" s="455"/>
      <c r="E155" s="455"/>
      <c r="F155" s="455"/>
      <c r="G155" s="580"/>
      <c r="H155" s="774">
        <f>H141+1</f>
        <v>1036</v>
      </c>
      <c r="I155" s="1136" t="s">
        <v>68</v>
      </c>
      <c r="J155" s="843"/>
      <c r="K155" s="976"/>
      <c r="L155" s="1137">
        <v>14.1</v>
      </c>
      <c r="M155" s="1138">
        <f>K155*L155</f>
        <v>0</v>
      </c>
    </row>
    <row r="156" spans="2:13" ht="12.75" customHeight="1">
      <c r="B156" s="455"/>
      <c r="C156" s="455"/>
      <c r="D156" s="455"/>
      <c r="E156" s="455"/>
      <c r="F156" s="455"/>
      <c r="G156" s="580"/>
      <c r="H156" s="774">
        <f>H155+1</f>
        <v>1037</v>
      </c>
      <c r="I156" s="908" t="s">
        <v>70</v>
      </c>
      <c r="J156" s="1052"/>
      <c r="K156" s="1052"/>
      <c r="L156" s="1053"/>
      <c r="M156" s="434"/>
    </row>
    <row r="157" spans="2:13" ht="12.75" customHeight="1">
      <c r="B157" s="455"/>
      <c r="C157" s="455"/>
      <c r="D157" s="455"/>
      <c r="E157" s="455"/>
      <c r="F157" s="455"/>
      <c r="G157" s="580"/>
      <c r="H157" s="774">
        <f>H156+1</f>
        <v>1038</v>
      </c>
      <c r="I157" s="908" t="s">
        <v>781</v>
      </c>
      <c r="J157" s="1052"/>
      <c r="K157" s="1052"/>
      <c r="L157" s="1053"/>
      <c r="M157" s="1054">
        <f>M155-M156</f>
        <v>0</v>
      </c>
    </row>
    <row r="158" spans="2:13" ht="12.75" customHeight="1">
      <c r="B158" s="455"/>
      <c r="C158" s="455"/>
      <c r="D158" s="455"/>
      <c r="E158" s="455"/>
      <c r="F158" s="455"/>
      <c r="G158" s="580"/>
      <c r="H158" s="774">
        <f>H157+1</f>
        <v>1039</v>
      </c>
      <c r="I158" s="908" t="s">
        <v>71</v>
      </c>
      <c r="J158" s="1052"/>
      <c r="K158" s="1055" t="s">
        <v>117</v>
      </c>
      <c r="L158" s="1056">
        <v>0.75</v>
      </c>
      <c r="M158" s="1057" t="str">
        <f>IF(AND(K158="ja",M157&lt;0),L158*-M157," ")</f>
        <v> </v>
      </c>
    </row>
    <row r="159" spans="2:13" ht="12" customHeight="1">
      <c r="B159" s="555"/>
      <c r="C159" s="455"/>
      <c r="D159" s="455"/>
      <c r="E159" s="455"/>
      <c r="F159" s="455"/>
      <c r="G159" s="580"/>
      <c r="H159" s="774">
        <f>H158+1</f>
        <v>1040</v>
      </c>
      <c r="I159" s="908" t="str">
        <f>CONCATENATE("Totaal nacalculatie vervoerskosten (regel ",H155," + ",H158,")")</f>
        <v>Totaal nacalculatie vervoerskosten (regel 1036 + 1039)</v>
      </c>
      <c r="J159" s="1052"/>
      <c r="K159" s="1052"/>
      <c r="L159" s="1053"/>
      <c r="M159" s="1054">
        <f>IF(M158=" ",M155,M155+M158)</f>
        <v>0</v>
      </c>
    </row>
    <row r="160" spans="7:13" ht="12" customHeight="1">
      <c r="G160" s="580"/>
      <c r="H160" s="1642" t="s">
        <v>1417</v>
      </c>
      <c r="I160" s="1643"/>
      <c r="J160" s="1643"/>
      <c r="K160" s="1643"/>
      <c r="L160" s="1643"/>
      <c r="M160" s="1643"/>
    </row>
    <row r="161" spans="7:13" ht="12">
      <c r="G161" s="581"/>
      <c r="H161" s="1586"/>
      <c r="I161" s="1586"/>
      <c r="J161" s="1586"/>
      <c r="K161" s="1586"/>
      <c r="L161" s="1586"/>
      <c r="M161" s="1586"/>
    </row>
    <row r="162" spans="8:13" ht="12">
      <c r="H162" s="1586"/>
      <c r="I162" s="1586"/>
      <c r="J162" s="1586"/>
      <c r="K162" s="1586"/>
      <c r="L162" s="1586"/>
      <c r="M162" s="1586"/>
    </row>
    <row r="163" spans="8:13" ht="12">
      <c r="H163" s="1586"/>
      <c r="I163" s="1586"/>
      <c r="J163" s="1586"/>
      <c r="K163" s="1586"/>
      <c r="L163" s="1586"/>
      <c r="M163" s="1586"/>
    </row>
    <row r="165" ht="12">
      <c r="C165" s="564"/>
    </row>
    <row r="167" ht="12">
      <c r="C167" s="564"/>
    </row>
    <row r="192" ht="12">
      <c r="C192" s="564"/>
    </row>
    <row r="193" ht="12">
      <c r="C193" s="564"/>
    </row>
    <row r="194" ht="12">
      <c r="C194" s="564"/>
    </row>
    <row r="195" ht="12">
      <c r="C195" s="564"/>
    </row>
    <row r="196" ht="12">
      <c r="C196" s="564"/>
    </row>
    <row r="197" ht="12">
      <c r="C197" s="564"/>
    </row>
    <row r="198" ht="12">
      <c r="C198" s="564"/>
    </row>
    <row r="199" ht="12">
      <c r="C199" s="564"/>
    </row>
    <row r="200" ht="12">
      <c r="C200" s="564"/>
    </row>
    <row r="201" ht="12">
      <c r="C201" s="564"/>
    </row>
    <row r="202" ht="12">
      <c r="C202" s="564"/>
    </row>
    <row r="203" ht="12">
      <c r="C203" s="564"/>
    </row>
    <row r="204" ht="12">
      <c r="C204" s="564"/>
    </row>
    <row r="205" ht="12">
      <c r="C205" s="564"/>
    </row>
    <row r="206" ht="12">
      <c r="C206" s="564"/>
    </row>
    <row r="207" ht="12">
      <c r="C207" s="564"/>
    </row>
    <row r="208" ht="12">
      <c r="C208" s="564"/>
    </row>
    <row r="209" ht="12">
      <c r="C209" s="564"/>
    </row>
    <row r="210" ht="12">
      <c r="C210" s="564"/>
    </row>
    <row r="211" ht="12">
      <c r="C211" s="564"/>
    </row>
    <row r="212" ht="12">
      <c r="C212" s="564"/>
    </row>
    <row r="213" ht="12">
      <c r="C213" s="564"/>
    </row>
    <row r="214" ht="12">
      <c r="C214" s="564"/>
    </row>
    <row r="215" ht="12">
      <c r="C215" s="564"/>
    </row>
    <row r="216" ht="12">
      <c r="C216" s="564"/>
    </row>
    <row r="217" ht="12">
      <c r="C217" s="564"/>
    </row>
    <row r="218" ht="12">
      <c r="C218" s="564"/>
    </row>
    <row r="219" ht="12">
      <c r="C219" s="564"/>
    </row>
    <row r="220" ht="12">
      <c r="C220" s="564"/>
    </row>
    <row r="221" ht="12">
      <c r="C221" s="564"/>
    </row>
    <row r="222" ht="12">
      <c r="C222" s="564"/>
    </row>
    <row r="223" ht="12">
      <c r="C223" s="564"/>
    </row>
    <row r="224" ht="12">
      <c r="C224" s="564"/>
    </row>
    <row r="225" ht="12">
      <c r="C225" s="564"/>
    </row>
    <row r="226" ht="12">
      <c r="C226" s="564"/>
    </row>
    <row r="227" ht="12">
      <c r="C227" s="564"/>
    </row>
    <row r="228" ht="12">
      <c r="C228" s="564"/>
    </row>
    <row r="229" ht="12">
      <c r="C229" s="564"/>
    </row>
    <row r="230" ht="12">
      <c r="C230" s="564"/>
    </row>
    <row r="231" ht="12">
      <c r="C231" s="564"/>
    </row>
    <row r="232" ht="12">
      <c r="C232" s="564"/>
    </row>
    <row r="233" ht="12">
      <c r="C233" s="564"/>
    </row>
    <row r="234" ht="12">
      <c r="C234" s="564"/>
    </row>
  </sheetData>
  <sheetProtection password="958F" sheet="1" objects="1" scenarios="1"/>
  <mergeCells count="44">
    <mergeCell ref="E144:F144"/>
    <mergeCell ref="E152:F152"/>
    <mergeCell ref="E148:F148"/>
    <mergeCell ref="E153:F153"/>
    <mergeCell ref="E146:F146"/>
    <mergeCell ref="E150:F150"/>
    <mergeCell ref="E145:F145"/>
    <mergeCell ref="E147:F147"/>
    <mergeCell ref="E149:F149"/>
    <mergeCell ref="E142:F142"/>
    <mergeCell ref="E143:F143"/>
    <mergeCell ref="E139:F139"/>
    <mergeCell ref="E140:F140"/>
    <mergeCell ref="E141:F141"/>
    <mergeCell ref="E129:F129"/>
    <mergeCell ref="E135:F135"/>
    <mergeCell ref="E137:F137"/>
    <mergeCell ref="E138:F138"/>
    <mergeCell ref="E136:F136"/>
    <mergeCell ref="E132:F132"/>
    <mergeCell ref="E130:F130"/>
    <mergeCell ref="E133:F133"/>
    <mergeCell ref="E131:F131"/>
    <mergeCell ref="E134:F134"/>
    <mergeCell ref="L138:M138"/>
    <mergeCell ref="L136:M136"/>
    <mergeCell ref="L137:M137"/>
    <mergeCell ref="H160:M163"/>
    <mergeCell ref="L140:M140"/>
    <mergeCell ref="L141:M141"/>
    <mergeCell ref="L113:M113"/>
    <mergeCell ref="L114:M114"/>
    <mergeCell ref="L115:M115"/>
    <mergeCell ref="L116:M116"/>
    <mergeCell ref="L117:M117"/>
    <mergeCell ref="L118:M118"/>
    <mergeCell ref="L130:M130"/>
    <mergeCell ref="L139:M139"/>
    <mergeCell ref="L129:M129"/>
    <mergeCell ref="L131:M131"/>
    <mergeCell ref="L132:M132"/>
    <mergeCell ref="L134:M134"/>
    <mergeCell ref="L133:M133"/>
    <mergeCell ref="L135:M135"/>
  </mergeCells>
  <conditionalFormatting sqref="K155 M156 K158 E152:F152 L130:L135 L140 D104:D105 D109:D115 D17:D23 D8:D13 F116:F119 K16 D93:D100 F64 D56:D60 D45:D50 D53 K33:K35 K19:K22 K27:K28 K93:L109 D27:D35 K8:K13 K45:K55 K59:K69 K73:K83 D68:D78 I107:J109">
    <cfRule type="expression" priority="1" dxfId="2" stopIfTrue="1">
      <formula>$H$2=TRUE</formula>
    </cfRule>
  </conditionalFormatting>
  <conditionalFormatting sqref="M155 M158">
    <cfRule type="expression" priority="2" dxfId="1" stopIfTrue="1">
      <formula>$K$2=TRUE</formula>
    </cfRule>
  </conditionalFormatting>
  <conditionalFormatting sqref="N93:N106">
    <cfRule type="expression" priority="3" dxfId="4" stopIfTrue="1">
      <formula>$F$5=TRUE</formula>
    </cfRule>
  </conditionalFormatting>
  <dataValidations count="2">
    <dataValidation type="list" allowBlank="1" showInputMessage="1" showErrorMessage="1" sqref="K158">
      <formula1>"ja,nee,n.v.t.,ja/nee"</formula1>
    </dataValidation>
    <dataValidation type="whole" operator="lessThanOrEqual" allowBlank="1" showInputMessage="1" showErrorMessage="1" errorTitle="Mutatie nacalculatie productie" error="De mutatie nacalculatie productie moet kleiner of gelijk zijn aan 0" sqref="L140:M140">
      <formula1>0</formula1>
    </dataValidation>
  </dataValidations>
  <printOptions/>
  <pageMargins left="0.3937007874015748" right="0.3937007874015748" top="0.3937007874015748" bottom="0.3937007874015748" header="0" footer="0.11811023622047245"/>
  <pageSetup horizontalDpi="300" verticalDpi="300" orientation="landscape" paperSize="9" scale="95" r:id="rId2"/>
  <headerFooter alignWithMargins="0">
    <oddHeader xml:space="preserve">&amp;R&amp;9 </oddHeader>
  </headerFooter>
  <rowBreaks count="3" manualBreakCount="3">
    <brk id="40" max="255" man="1"/>
    <brk id="87" max="13" man="1"/>
    <brk id="125" max="12" man="1"/>
  </rowBreaks>
  <drawing r:id="rId1"/>
</worksheet>
</file>

<file path=xl/worksheets/sheet6.xml><?xml version="1.0" encoding="utf-8"?>
<worksheet xmlns="http://schemas.openxmlformats.org/spreadsheetml/2006/main" xmlns:r="http://schemas.openxmlformats.org/officeDocument/2006/relationships">
  <sheetPr codeName="Blad6"/>
  <dimension ref="A2:P111"/>
  <sheetViews>
    <sheetView showGridLines="0" zoomScale="86" zoomScaleNormal="86" workbookViewId="0" topLeftCell="A1">
      <selection activeCell="A2" sqref="A2"/>
    </sheetView>
  </sheetViews>
  <sheetFormatPr defaultColWidth="9.140625" defaultRowHeight="12.75"/>
  <cols>
    <col min="1" max="1" width="5.7109375" style="455" customWidth="1"/>
    <col min="2" max="2" width="5.140625" style="456" customWidth="1"/>
    <col min="3" max="3" width="25.7109375" style="456" customWidth="1"/>
    <col min="4" max="4" width="10.28125" style="459" customWidth="1"/>
    <col min="5" max="5" width="10.57421875" style="456" customWidth="1"/>
    <col min="6" max="6" width="12.7109375" style="456" customWidth="1"/>
    <col min="7" max="7" width="2.7109375" style="458" customWidth="1"/>
    <col min="8" max="8" width="5.7109375" style="455" customWidth="1"/>
    <col min="9" max="9" width="5.140625" style="456" customWidth="1"/>
    <col min="10" max="10" width="25.7109375" style="472" customWidth="1"/>
    <col min="11" max="11" width="10.28125" style="456" customWidth="1"/>
    <col min="12" max="12" width="8.7109375" style="456" customWidth="1"/>
    <col min="13" max="13" width="12.7109375" style="456" customWidth="1"/>
    <col min="14" max="14" width="4.00390625" style="453" customWidth="1"/>
    <col min="15" max="15" width="10.7109375" style="453" customWidth="1"/>
    <col min="16" max="16" width="10.7109375" style="451" customWidth="1"/>
    <col min="17" max="21" width="10.7109375" style="453" customWidth="1"/>
    <col min="22" max="29" width="9.140625" style="453" customWidth="1"/>
    <col min="30" max="30" width="1.7109375" style="453" customWidth="1"/>
    <col min="31" max="16384" width="9.140625" style="453" customWidth="1"/>
  </cols>
  <sheetData>
    <row r="1" ht="15.75" customHeight="1"/>
    <row r="2" spans="1:16" s="513" customFormat="1" ht="15.75" customHeight="1">
      <c r="A2" s="616" t="str">
        <f>Inhoud!$A$2</f>
        <v>Nacalculatieformulier 2005 GGZ-instellingen</v>
      </c>
      <c r="B2" s="631"/>
      <c r="C2" s="631"/>
      <c r="D2" s="632"/>
      <c r="E2" s="633"/>
      <c r="F2" s="633"/>
      <c r="G2" s="542"/>
      <c r="H2" s="634" t="b">
        <f>Voorblad!E28</f>
        <v>1</v>
      </c>
      <c r="I2" s="631"/>
      <c r="J2" s="634"/>
      <c r="K2" s="631"/>
      <c r="L2" s="635"/>
      <c r="M2" s="1258">
        <f>Productie!M127+1</f>
        <v>11</v>
      </c>
      <c r="P2" s="514"/>
    </row>
    <row r="3" spans="1:13" ht="7.5" customHeight="1">
      <c r="A3" s="41"/>
      <c r="B3" s="42"/>
      <c r="C3" s="42"/>
      <c r="D3" s="43"/>
      <c r="E3" s="42"/>
      <c r="F3" s="42"/>
      <c r="G3" s="45"/>
      <c r="H3" s="41"/>
      <c r="I3" s="42"/>
      <c r="J3" s="90"/>
      <c r="K3" s="42"/>
      <c r="L3" s="42"/>
      <c r="M3" s="90"/>
    </row>
    <row r="4" spans="1:16" ht="12.75" customHeight="1">
      <c r="A4" s="14" t="str">
        <f>CONCATENATE("RUBRIEK 2: WERKELIJKE OPBRENGSTEN")</f>
        <v>RUBRIEK 2: WERKELIJKE OPBRENGSTEN</v>
      </c>
      <c r="B4" s="95"/>
      <c r="C4" s="95"/>
      <c r="D4" s="636"/>
      <c r="E4" s="387"/>
      <c r="F4" s="637"/>
      <c r="G4" s="95"/>
      <c r="H4" s="33"/>
      <c r="I4" s="42"/>
      <c r="J4" s="95"/>
      <c r="K4" s="638"/>
      <c r="L4" s="95"/>
      <c r="M4" s="95"/>
      <c r="N4" s="451"/>
      <c r="P4" s="453"/>
    </row>
    <row r="5" spans="1:16" ht="7.5" customHeight="1">
      <c r="A5" s="41"/>
      <c r="B5" s="639"/>
      <c r="C5" s="639"/>
      <c r="D5" s="639"/>
      <c r="E5" s="639"/>
      <c r="F5" s="639"/>
      <c r="G5" s="639"/>
      <c r="H5" s="639"/>
      <c r="I5" s="639"/>
      <c r="J5" s="639"/>
      <c r="K5" s="639"/>
      <c r="L5" s="639"/>
      <c r="M5" s="639"/>
      <c r="P5" s="453"/>
    </row>
    <row r="6" spans="1:16" ht="12.75" customHeight="1">
      <c r="A6" s="26" t="s">
        <v>1261</v>
      </c>
      <c r="B6" s="27" t="s">
        <v>1367</v>
      </c>
      <c r="C6" s="573"/>
      <c r="E6" s="573"/>
      <c r="F6" s="644"/>
      <c r="G6" s="573"/>
      <c r="H6" s="26" t="s">
        <v>1263</v>
      </c>
      <c r="I6" s="27" t="s">
        <v>1222</v>
      </c>
      <c r="P6" s="453"/>
    </row>
    <row r="7" spans="2:13" s="451" customFormat="1" ht="12.75" customHeight="1">
      <c r="B7" s="640" t="s">
        <v>1090</v>
      </c>
      <c r="C7" s="640" t="s">
        <v>810</v>
      </c>
      <c r="D7" s="1150" t="s">
        <v>125</v>
      </c>
      <c r="E7" s="642" t="s">
        <v>126</v>
      </c>
      <c r="F7" s="642" t="s">
        <v>974</v>
      </c>
      <c r="G7" s="450"/>
      <c r="H7" s="455"/>
      <c r="I7" s="640" t="s">
        <v>1090</v>
      </c>
      <c r="J7" s="640" t="s">
        <v>810</v>
      </c>
      <c r="K7" s="1150" t="s">
        <v>975</v>
      </c>
      <c r="L7" s="642" t="s">
        <v>1366</v>
      </c>
      <c r="M7" s="642" t="s">
        <v>974</v>
      </c>
    </row>
    <row r="8" spans="1:15" s="451" customFormat="1" ht="12.75" customHeight="1">
      <c r="A8" s="761">
        <f>(100*M2)+1</f>
        <v>1101</v>
      </c>
      <c r="B8" s="645" t="s">
        <v>1068</v>
      </c>
      <c r="C8" s="645" t="s">
        <v>931</v>
      </c>
      <c r="D8" s="434"/>
      <c r="E8" s="910"/>
      <c r="F8" s="433">
        <f aca="true" t="shared" si="0" ref="F8:F14">D8*E8</f>
        <v>0</v>
      </c>
      <c r="G8" s="450"/>
      <c r="H8" s="761">
        <f>A43+1</f>
        <v>1125</v>
      </c>
      <c r="I8" s="1142" t="s">
        <v>932</v>
      </c>
      <c r="J8" s="654" t="s">
        <v>973</v>
      </c>
      <c r="K8" s="913">
        <f>Productie!D68</f>
        <v>0</v>
      </c>
      <c r="L8" s="1063">
        <f>VLOOKUP(I8,Uitvoerbestand!$A$186:$I$300,9,FALSE)</f>
        <v>22</v>
      </c>
      <c r="M8" s="433">
        <f aca="true" t="shared" si="1" ref="M8:M26">K8*L8</f>
        <v>0</v>
      </c>
      <c r="O8" s="1412"/>
    </row>
    <row r="9" spans="1:15" ht="12.75" customHeight="1">
      <c r="A9" s="761">
        <f aca="true" t="shared" si="2" ref="A9:A16">A8+1</f>
        <v>1102</v>
      </c>
      <c r="B9" s="645" t="s">
        <v>1069</v>
      </c>
      <c r="C9" s="645" t="s">
        <v>930</v>
      </c>
      <c r="D9" s="434"/>
      <c r="E9" s="910"/>
      <c r="F9" s="433">
        <f t="shared" si="0"/>
        <v>0</v>
      </c>
      <c r="G9" s="452"/>
      <c r="H9" s="761">
        <f>H8+1</f>
        <v>1126</v>
      </c>
      <c r="I9" s="1142" t="s">
        <v>933</v>
      </c>
      <c r="J9" s="645"/>
      <c r="K9" s="913">
        <f>Productie!D69</f>
        <v>0</v>
      </c>
      <c r="L9" s="1063">
        <f>VLOOKUP(I9,Uitvoerbestand!$A$186:$I$300,9,FALSE)</f>
        <v>168</v>
      </c>
      <c r="M9" s="433">
        <f t="shared" si="1"/>
        <v>0</v>
      </c>
      <c r="O9" s="1412"/>
    </row>
    <row r="10" spans="1:15" ht="12.75" customHeight="1">
      <c r="A10" s="761">
        <f t="shared" si="2"/>
        <v>1103</v>
      </c>
      <c r="B10" s="645" t="s">
        <v>1070</v>
      </c>
      <c r="C10" s="645" t="s">
        <v>928</v>
      </c>
      <c r="D10" s="434"/>
      <c r="E10" s="910"/>
      <c r="F10" s="433">
        <f t="shared" si="0"/>
        <v>0</v>
      </c>
      <c r="G10" s="452"/>
      <c r="H10" s="761">
        <f>H9+1</f>
        <v>1127</v>
      </c>
      <c r="I10" s="1142" t="s">
        <v>934</v>
      </c>
      <c r="J10" s="645"/>
      <c r="K10" s="913">
        <f>Productie!D70</f>
        <v>0</v>
      </c>
      <c r="L10" s="1063">
        <f>VLOOKUP(I10,Uitvoerbestand!$A$186:$I$300,9,FALSE)</f>
        <v>461</v>
      </c>
      <c r="M10" s="433">
        <f t="shared" si="1"/>
        <v>0</v>
      </c>
      <c r="O10" s="1412"/>
    </row>
    <row r="11" spans="1:15" ht="12.75" customHeight="1">
      <c r="A11" s="761">
        <f>A10+1</f>
        <v>1104</v>
      </c>
      <c r="B11" s="645" t="s">
        <v>1071</v>
      </c>
      <c r="C11" s="645" t="s">
        <v>1058</v>
      </c>
      <c r="D11" s="434"/>
      <c r="E11" s="910"/>
      <c r="F11" s="433">
        <f t="shared" si="0"/>
        <v>0</v>
      </c>
      <c r="G11" s="452"/>
      <c r="H11" s="761">
        <f>H10+1</f>
        <v>1128</v>
      </c>
      <c r="I11" s="1142" t="s">
        <v>935</v>
      </c>
      <c r="J11" s="645"/>
      <c r="K11" s="913">
        <f>Productie!D71</f>
        <v>0</v>
      </c>
      <c r="L11" s="1063">
        <f>VLOOKUP(I11,Uitvoerbestand!$A$186:$I$300,9,FALSE)</f>
        <v>159</v>
      </c>
      <c r="M11" s="433">
        <f t="shared" si="1"/>
        <v>0</v>
      </c>
      <c r="O11" s="1412"/>
    </row>
    <row r="12" spans="1:15" ht="12.75" customHeight="1">
      <c r="A12" s="761">
        <f t="shared" si="2"/>
        <v>1105</v>
      </c>
      <c r="B12" s="645" t="s">
        <v>1072</v>
      </c>
      <c r="C12" s="645" t="s">
        <v>1062</v>
      </c>
      <c r="D12" s="434"/>
      <c r="E12" s="910"/>
      <c r="F12" s="433">
        <f t="shared" si="0"/>
        <v>0</v>
      </c>
      <c r="G12" s="452"/>
      <c r="H12" s="761">
        <f>H11+1</f>
        <v>1129</v>
      </c>
      <c r="I12" s="1142" t="s">
        <v>936</v>
      </c>
      <c r="J12" s="645"/>
      <c r="K12" s="913">
        <f>Productie!D72</f>
        <v>0</v>
      </c>
      <c r="L12" s="1063">
        <f>VLOOKUP(I12,Uitvoerbestand!$A$186:$I$300,9,FALSE)</f>
        <v>102</v>
      </c>
      <c r="M12" s="433">
        <f t="shared" si="1"/>
        <v>0</v>
      </c>
      <c r="O12" s="1412"/>
    </row>
    <row r="13" spans="1:15" ht="12.75" customHeight="1">
      <c r="A13" s="761">
        <f t="shared" si="2"/>
        <v>1106</v>
      </c>
      <c r="B13" s="645" t="s">
        <v>1073</v>
      </c>
      <c r="C13" s="645" t="s">
        <v>929</v>
      </c>
      <c r="D13" s="434"/>
      <c r="E13" s="910"/>
      <c r="F13" s="433">
        <f t="shared" si="0"/>
        <v>0</v>
      </c>
      <c r="G13" s="452"/>
      <c r="H13" s="761">
        <f>H12+1</f>
        <v>1130</v>
      </c>
      <c r="I13" s="1142" t="s">
        <v>937</v>
      </c>
      <c r="J13" s="645"/>
      <c r="K13" s="913">
        <f>Productie!D73</f>
        <v>0</v>
      </c>
      <c r="L13" s="1063">
        <f>VLOOKUP(I13,Uitvoerbestand!$A$186:$I$300,9,FALSE)</f>
        <v>95</v>
      </c>
      <c r="M13" s="433">
        <f t="shared" si="1"/>
        <v>0</v>
      </c>
      <c r="O13" s="1412"/>
    </row>
    <row r="14" spans="1:15" ht="12.75" customHeight="1">
      <c r="A14" s="761">
        <f t="shared" si="2"/>
        <v>1107</v>
      </c>
      <c r="B14" s="36" t="s">
        <v>1074</v>
      </c>
      <c r="C14" s="36" t="s">
        <v>1075</v>
      </c>
      <c r="D14" s="434"/>
      <c r="E14" s="1063">
        <f>VLOOKUP(B14,Uitvoerbestand!$A$186:$I$300,9,FALSE)</f>
        <v>146</v>
      </c>
      <c r="F14" s="433">
        <f t="shared" si="0"/>
        <v>0</v>
      </c>
      <c r="G14" s="452"/>
      <c r="H14" s="761">
        <f aca="true" t="shared" si="3" ref="H14:H43">H13+1</f>
        <v>1131</v>
      </c>
      <c r="I14" s="1142" t="s">
        <v>164</v>
      </c>
      <c r="J14" s="453" t="s">
        <v>663</v>
      </c>
      <c r="K14" s="913">
        <f>Productie!D74</f>
        <v>0</v>
      </c>
      <c r="L14" s="1063">
        <f>VLOOKUP(I14,Uitvoerbestand!$A$186:$I$300,9,FALSE)</f>
        <v>51</v>
      </c>
      <c r="M14" s="433">
        <f t="shared" si="1"/>
        <v>0</v>
      </c>
      <c r="O14" s="1412"/>
    </row>
    <row r="15" spans="1:15" ht="12.75" customHeight="1">
      <c r="A15" s="761">
        <f>A14+1</f>
        <v>1108</v>
      </c>
      <c r="B15" s="796"/>
      <c r="C15" s="796"/>
      <c r="D15" s="764"/>
      <c r="E15" s="911"/>
      <c r="F15" s="765">
        <f>D15*E15</f>
        <v>0</v>
      </c>
      <c r="G15" s="452"/>
      <c r="H15" s="761">
        <f t="shared" si="3"/>
        <v>1132</v>
      </c>
      <c r="I15" s="1142" t="s">
        <v>938</v>
      </c>
      <c r="J15" s="645"/>
      <c r="K15" s="913">
        <f>Productie!D75</f>
        <v>0</v>
      </c>
      <c r="L15" s="1063">
        <f>VLOOKUP(I15,Uitvoerbestand!$A$186:$I$300,9,FALSE)</f>
        <v>66</v>
      </c>
      <c r="M15" s="433">
        <f t="shared" si="1"/>
        <v>0</v>
      </c>
      <c r="O15" s="1412"/>
    </row>
    <row r="16" spans="1:15" ht="12.75" customHeight="1">
      <c r="A16" s="761">
        <f t="shared" si="2"/>
        <v>1109</v>
      </c>
      <c r="B16" s="762" t="str">
        <f>CONCATENATE("Totaal regel ",A8," t/m ",A15,)</f>
        <v>Totaal regel 1101 t/m 1108</v>
      </c>
      <c r="C16" s="763"/>
      <c r="D16" s="766">
        <f>SUM(D8:D15)</f>
        <v>0</v>
      </c>
      <c r="E16" s="767"/>
      <c r="F16" s="766">
        <f>SUM(F8:F15)</f>
        <v>0</v>
      </c>
      <c r="G16" s="452"/>
      <c r="H16" s="761">
        <f t="shared" si="3"/>
        <v>1133</v>
      </c>
      <c r="I16" s="1142" t="s">
        <v>1112</v>
      </c>
      <c r="J16" s="655"/>
      <c r="K16" s="913">
        <f>Productie!D76</f>
        <v>0</v>
      </c>
      <c r="L16" s="1063">
        <f>VLOOKUP(I16,Uitvoerbestand!$A$186:$I$300,9,FALSE)</f>
        <v>219</v>
      </c>
      <c r="M16" s="433">
        <f t="shared" si="1"/>
        <v>0</v>
      </c>
      <c r="O16" s="1412"/>
    </row>
    <row r="17" spans="1:15" ht="12.75" customHeight="1">
      <c r="A17" s="41"/>
      <c r="B17" s="42" t="s">
        <v>685</v>
      </c>
      <c r="C17" s="325"/>
      <c r="D17" s="481"/>
      <c r="G17" s="452"/>
      <c r="H17" s="761">
        <f t="shared" si="3"/>
        <v>1134</v>
      </c>
      <c r="I17" s="1142" t="s">
        <v>1113</v>
      </c>
      <c r="J17" s="655"/>
      <c r="K17" s="913">
        <f>Productie!D77</f>
        <v>0</v>
      </c>
      <c r="L17" s="1063">
        <f>VLOOKUP(I17,Uitvoerbestand!$A$186:$I$300,9,FALSE)</f>
        <v>821</v>
      </c>
      <c r="M17" s="433">
        <f t="shared" si="1"/>
        <v>0</v>
      </c>
      <c r="O17" s="1412"/>
    </row>
    <row r="18" spans="2:15" ht="12.75" customHeight="1">
      <c r="B18" s="1151" t="str">
        <f>CONCATENATE("**) Conform laatste tariefbeschikking ",Voorblad!E3)</f>
        <v>**) Conform laatste tariefbeschikking 2005</v>
      </c>
      <c r="G18" s="452"/>
      <c r="H18" s="761">
        <f t="shared" si="3"/>
        <v>1135</v>
      </c>
      <c r="I18" s="1142" t="s">
        <v>1114</v>
      </c>
      <c r="J18" s="655"/>
      <c r="K18" s="913">
        <f>Productie!D78</f>
        <v>0</v>
      </c>
      <c r="L18" s="1063">
        <f>VLOOKUP(I18,Uitvoerbestand!$A$186:$I$300,9,FALSE)</f>
        <v>32</v>
      </c>
      <c r="M18" s="433">
        <f t="shared" si="1"/>
        <v>0</v>
      </c>
      <c r="O18" s="1412"/>
    </row>
    <row r="19" spans="7:15" ht="12.75" customHeight="1">
      <c r="G19" s="457"/>
      <c r="H19" s="761">
        <f t="shared" si="3"/>
        <v>1136</v>
      </c>
      <c r="I19" s="1142" t="s">
        <v>151</v>
      </c>
      <c r="J19" s="654" t="s">
        <v>1378</v>
      </c>
      <c r="K19" s="913">
        <f>Productie!K45+Productie!K59+Productie!K73</f>
        <v>0</v>
      </c>
      <c r="L19" s="1063">
        <f>VLOOKUP(I19,Uitvoerbestand!$A$186:$I$300,9,FALSE)</f>
        <v>22</v>
      </c>
      <c r="M19" s="433">
        <f t="shared" si="1"/>
        <v>0</v>
      </c>
      <c r="O19" s="1412"/>
    </row>
    <row r="20" spans="1:15" ht="12.75" customHeight="1">
      <c r="A20" s="26" t="s">
        <v>1262</v>
      </c>
      <c r="B20" s="27" t="s">
        <v>150</v>
      </c>
      <c r="C20" s="573"/>
      <c r="E20" s="573"/>
      <c r="F20" s="644"/>
      <c r="H20" s="761">
        <f t="shared" si="3"/>
        <v>1137</v>
      </c>
      <c r="I20" s="1142" t="s">
        <v>152</v>
      </c>
      <c r="J20" s="645"/>
      <c r="K20" s="913">
        <f>Productie!K46+Productie!K60+Productie!K74</f>
        <v>0</v>
      </c>
      <c r="L20" s="1063">
        <f>VLOOKUP(I20,Uitvoerbestand!$A$186:$I$300,9,FALSE)</f>
        <v>209</v>
      </c>
      <c r="M20" s="433">
        <f t="shared" si="1"/>
        <v>0</v>
      </c>
      <c r="O20" s="1412"/>
    </row>
    <row r="21" spans="1:15" ht="12.75" customHeight="1">
      <c r="A21" s="451"/>
      <c r="B21" s="640" t="s">
        <v>1090</v>
      </c>
      <c r="C21" s="640" t="s">
        <v>810</v>
      </c>
      <c r="D21" s="1150" t="s">
        <v>147</v>
      </c>
      <c r="E21" s="642" t="s">
        <v>148</v>
      </c>
      <c r="F21" s="642" t="s">
        <v>974</v>
      </c>
      <c r="G21" s="450"/>
      <c r="H21" s="761">
        <f t="shared" si="3"/>
        <v>1138</v>
      </c>
      <c r="I21" s="1142" t="s">
        <v>153</v>
      </c>
      <c r="J21" s="645"/>
      <c r="K21" s="913">
        <f>Productie!K47+Productie!K61+Productie!K75</f>
        <v>0</v>
      </c>
      <c r="L21" s="1063">
        <f>VLOOKUP(I21,Uitvoerbestand!$A$186:$I$300,9,FALSE)</f>
        <v>434</v>
      </c>
      <c r="M21" s="433">
        <f t="shared" si="1"/>
        <v>0</v>
      </c>
      <c r="N21" s="451"/>
      <c r="O21" s="1412"/>
    </row>
    <row r="22" spans="1:15" ht="12.75" customHeight="1">
      <c r="A22" s="761">
        <f>A16+1</f>
        <v>1110</v>
      </c>
      <c r="B22" s="645" t="s">
        <v>696</v>
      </c>
      <c r="C22" s="645" t="s">
        <v>701</v>
      </c>
      <c r="D22" s="434"/>
      <c r="E22" s="910"/>
      <c r="F22" s="433">
        <f>D22*E22</f>
        <v>0</v>
      </c>
      <c r="G22" s="450"/>
      <c r="H22" s="761">
        <f t="shared" si="3"/>
        <v>1139</v>
      </c>
      <c r="I22" s="1142" t="s">
        <v>154</v>
      </c>
      <c r="J22" s="645"/>
      <c r="K22" s="913">
        <f>Productie!K48+Productie!K62+Productie!K76</f>
        <v>0</v>
      </c>
      <c r="L22" s="1063">
        <f>VLOOKUP(I22,Uitvoerbestand!$A$186:$I$300,9,FALSE)</f>
        <v>106</v>
      </c>
      <c r="M22" s="433">
        <f t="shared" si="1"/>
        <v>0</v>
      </c>
      <c r="N22" s="451"/>
      <c r="O22" s="1412"/>
    </row>
    <row r="23" spans="7:15" ht="12.75" customHeight="1">
      <c r="G23" s="452"/>
      <c r="H23" s="761">
        <f t="shared" si="3"/>
        <v>1140</v>
      </c>
      <c r="I23" s="1142" t="s">
        <v>155</v>
      </c>
      <c r="J23" s="645"/>
      <c r="K23" s="913">
        <f>Productie!K49+Productie!K63+Productie!K77</f>
        <v>0</v>
      </c>
      <c r="L23" s="1063">
        <f>VLOOKUP(I23,Uitvoerbestand!$A$186:$I$300,9,FALSE)</f>
        <v>71</v>
      </c>
      <c r="M23" s="433">
        <f t="shared" si="1"/>
        <v>0</v>
      </c>
      <c r="O23" s="1412"/>
    </row>
    <row r="24" spans="1:15" ht="12.75" customHeight="1">
      <c r="A24" s="26" t="s">
        <v>979</v>
      </c>
      <c r="B24" s="27" t="s">
        <v>695</v>
      </c>
      <c r="G24" s="452"/>
      <c r="H24" s="761">
        <f t="shared" si="3"/>
        <v>1141</v>
      </c>
      <c r="I24" s="1142" t="s">
        <v>156</v>
      </c>
      <c r="J24" s="645"/>
      <c r="K24" s="913">
        <f>Productie!K50+Productie!K64+Productie!K78</f>
        <v>0</v>
      </c>
      <c r="L24" s="1063">
        <f>VLOOKUP(I24,Uitvoerbestand!$A$186:$I$300,9,FALSE)</f>
        <v>89</v>
      </c>
      <c r="M24" s="433">
        <f t="shared" si="1"/>
        <v>0</v>
      </c>
      <c r="O24" s="1412"/>
    </row>
    <row r="25" spans="1:15" ht="12.75" customHeight="1">
      <c r="A25" s="761">
        <f>A22+1</f>
        <v>1111</v>
      </c>
      <c r="B25" s="645" t="s">
        <v>149</v>
      </c>
      <c r="C25" s="762" t="s">
        <v>695</v>
      </c>
      <c r="D25" s="769"/>
      <c r="E25" s="763"/>
      <c r="F25" s="434"/>
      <c r="G25" s="452"/>
      <c r="H25" s="761">
        <f t="shared" si="3"/>
        <v>1142</v>
      </c>
      <c r="I25" s="1142" t="s">
        <v>702</v>
      </c>
      <c r="J25" s="453" t="s">
        <v>663</v>
      </c>
      <c r="K25" s="913">
        <f>Productie!K51+Productie!K65+Productie!K79</f>
        <v>0</v>
      </c>
      <c r="L25" s="1063">
        <f>VLOOKUP(I25,Uitvoerbestand!$A$186:$I$300,9,FALSE)</f>
        <v>49</v>
      </c>
      <c r="M25" s="433">
        <f t="shared" si="1"/>
        <v>0</v>
      </c>
      <c r="O25" s="1412"/>
    </row>
    <row r="26" spans="2:15" ht="12.75" customHeight="1">
      <c r="B26" s="456" t="s">
        <v>630</v>
      </c>
      <c r="G26" s="457"/>
      <c r="H26" s="761">
        <f t="shared" si="3"/>
        <v>1143</v>
      </c>
      <c r="I26" s="1142" t="s">
        <v>158</v>
      </c>
      <c r="J26" s="645"/>
      <c r="K26" s="913">
        <f>Productie!K52+Productie!K66+Productie!K80</f>
        <v>0</v>
      </c>
      <c r="L26" s="1063">
        <f>VLOOKUP(I26,Uitvoerbestand!$A$186:$I$300,9,FALSE)</f>
        <v>61</v>
      </c>
      <c r="M26" s="433">
        <f t="shared" si="1"/>
        <v>0</v>
      </c>
      <c r="O26" s="1412"/>
    </row>
    <row r="27" spans="2:15" ht="12.75" customHeight="1">
      <c r="B27" s="456" t="s">
        <v>692</v>
      </c>
      <c r="H27" s="761">
        <f t="shared" si="3"/>
        <v>1144</v>
      </c>
      <c r="I27" s="1142" t="s">
        <v>159</v>
      </c>
      <c r="J27" s="655"/>
      <c r="K27" s="913">
        <f>Productie!K53+Productie!K67+Productie!K81</f>
        <v>0</v>
      </c>
      <c r="L27" s="1063">
        <f>VLOOKUP(I27,Uitvoerbestand!$A$186:$I$300,9,FALSE)</f>
        <v>216</v>
      </c>
      <c r="M27" s="433">
        <f aca="true" t="shared" si="4" ref="M27:M33">K27*L27</f>
        <v>0</v>
      </c>
      <c r="O27" s="1412"/>
    </row>
    <row r="28" spans="1:15" ht="12.75" customHeight="1">
      <c r="A28" s="451"/>
      <c r="B28" s="451"/>
      <c r="C28" s="451"/>
      <c r="D28" s="451"/>
      <c r="E28" s="451"/>
      <c r="F28" s="451"/>
      <c r="G28" s="450"/>
      <c r="H28" s="761">
        <f t="shared" si="3"/>
        <v>1145</v>
      </c>
      <c r="I28" s="1142" t="s">
        <v>160</v>
      </c>
      <c r="J28" s="655"/>
      <c r="K28" s="913">
        <f>Productie!K54+Productie!K68+Productie!K82</f>
        <v>0</v>
      </c>
      <c r="L28" s="1063">
        <f>VLOOKUP(I28,Uitvoerbestand!$A$186:$I$300,9,FALSE)</f>
        <v>809</v>
      </c>
      <c r="M28" s="433">
        <f t="shared" si="4"/>
        <v>0</v>
      </c>
      <c r="N28" s="451"/>
      <c r="O28" s="1412"/>
    </row>
    <row r="29" spans="1:15" ht="12.75" customHeight="1">
      <c r="A29" s="26" t="s">
        <v>983</v>
      </c>
      <c r="B29" s="27" t="s">
        <v>963</v>
      </c>
      <c r="C29" s="451"/>
      <c r="D29" s="451"/>
      <c r="E29" s="451"/>
      <c r="F29" s="451"/>
      <c r="G29" s="450"/>
      <c r="H29" s="761">
        <f t="shared" si="3"/>
        <v>1146</v>
      </c>
      <c r="I29" s="1142" t="s">
        <v>161</v>
      </c>
      <c r="J29" s="655"/>
      <c r="K29" s="913">
        <f>Productie!K55+Productie!K69+Productie!K83</f>
        <v>0</v>
      </c>
      <c r="L29" s="1063">
        <f>VLOOKUP(I29,Uitvoerbestand!$A$186:$I$300,9,FALSE)</f>
        <v>34</v>
      </c>
      <c r="M29" s="433">
        <f t="shared" si="4"/>
        <v>0</v>
      </c>
      <c r="N29" s="451"/>
      <c r="O29" s="1412"/>
    </row>
    <row r="30" spans="2:15" ht="12.75" customHeight="1">
      <c r="B30" s="640" t="s">
        <v>1090</v>
      </c>
      <c r="C30" s="640" t="s">
        <v>810</v>
      </c>
      <c r="D30" s="1150" t="s">
        <v>975</v>
      </c>
      <c r="E30" s="642" t="s">
        <v>1366</v>
      </c>
      <c r="F30" s="642" t="s">
        <v>974</v>
      </c>
      <c r="G30" s="452"/>
      <c r="H30" s="761">
        <f t="shared" si="3"/>
        <v>1147</v>
      </c>
      <c r="I30" s="1142" t="s">
        <v>118</v>
      </c>
      <c r="J30" s="655" t="s">
        <v>119</v>
      </c>
      <c r="K30" s="913">
        <f>Productie!D109+Productie!D110</f>
        <v>0</v>
      </c>
      <c r="L30" s="1063">
        <f>VLOOKUP(I30,Uitvoerbestand!$A$186:$I$300,9,FALSE)</f>
        <v>131.3</v>
      </c>
      <c r="M30" s="433">
        <f t="shared" si="4"/>
        <v>0</v>
      </c>
      <c r="O30" s="1412"/>
    </row>
    <row r="31" spans="1:15" ht="12.75" customHeight="1">
      <c r="A31" s="761">
        <f>A25+1</f>
        <v>1112</v>
      </c>
      <c r="B31" s="36" t="s">
        <v>84</v>
      </c>
      <c r="C31" s="569" t="s">
        <v>83</v>
      </c>
      <c r="D31" s="913">
        <f>Productie!K27</f>
        <v>0</v>
      </c>
      <c r="E31" s="1063">
        <f>VLOOKUP(B31,Uitvoerbestand!$A$186:$I$300,9,FALSE)</f>
        <v>121</v>
      </c>
      <c r="F31" s="433">
        <f>D31*E31</f>
        <v>0</v>
      </c>
      <c r="G31" s="452"/>
      <c r="H31" s="761">
        <f t="shared" si="3"/>
        <v>1148</v>
      </c>
      <c r="I31" s="1142" t="s">
        <v>120</v>
      </c>
      <c r="J31" s="655" t="s">
        <v>1377</v>
      </c>
      <c r="K31" s="913">
        <f>Productie!D111</f>
        <v>0</v>
      </c>
      <c r="L31" s="1063">
        <f>VLOOKUP(I31,Uitvoerbestand!$A$186:$I$300,9,FALSE)</f>
        <v>150.6</v>
      </c>
      <c r="M31" s="433">
        <f t="shared" si="4"/>
        <v>0</v>
      </c>
      <c r="O31" s="1412"/>
    </row>
    <row r="32" spans="1:15" ht="12.75" customHeight="1">
      <c r="A32" s="761">
        <f aca="true" t="shared" si="5" ref="A32:A42">A31+1</f>
        <v>1113</v>
      </c>
      <c r="B32" s="36" t="s">
        <v>85</v>
      </c>
      <c r="C32" s="569" t="s">
        <v>83</v>
      </c>
      <c r="D32" s="913">
        <f>Productie!K28</f>
        <v>0</v>
      </c>
      <c r="E32" s="1063">
        <f>VLOOKUP(B32,Uitvoerbestand!$A$186:$I$300,9,FALSE)</f>
        <v>149</v>
      </c>
      <c r="F32" s="433">
        <f aca="true" t="shared" si="6" ref="F32:F42">D32*E32</f>
        <v>0</v>
      </c>
      <c r="G32" s="452"/>
      <c r="H32" s="761">
        <f t="shared" si="3"/>
        <v>1149</v>
      </c>
      <c r="I32" s="1142" t="s">
        <v>121</v>
      </c>
      <c r="J32" s="655" t="s">
        <v>122</v>
      </c>
      <c r="K32" s="913">
        <f>Productie!D113</f>
        <v>0</v>
      </c>
      <c r="L32" s="1063">
        <f>VLOOKUP(I32,Uitvoerbestand!$A$186:$I$300,9,FALSE)</f>
        <v>79</v>
      </c>
      <c r="M32" s="433">
        <f t="shared" si="4"/>
        <v>0</v>
      </c>
      <c r="O32" s="1412"/>
    </row>
    <row r="33" spans="1:15" ht="12.75" customHeight="1">
      <c r="A33" s="761">
        <f t="shared" si="5"/>
        <v>1114</v>
      </c>
      <c r="B33" s="36" t="s">
        <v>86</v>
      </c>
      <c r="C33" s="569" t="s">
        <v>930</v>
      </c>
      <c r="D33" s="913">
        <f>Productie!K33</f>
        <v>0</v>
      </c>
      <c r="E33" s="1063">
        <f>VLOOKUP(B33,Uitvoerbestand!$A$186:$I$300,9,FALSE)</f>
        <v>246</v>
      </c>
      <c r="F33" s="433">
        <f t="shared" si="6"/>
        <v>0</v>
      </c>
      <c r="G33" s="461"/>
      <c r="H33" s="761">
        <f t="shared" si="3"/>
        <v>1150</v>
      </c>
      <c r="I33" s="1143" t="s">
        <v>123</v>
      </c>
      <c r="J33" s="1127" t="s">
        <v>124</v>
      </c>
      <c r="K33" s="913">
        <f>Productie!D106</f>
        <v>0</v>
      </c>
      <c r="L33" s="1063">
        <f>VLOOKUP(I33,Uitvoerbestand!$A$186:$I$300,9,FALSE)</f>
        <v>73</v>
      </c>
      <c r="M33" s="433">
        <f t="shared" si="4"/>
        <v>0</v>
      </c>
      <c r="O33" s="1412"/>
    </row>
    <row r="34" spans="1:15" ht="12.75" customHeight="1">
      <c r="A34" s="761">
        <f t="shared" si="5"/>
        <v>1115</v>
      </c>
      <c r="B34" s="36" t="s">
        <v>87</v>
      </c>
      <c r="C34" s="569" t="s">
        <v>930</v>
      </c>
      <c r="D34" s="913">
        <f>Productie!K34</f>
        <v>0</v>
      </c>
      <c r="E34" s="1063">
        <f>VLOOKUP(B34,Uitvoerbestand!$A$186:$I$300,9,FALSE)</f>
        <v>176</v>
      </c>
      <c r="F34" s="433">
        <f t="shared" si="6"/>
        <v>0</v>
      </c>
      <c r="G34" s="453"/>
      <c r="H34" s="761">
        <f t="shared" si="3"/>
        <v>1151</v>
      </c>
      <c r="I34" s="645" t="s">
        <v>75</v>
      </c>
      <c r="J34" s="995" t="s">
        <v>632</v>
      </c>
      <c r="K34" s="913">
        <f>Productie!D115</f>
        <v>0</v>
      </c>
      <c r="L34" s="1063">
        <f>VLOOKUP(I34,Uitvoerbestand!$A$186:$I$300,9,FALSE)</f>
        <v>8</v>
      </c>
      <c r="M34" s="433">
        <f aca="true" t="shared" si="7" ref="M34:M42">K34*L34</f>
        <v>0</v>
      </c>
      <c r="O34" s="1412"/>
    </row>
    <row r="35" spans="1:15" ht="12.75" customHeight="1">
      <c r="A35" s="761">
        <f t="shared" si="5"/>
        <v>1116</v>
      </c>
      <c r="B35" s="36" t="s">
        <v>88</v>
      </c>
      <c r="C35" s="569" t="s">
        <v>930</v>
      </c>
      <c r="D35" s="913">
        <f>Productie!K35</f>
        <v>0</v>
      </c>
      <c r="E35" s="1063">
        <f>VLOOKUP(B35,Uitvoerbestand!$A$186:$I$300,9,FALSE)</f>
        <v>202</v>
      </c>
      <c r="F35" s="433">
        <f t="shared" si="6"/>
        <v>0</v>
      </c>
      <c r="H35" s="761">
        <f t="shared" si="3"/>
        <v>1152</v>
      </c>
      <c r="I35" s="1142" t="s">
        <v>1044</v>
      </c>
      <c r="J35" s="654" t="s">
        <v>939</v>
      </c>
      <c r="K35" s="913">
        <f>Productie!D93</f>
        <v>0</v>
      </c>
      <c r="L35" s="1063">
        <f>VLOOKUP(I35,Uitvoerbestand!$A$186:$I$300,9,FALSE)</f>
        <v>22</v>
      </c>
      <c r="M35" s="433">
        <f t="shared" si="7"/>
        <v>0</v>
      </c>
      <c r="O35" s="1412"/>
    </row>
    <row r="36" spans="1:15" ht="12.75" customHeight="1">
      <c r="A36" s="761">
        <f t="shared" si="5"/>
        <v>1117</v>
      </c>
      <c r="B36" s="36" t="s">
        <v>89</v>
      </c>
      <c r="C36" s="569" t="s">
        <v>1158</v>
      </c>
      <c r="D36" s="913">
        <f>Productie!D45</f>
        <v>0</v>
      </c>
      <c r="E36" s="1063">
        <f>VLOOKUP(B36,Uitvoerbestand!$A$186:$I$300,9,FALSE)</f>
        <v>122</v>
      </c>
      <c r="F36" s="433">
        <f t="shared" si="6"/>
        <v>0</v>
      </c>
      <c r="H36" s="761">
        <f t="shared" si="3"/>
        <v>1153</v>
      </c>
      <c r="I36" s="1142" t="s">
        <v>947</v>
      </c>
      <c r="J36" s="645"/>
      <c r="K36" s="913">
        <f>Productie!D94</f>
        <v>0</v>
      </c>
      <c r="L36" s="1063">
        <f>VLOOKUP(I36,Uitvoerbestand!$A$186:$I$300,9,FALSE)</f>
        <v>400</v>
      </c>
      <c r="M36" s="433">
        <f t="shared" si="7"/>
        <v>0</v>
      </c>
      <c r="O36" s="1412"/>
    </row>
    <row r="37" spans="1:15" ht="12" customHeight="1">
      <c r="A37" s="761">
        <f t="shared" si="5"/>
        <v>1118</v>
      </c>
      <c r="B37" s="36" t="s">
        <v>90</v>
      </c>
      <c r="C37" s="569" t="s">
        <v>1158</v>
      </c>
      <c r="D37" s="913">
        <f>Productie!D46</f>
        <v>0</v>
      </c>
      <c r="E37" s="1063">
        <f>VLOOKUP(B37,Uitvoerbestand!$A$186:$I$300,9,FALSE)</f>
        <v>154</v>
      </c>
      <c r="F37" s="433">
        <f t="shared" si="6"/>
        <v>0</v>
      </c>
      <c r="H37" s="761">
        <f t="shared" si="3"/>
        <v>1154</v>
      </c>
      <c r="I37" s="1142" t="s">
        <v>948</v>
      </c>
      <c r="J37" s="645"/>
      <c r="K37" s="913">
        <f>Productie!D95</f>
        <v>0</v>
      </c>
      <c r="L37" s="1063">
        <f>VLOOKUP(I37,Uitvoerbestand!$A$186:$I$300,9,FALSE)</f>
        <v>210</v>
      </c>
      <c r="M37" s="433">
        <f t="shared" si="7"/>
        <v>0</v>
      </c>
      <c r="O37" s="1412"/>
    </row>
    <row r="38" spans="1:15" ht="12" customHeight="1">
      <c r="A38" s="761">
        <f t="shared" si="5"/>
        <v>1119</v>
      </c>
      <c r="B38" s="36" t="s">
        <v>91</v>
      </c>
      <c r="C38" s="569" t="s">
        <v>1158</v>
      </c>
      <c r="D38" s="913">
        <f>Productie!D47</f>
        <v>0</v>
      </c>
      <c r="E38" s="1063">
        <f>VLOOKUP(B38,Uitvoerbestand!$A$186:$I$300,9,FALSE)</f>
        <v>138</v>
      </c>
      <c r="F38" s="433">
        <f t="shared" si="6"/>
        <v>0</v>
      </c>
      <c r="H38" s="761">
        <f t="shared" si="3"/>
        <v>1155</v>
      </c>
      <c r="I38" s="1142" t="s">
        <v>949</v>
      </c>
      <c r="J38" s="645"/>
      <c r="K38" s="913">
        <f>Productie!D96</f>
        <v>0</v>
      </c>
      <c r="L38" s="1063">
        <f>VLOOKUP(I38,Uitvoerbestand!$A$186:$I$300,9,FALSE)</f>
        <v>124</v>
      </c>
      <c r="M38" s="433">
        <f t="shared" si="7"/>
        <v>0</v>
      </c>
      <c r="O38" s="1412"/>
    </row>
    <row r="39" spans="1:15" ht="12">
      <c r="A39" s="761">
        <f t="shared" si="5"/>
        <v>1120</v>
      </c>
      <c r="B39" s="36" t="s">
        <v>92</v>
      </c>
      <c r="C39" s="569" t="s">
        <v>1158</v>
      </c>
      <c r="D39" s="913">
        <f>Productie!D48</f>
        <v>0</v>
      </c>
      <c r="E39" s="1063">
        <f>VLOOKUP(B39,Uitvoerbestand!$A$186:$I$300,9,FALSE)</f>
        <v>174</v>
      </c>
      <c r="F39" s="433">
        <f t="shared" si="6"/>
        <v>0</v>
      </c>
      <c r="H39" s="761">
        <f t="shared" si="3"/>
        <v>1156</v>
      </c>
      <c r="I39" s="1142" t="s">
        <v>950</v>
      </c>
      <c r="J39" s="645"/>
      <c r="K39" s="913">
        <f>Productie!D97</f>
        <v>0</v>
      </c>
      <c r="L39" s="1063">
        <f>VLOOKUP(I39,Uitvoerbestand!$A$186:$I$300,9,FALSE)</f>
        <v>114</v>
      </c>
      <c r="M39" s="433">
        <f t="shared" si="7"/>
        <v>0</v>
      </c>
      <c r="O39" s="1412"/>
    </row>
    <row r="40" spans="1:15" ht="12.75" customHeight="1">
      <c r="A40" s="761">
        <f t="shared" si="5"/>
        <v>1121</v>
      </c>
      <c r="B40" s="36" t="s">
        <v>93</v>
      </c>
      <c r="C40" s="569" t="s">
        <v>1158</v>
      </c>
      <c r="D40" s="913">
        <f>Productie!D49</f>
        <v>0</v>
      </c>
      <c r="E40" s="1063">
        <f>VLOOKUP(B40,Uitvoerbestand!$A$186:$I$300,9,FALSE)</f>
        <v>69</v>
      </c>
      <c r="F40" s="433">
        <f t="shared" si="6"/>
        <v>0</v>
      </c>
      <c r="H40" s="761">
        <f t="shared" si="3"/>
        <v>1157</v>
      </c>
      <c r="I40" s="1142" t="s">
        <v>167</v>
      </c>
      <c r="J40" s="453" t="s">
        <v>663</v>
      </c>
      <c r="K40" s="913">
        <f>Productie!D98</f>
        <v>0</v>
      </c>
      <c r="L40" s="1063">
        <f>VLOOKUP(I40,Uitvoerbestand!$A$186:$I$300,9,FALSE)</f>
        <v>61</v>
      </c>
      <c r="M40" s="433">
        <f t="shared" si="7"/>
        <v>0</v>
      </c>
      <c r="O40" s="1412"/>
    </row>
    <row r="41" spans="1:15" ht="12.75" customHeight="1">
      <c r="A41" s="761">
        <f t="shared" si="5"/>
        <v>1122</v>
      </c>
      <c r="B41" s="36" t="s">
        <v>94</v>
      </c>
      <c r="C41" s="569" t="s">
        <v>1158</v>
      </c>
      <c r="D41" s="913">
        <f>Productie!D50</f>
        <v>0</v>
      </c>
      <c r="E41" s="1063">
        <f>VLOOKUP(B41,Uitvoerbestand!$A$186:$I$300,9,FALSE)</f>
        <v>96</v>
      </c>
      <c r="F41" s="433">
        <f t="shared" si="6"/>
        <v>0</v>
      </c>
      <c r="H41" s="761">
        <f t="shared" si="3"/>
        <v>1158</v>
      </c>
      <c r="I41" s="1142" t="s">
        <v>1043</v>
      </c>
      <c r="J41" s="36"/>
      <c r="K41" s="913">
        <f>Productie!D99</f>
        <v>0</v>
      </c>
      <c r="L41" s="1063">
        <f>VLOOKUP(I41,Uitvoerbestand!$A$186:$I$300,9,FALSE)</f>
        <v>80</v>
      </c>
      <c r="M41" s="765">
        <f t="shared" si="7"/>
        <v>0</v>
      </c>
      <c r="O41" s="1412"/>
    </row>
    <row r="42" spans="1:15" ht="12.75" customHeight="1">
      <c r="A42" s="761">
        <f t="shared" si="5"/>
        <v>1123</v>
      </c>
      <c r="B42" s="36" t="s">
        <v>95</v>
      </c>
      <c r="C42" s="569" t="s">
        <v>1152</v>
      </c>
      <c r="D42" s="913">
        <f>Productie!D53</f>
        <v>0</v>
      </c>
      <c r="E42" s="1063">
        <f>VLOOKUP(B42,Uitvoerbestand!$A$186:$I$300,9,FALSE)</f>
        <v>191</v>
      </c>
      <c r="F42" s="433">
        <f t="shared" si="6"/>
        <v>0</v>
      </c>
      <c r="H42" s="761">
        <f t="shared" si="3"/>
        <v>1159</v>
      </c>
      <c r="I42" s="1142" t="s">
        <v>168</v>
      </c>
      <c r="J42" s="645"/>
      <c r="K42" s="913">
        <f>Productie!D100</f>
        <v>0</v>
      </c>
      <c r="L42" s="1063">
        <f>VLOOKUP(I42,Uitvoerbestand!$A$186:$I$300,9,FALSE)</f>
        <v>93</v>
      </c>
      <c r="M42" s="433">
        <f t="shared" si="7"/>
        <v>0</v>
      </c>
      <c r="O42" s="1412"/>
    </row>
    <row r="43" spans="1:13" ht="12.75" customHeight="1">
      <c r="A43" s="761">
        <f>A42+1</f>
        <v>1124</v>
      </c>
      <c r="B43" s="762" t="str">
        <f>CONCATENATE("Totaal regel ",A31," t/m ",A42)</f>
        <v>Totaal regel 1112 t/m 1123</v>
      </c>
      <c r="C43" s="769"/>
      <c r="D43" s="766">
        <f>SUM(D31:D42)</f>
        <v>0</v>
      </c>
      <c r="E43" s="795"/>
      <c r="F43" s="766">
        <f>SUM(F31:F42)</f>
        <v>0</v>
      </c>
      <c r="H43" s="761">
        <f t="shared" si="3"/>
        <v>1160</v>
      </c>
      <c r="I43" s="769" t="str">
        <f>CONCATENATE("Totaal regel ",H8," t/m ",H42)</f>
        <v>Totaal regel 1125 t/m 1159</v>
      </c>
      <c r="J43" s="763"/>
      <c r="K43" s="766">
        <f>SUM(K8:K41)</f>
        <v>0</v>
      </c>
      <c r="L43" s="797"/>
      <c r="M43" s="766">
        <f>SUM(M8:M42)</f>
        <v>0</v>
      </c>
    </row>
    <row r="44" ht="12.75" customHeight="1"/>
    <row r="45" spans="1:13" s="513" customFormat="1" ht="15.75" customHeight="1">
      <c r="A45" s="41"/>
      <c r="B45" s="42"/>
      <c r="C45" s="42"/>
      <c r="D45" s="459"/>
      <c r="E45" s="456"/>
      <c r="F45" s="456"/>
      <c r="G45" s="458"/>
      <c r="H45" s="455"/>
      <c r="I45" s="456"/>
      <c r="J45" s="472"/>
      <c r="K45" s="456"/>
      <c r="L45" s="456"/>
      <c r="M45" s="456"/>
    </row>
    <row r="46" spans="1:15" ht="15.75" customHeight="1">
      <c r="A46" s="616" t="str">
        <f>Inhoud!$A$2</f>
        <v>Nacalculatieformulier 2005 GGZ-instellingen</v>
      </c>
      <c r="B46" s="631"/>
      <c r="C46" s="631"/>
      <c r="D46" s="584"/>
      <c r="E46" s="585"/>
      <c r="F46" s="586"/>
      <c r="G46" s="585"/>
      <c r="H46" s="585"/>
      <c r="I46" s="542"/>
      <c r="J46" s="586"/>
      <c r="K46" s="542"/>
      <c r="L46" s="576"/>
      <c r="M46" s="1258">
        <f>Opbrengsten!M2+1</f>
        <v>12</v>
      </c>
      <c r="N46" s="451"/>
      <c r="O46" s="451"/>
    </row>
    <row r="47" spans="1:15" ht="12.75" customHeight="1">
      <c r="A47" s="629"/>
      <c r="B47" s="91"/>
      <c r="C47" s="91"/>
      <c r="D47" s="1073"/>
      <c r="E47" s="577"/>
      <c r="F47" s="614"/>
      <c r="G47" s="577"/>
      <c r="H47" s="577"/>
      <c r="I47" s="514"/>
      <c r="J47" s="614"/>
      <c r="K47" s="514"/>
      <c r="L47" s="1074"/>
      <c r="M47" s="628"/>
      <c r="N47" s="451"/>
      <c r="O47" s="451"/>
    </row>
    <row r="48" spans="1:15" ht="12.75" customHeight="1">
      <c r="A48" s="26" t="s">
        <v>1085</v>
      </c>
      <c r="B48" s="27" t="s">
        <v>961</v>
      </c>
      <c r="G48" s="577"/>
      <c r="H48" s="26" t="s">
        <v>694</v>
      </c>
      <c r="I48" s="27" t="s">
        <v>687</v>
      </c>
      <c r="J48" s="451"/>
      <c r="K48" s="451"/>
      <c r="L48" s="451"/>
      <c r="M48" s="451"/>
      <c r="N48" s="451"/>
      <c r="O48" s="451"/>
    </row>
    <row r="49" spans="1:15" ht="12.75" customHeight="1">
      <c r="A49" s="451"/>
      <c r="B49" s="640" t="s">
        <v>1090</v>
      </c>
      <c r="C49" s="640" t="s">
        <v>810</v>
      </c>
      <c r="D49" s="1150" t="s">
        <v>975</v>
      </c>
      <c r="E49" s="642" t="s">
        <v>1366</v>
      </c>
      <c r="F49" s="642" t="s">
        <v>974</v>
      </c>
      <c r="G49" s="577"/>
      <c r="H49" s="761">
        <f>A86+1</f>
        <v>1225</v>
      </c>
      <c r="I49" s="1659" t="s">
        <v>686</v>
      </c>
      <c r="J49" s="1660"/>
      <c r="K49" s="1660"/>
      <c r="L49" s="1661"/>
      <c r="M49" s="912"/>
      <c r="N49" s="451"/>
      <c r="O49" s="451"/>
    </row>
    <row r="50" spans="1:15" ht="12.75" customHeight="1">
      <c r="A50" s="761">
        <f>M46*100+1</f>
        <v>1201</v>
      </c>
      <c r="B50" s="645" t="s">
        <v>1063</v>
      </c>
      <c r="C50" s="645" t="s">
        <v>930</v>
      </c>
      <c r="D50" s="913">
        <f>Productie!D56</f>
        <v>0</v>
      </c>
      <c r="E50" s="1063">
        <f>VLOOKUP(B50,Uitvoerbestand!$A$186:$I$300,9,FALSE)</f>
        <v>349</v>
      </c>
      <c r="F50" s="433">
        <f>D50*E50</f>
        <v>0</v>
      </c>
      <c r="G50" s="577"/>
      <c r="H50" s="451"/>
      <c r="I50" s="451" t="s">
        <v>908</v>
      </c>
      <c r="J50" s="451"/>
      <c r="K50" s="451"/>
      <c r="L50" s="451"/>
      <c r="M50" s="451"/>
      <c r="N50" s="451"/>
      <c r="O50" s="1412"/>
    </row>
    <row r="51" spans="1:15" ht="12.75" customHeight="1">
      <c r="A51" s="761">
        <f>A50+1</f>
        <v>1202</v>
      </c>
      <c r="B51" s="645" t="s">
        <v>1064</v>
      </c>
      <c r="C51" s="645" t="s">
        <v>929</v>
      </c>
      <c r="D51" s="913">
        <f>Productie!D57</f>
        <v>0</v>
      </c>
      <c r="E51" s="1063">
        <f>VLOOKUP(B51,Uitvoerbestand!$A$186:$I$300,9,FALSE)</f>
        <v>349</v>
      </c>
      <c r="F51" s="433">
        <f>D51*E51</f>
        <v>0</v>
      </c>
      <c r="G51" s="577"/>
      <c r="H51" s="451"/>
      <c r="I51" s="451"/>
      <c r="J51" s="451"/>
      <c r="K51" s="451"/>
      <c r="L51" s="451"/>
      <c r="M51" s="451"/>
      <c r="N51" s="451"/>
      <c r="O51" s="1412"/>
    </row>
    <row r="52" spans="1:15" ht="12.75" customHeight="1">
      <c r="A52" s="761">
        <f>A51+1</f>
        <v>1203</v>
      </c>
      <c r="B52" s="645" t="s">
        <v>1065</v>
      </c>
      <c r="C52" s="36" t="s">
        <v>931</v>
      </c>
      <c r="D52" s="913">
        <f>Productie!D58</f>
        <v>0</v>
      </c>
      <c r="E52" s="1063">
        <f>VLOOKUP(B52,Uitvoerbestand!$A$186:$I$300,9,FALSE)</f>
        <v>984</v>
      </c>
      <c r="F52" s="433">
        <f>D52*E52</f>
        <v>0</v>
      </c>
      <c r="G52" s="577"/>
      <c r="H52" s="26" t="s">
        <v>688</v>
      </c>
      <c r="I52" s="1668" t="s">
        <v>965</v>
      </c>
      <c r="J52" s="1668"/>
      <c r="K52" s="1668"/>
      <c r="L52" s="1668"/>
      <c r="M52" s="1668"/>
      <c r="N52" s="451"/>
      <c r="O52" s="1412"/>
    </row>
    <row r="53" spans="1:15" ht="12.75" customHeight="1">
      <c r="A53" s="761">
        <f>A52+1</f>
        <v>1204</v>
      </c>
      <c r="B53" s="645" t="s">
        <v>1066</v>
      </c>
      <c r="C53" s="645" t="s">
        <v>1058</v>
      </c>
      <c r="D53" s="913">
        <f>Productie!D59</f>
        <v>0</v>
      </c>
      <c r="E53" s="1063">
        <f>VLOOKUP(B53,Uitvoerbestand!$A$186:$I$300,9,FALSE)</f>
        <v>2846</v>
      </c>
      <c r="F53" s="433">
        <f>D53*E53</f>
        <v>0</v>
      </c>
      <c r="G53" s="577"/>
      <c r="H53" s="788">
        <f>H49+1</f>
        <v>1226</v>
      </c>
      <c r="I53" s="1217" t="str">
        <f>CONCATENATE("Totaal ",A16,", ",A22,", ",A25,", ",A43,", ",H43,", ",A55,", ",A59)</f>
        <v>Totaal 1109, 1110, 1111, 1124, 1160, 1206, 1207</v>
      </c>
      <c r="J53" s="1218"/>
      <c r="K53" s="1219"/>
      <c r="L53" s="1220"/>
      <c r="M53" s="1669">
        <f>F16+F22+F25+F43+M43+F55+F59+F62+F65+F86+G86+M49</f>
        <v>0</v>
      </c>
      <c r="N53" s="451"/>
      <c r="O53" s="1412"/>
    </row>
    <row r="54" spans="1:15" ht="12.75" customHeight="1">
      <c r="A54" s="761">
        <f>A53+1</f>
        <v>1205</v>
      </c>
      <c r="B54" s="36" t="s">
        <v>1067</v>
      </c>
      <c r="C54" s="36" t="s">
        <v>1062</v>
      </c>
      <c r="D54" s="913">
        <f>Productie!D60</f>
        <v>0</v>
      </c>
      <c r="E54" s="1063">
        <f>VLOOKUP(B54,Uitvoerbestand!$A$186:$I$300,9,FALSE)</f>
        <v>1376</v>
      </c>
      <c r="F54" s="765">
        <f>D54*E54</f>
        <v>0</v>
      </c>
      <c r="G54" s="577"/>
      <c r="H54" s="1228"/>
      <c r="I54" s="1236" t="str">
        <f>CONCATENATE("            ",A62,", ",A65,", ",A86," en ",H49)</f>
        <v>            1208, 1209, 1224 en 1225</v>
      </c>
      <c r="J54" s="1221"/>
      <c r="K54" s="1221"/>
      <c r="L54" s="1222"/>
      <c r="M54" s="1670"/>
      <c r="N54" s="451"/>
      <c r="O54" s="1412"/>
    </row>
    <row r="55" spans="1:15" ht="12.75" customHeight="1">
      <c r="A55" s="761">
        <f>A54+1</f>
        <v>1206</v>
      </c>
      <c r="B55" s="762" t="str">
        <f>CONCATENATE("Totaal regel ",A50," t/m ",A54)</f>
        <v>Totaal regel 1201 t/m 1205</v>
      </c>
      <c r="C55" s="763"/>
      <c r="D55" s="766">
        <f>SUM(D50:D54)</f>
        <v>0</v>
      </c>
      <c r="E55" s="767"/>
      <c r="F55" s="766">
        <f>SUM(F50:F54)</f>
        <v>0</v>
      </c>
      <c r="G55" s="577"/>
      <c r="H55" s="451"/>
      <c r="I55" s="451"/>
      <c r="J55" s="451"/>
      <c r="K55" s="451"/>
      <c r="L55" s="451"/>
      <c r="M55" s="451"/>
      <c r="N55" s="451"/>
      <c r="O55" s="451"/>
    </row>
    <row r="56" spans="1:15" ht="12.75" customHeight="1">
      <c r="A56" s="26"/>
      <c r="B56" s="26"/>
      <c r="C56" s="26"/>
      <c r="D56" s="26"/>
      <c r="E56" s="26"/>
      <c r="F56" s="26"/>
      <c r="G56" s="577"/>
      <c r="H56" s="26" t="s">
        <v>907</v>
      </c>
      <c r="I56" s="1148" t="s">
        <v>718</v>
      </c>
      <c r="J56" s="1149"/>
      <c r="K56" s="1149"/>
      <c r="L56" s="1149"/>
      <c r="M56" s="1149"/>
      <c r="N56" s="451"/>
      <c r="O56" s="451"/>
    </row>
    <row r="57" spans="1:15" ht="12.75" customHeight="1">
      <c r="A57" s="26" t="s">
        <v>988</v>
      </c>
      <c r="B57" s="27" t="s">
        <v>72</v>
      </c>
      <c r="C57" s="573"/>
      <c r="D57" s="573"/>
      <c r="E57" s="573"/>
      <c r="F57" s="573"/>
      <c r="G57" s="577"/>
      <c r="H57" s="603"/>
      <c r="I57" s="1145"/>
      <c r="J57" s="1146"/>
      <c r="K57" s="1146"/>
      <c r="L57" s="1146"/>
      <c r="M57" s="1147" t="s">
        <v>1215</v>
      </c>
      <c r="N57" s="451"/>
      <c r="O57" s="451"/>
    </row>
    <row r="58" spans="1:15" ht="12.75" customHeight="1">
      <c r="A58" s="451"/>
      <c r="B58" s="640" t="s">
        <v>1090</v>
      </c>
      <c r="C58" s="640" t="s">
        <v>810</v>
      </c>
      <c r="D58" s="1150" t="s">
        <v>975</v>
      </c>
      <c r="E58" s="642" t="s">
        <v>1366</v>
      </c>
      <c r="F58" s="642" t="s">
        <v>974</v>
      </c>
      <c r="G58" s="577"/>
      <c r="H58" s="761">
        <f>H53+1</f>
        <v>1227</v>
      </c>
      <c r="I58" s="408" t="s">
        <v>972</v>
      </c>
      <c r="J58" s="408"/>
      <c r="K58" s="778"/>
      <c r="L58" s="1144"/>
      <c r="M58" s="976"/>
      <c r="N58" s="451"/>
      <c r="O58" s="451"/>
    </row>
    <row r="59" spans="1:15" ht="12.75" customHeight="1">
      <c r="A59" s="761">
        <f>A55+1</f>
        <v>1207</v>
      </c>
      <c r="B59" s="645" t="s">
        <v>631</v>
      </c>
      <c r="C59" s="645" t="s">
        <v>68</v>
      </c>
      <c r="D59" s="913">
        <f>Productie!K155</f>
        <v>0</v>
      </c>
      <c r="E59" s="1063">
        <f>VLOOKUP(B59,Uitvoerbestand!$A$186:$I$300,9,FALSE)</f>
        <v>14.1</v>
      </c>
      <c r="F59" s="433">
        <f>D59*E59</f>
        <v>0</v>
      </c>
      <c r="G59" s="577"/>
      <c r="H59" s="761">
        <f>H58+1</f>
        <v>1228</v>
      </c>
      <c r="I59" s="652" t="str">
        <f>CONCATENATE("Totaal  aanvullende inkomsten (",Opbrengsten!A84,")")</f>
        <v>Totaal  aanvullende inkomsten (1222)</v>
      </c>
      <c r="J59" s="652"/>
      <c r="K59" s="570"/>
      <c r="L59" s="77"/>
      <c r="M59" s="433">
        <f>F84+G84</f>
        <v>0</v>
      </c>
      <c r="N59" s="451"/>
      <c r="O59" s="451"/>
    </row>
    <row r="60" spans="1:15" ht="12.75" customHeight="1">
      <c r="A60" s="451"/>
      <c r="B60" s="451"/>
      <c r="C60" s="451"/>
      <c r="D60" s="451"/>
      <c r="E60" s="451"/>
      <c r="F60" s="451"/>
      <c r="G60" s="577"/>
      <c r="H60" s="761">
        <f>H59+1</f>
        <v>1229</v>
      </c>
      <c r="I60" s="652" t="s">
        <v>1099</v>
      </c>
      <c r="J60" s="652"/>
      <c r="K60" s="134"/>
      <c r="L60" s="410"/>
      <c r="M60" s="434"/>
      <c r="N60" s="451"/>
      <c r="O60" s="451"/>
    </row>
    <row r="61" spans="1:15" ht="12.75" customHeight="1">
      <c r="A61" s="26" t="s">
        <v>1086</v>
      </c>
      <c r="B61" s="1238" t="s">
        <v>110</v>
      </c>
      <c r="C61" s="451"/>
      <c r="D61" s="451"/>
      <c r="E61" s="451"/>
      <c r="F61" s="451"/>
      <c r="G61" s="577"/>
      <c r="H61" s="761">
        <f>H60+1</f>
        <v>1230</v>
      </c>
      <c r="I61" s="652" t="str">
        <f>CONCATENATE("Verkeerd bed (regel ",Opbrengsten!A14,")")</f>
        <v>Verkeerd bed (regel 1107)</v>
      </c>
      <c r="J61" s="652"/>
      <c r="K61" s="570"/>
      <c r="L61" s="653"/>
      <c r="M61" s="433">
        <f>Opbrengsten!F14</f>
        <v>0</v>
      </c>
      <c r="N61" s="451"/>
      <c r="O61" s="451"/>
    </row>
    <row r="62" spans="1:15" ht="12.75" customHeight="1">
      <c r="A62" s="761">
        <f>A59+1</f>
        <v>1208</v>
      </c>
      <c r="B62" s="762" t="str">
        <f>CONCATENATE("Sectoroverstijgende productie/opbrengsten, van regel ",Productie!H110,)</f>
        <v>Sectoroverstijgende productie/opbrengsten, van regel 942</v>
      </c>
      <c r="C62" s="769"/>
      <c r="D62" s="1216"/>
      <c r="E62" s="795"/>
      <c r="F62" s="766">
        <f>Productie!M110</f>
        <v>0</v>
      </c>
      <c r="G62" s="577"/>
      <c r="H62" s="788">
        <f>H61+1</f>
        <v>1231</v>
      </c>
      <c r="I62" s="1671" t="s">
        <v>1045</v>
      </c>
      <c r="J62" s="1672"/>
      <c r="K62" s="1672"/>
      <c r="L62" s="1673"/>
      <c r="M62" s="1677"/>
      <c r="N62" s="451"/>
      <c r="O62" s="451"/>
    </row>
    <row r="63" spans="1:15" ht="12.75" customHeight="1">
      <c r="A63" s="26"/>
      <c r="B63" s="26"/>
      <c r="C63" s="26"/>
      <c r="D63" s="26"/>
      <c r="E63" s="26"/>
      <c r="F63" s="26"/>
      <c r="G63" s="577"/>
      <c r="H63" s="789"/>
      <c r="I63" s="1674"/>
      <c r="J63" s="1675"/>
      <c r="K63" s="1675"/>
      <c r="L63" s="1676"/>
      <c r="M63" s="1678"/>
      <c r="N63" s="451"/>
      <c r="O63" s="451"/>
    </row>
    <row r="64" spans="1:15" ht="12.75" customHeight="1">
      <c r="A64" s="26" t="s">
        <v>107</v>
      </c>
      <c r="B64" s="1238" t="s">
        <v>906</v>
      </c>
      <c r="C64" s="451"/>
      <c r="D64" s="451"/>
      <c r="E64" s="451"/>
      <c r="F64" s="451"/>
      <c r="G64" s="577"/>
      <c r="H64" s="761">
        <f>H62+1</f>
        <v>1232</v>
      </c>
      <c r="I64" s="237" t="s">
        <v>1363</v>
      </c>
      <c r="J64" s="237"/>
      <c r="K64" s="191"/>
      <c r="L64" s="783"/>
      <c r="M64" s="764"/>
      <c r="N64" s="451"/>
      <c r="O64" s="451"/>
    </row>
    <row r="65" spans="1:13" s="451" customFormat="1" ht="12.75" customHeight="1">
      <c r="A65" s="761">
        <f>A62+1</f>
        <v>1209</v>
      </c>
      <c r="B65" s="762" t="str">
        <f>CONCATENATE("Individuele prijsafspraak, van regel ",Productie!A117,)</f>
        <v>Individuele prijsafspraak, van regel 921</v>
      </c>
      <c r="C65" s="769"/>
      <c r="D65" s="1216"/>
      <c r="E65" s="795"/>
      <c r="F65" s="766">
        <f>Productie!F117</f>
        <v>0</v>
      </c>
      <c r="G65" s="577"/>
      <c r="H65" s="761">
        <f>H64+1</f>
        <v>1233</v>
      </c>
      <c r="I65" s="762" t="str">
        <f>CONCATENATE("Totaal ",H58," t/m ",H64,)</f>
        <v>Totaal 1227 t/m 1232</v>
      </c>
      <c r="J65" s="769"/>
      <c r="K65" s="784"/>
      <c r="L65" s="785"/>
      <c r="M65" s="786">
        <f>SUM(M58:M64)</f>
        <v>0</v>
      </c>
    </row>
    <row r="66" spans="7:13" s="451" customFormat="1" ht="12.75" customHeight="1">
      <c r="G66" s="577"/>
      <c r="H66" s="761">
        <f>H65+1</f>
        <v>1234</v>
      </c>
      <c r="I66" s="237" t="s">
        <v>82</v>
      </c>
      <c r="J66" s="237"/>
      <c r="K66" s="191"/>
      <c r="L66" s="783"/>
      <c r="M66" s="764"/>
    </row>
    <row r="67" spans="7:13" s="451" customFormat="1" ht="12.75" customHeight="1">
      <c r="G67" s="577"/>
      <c r="H67" s="761">
        <f>H66+1</f>
        <v>1235</v>
      </c>
      <c r="I67" s="652" t="str">
        <f>CONCATENATE("Verschil tussen regel ",H66," en regel ",H65)</f>
        <v>Verschil tussen regel 1234 en regel 1233</v>
      </c>
      <c r="J67" s="652"/>
      <c r="K67" s="570"/>
      <c r="L67" s="77"/>
      <c r="M67" s="433">
        <f>M66-M65</f>
        <v>0</v>
      </c>
    </row>
    <row r="68" spans="1:13" s="451" customFormat="1" ht="12.75" customHeight="1">
      <c r="A68" s="629"/>
      <c r="B68" s="91"/>
      <c r="C68" s="91"/>
      <c r="D68" s="1073"/>
      <c r="E68" s="577"/>
      <c r="F68" s="614"/>
      <c r="G68" s="577"/>
      <c r="H68" s="325"/>
      <c r="I68" s="325"/>
      <c r="J68" s="325"/>
      <c r="K68" s="697"/>
      <c r="L68" s="113"/>
      <c r="M68" s="1071"/>
    </row>
    <row r="69" spans="1:13" ht="12.75">
      <c r="A69" s="26" t="s">
        <v>693</v>
      </c>
      <c r="B69" s="1655" t="s">
        <v>1231</v>
      </c>
      <c r="C69" s="1656"/>
      <c r="D69" s="1656"/>
      <c r="E69" s="1657"/>
      <c r="F69" s="715" t="s">
        <v>1232</v>
      </c>
      <c r="G69" s="1658" t="s">
        <v>1234</v>
      </c>
      <c r="H69" s="1658"/>
      <c r="I69" s="1658"/>
      <c r="J69" s="1652" t="str">
        <f>CONCATENATE("Ruimte voor toelichting op regel ",H67)</f>
        <v>Ruimte voor toelichting op regel 1235</v>
      </c>
      <c r="K69" s="1653"/>
      <c r="L69" s="1653"/>
      <c r="M69" s="1653"/>
    </row>
    <row r="70" spans="1:13" ht="12">
      <c r="A70" s="626"/>
      <c r="B70" s="648"/>
      <c r="C70" s="649"/>
      <c r="D70" s="649"/>
      <c r="E70" s="650"/>
      <c r="F70" s="651" t="s">
        <v>1233</v>
      </c>
      <c r="G70" s="1662" t="s">
        <v>1233</v>
      </c>
      <c r="H70" s="1663"/>
      <c r="I70" s="1664"/>
      <c r="J70" s="1012"/>
      <c r="K70" s="1066"/>
      <c r="L70" s="1066"/>
      <c r="M70" s="1067"/>
    </row>
    <row r="71" spans="1:13" ht="12.75">
      <c r="A71" s="761">
        <f>A62+1</f>
        <v>1209</v>
      </c>
      <c r="B71" s="661" t="s">
        <v>763</v>
      </c>
      <c r="C71" s="652"/>
      <c r="D71" s="652"/>
      <c r="E71" s="645"/>
      <c r="F71" s="604"/>
      <c r="G71" s="1665"/>
      <c r="H71" s="1666"/>
      <c r="I71" s="1667"/>
      <c r="J71" s="1064"/>
      <c r="K71" s="1064"/>
      <c r="L71" s="1064"/>
      <c r="M71" s="1064"/>
    </row>
    <row r="72" spans="1:13" ht="12">
      <c r="A72" s="761">
        <f>A71+1</f>
        <v>1210</v>
      </c>
      <c r="B72" s="661" t="s">
        <v>1274</v>
      </c>
      <c r="C72" s="652"/>
      <c r="D72" s="652"/>
      <c r="E72" s="645"/>
      <c r="F72" s="604"/>
      <c r="G72" s="1636"/>
      <c r="H72" s="1654"/>
      <c r="I72" s="1650"/>
      <c r="J72" s="1064"/>
      <c r="K72" s="1064"/>
      <c r="L72" s="1064"/>
      <c r="M72" s="1064"/>
    </row>
    <row r="73" spans="1:13" ht="12">
      <c r="A73" s="761">
        <f aca="true" t="shared" si="8" ref="A73:A82">A72+1</f>
        <v>1211</v>
      </c>
      <c r="B73" s="661" t="s">
        <v>1275</v>
      </c>
      <c r="C73" s="652"/>
      <c r="D73" s="652"/>
      <c r="E73" s="645"/>
      <c r="F73" s="604"/>
      <c r="G73" s="1636"/>
      <c r="H73" s="1654"/>
      <c r="I73" s="1650"/>
      <c r="J73" s="1064"/>
      <c r="K73" s="1064"/>
      <c r="L73" s="1064"/>
      <c r="M73" s="1064"/>
    </row>
    <row r="74" spans="1:13" ht="12.75" customHeight="1">
      <c r="A74" s="761">
        <f t="shared" si="8"/>
        <v>1212</v>
      </c>
      <c r="B74" s="454"/>
      <c r="C74" s="454"/>
      <c r="D74" s="454"/>
      <c r="E74" s="462"/>
      <c r="F74" s="604"/>
      <c r="G74" s="1636"/>
      <c r="H74" s="1654"/>
      <c r="I74" s="1650"/>
      <c r="J74" s="1064"/>
      <c r="K74" s="1064"/>
      <c r="L74" s="1064"/>
      <c r="M74" s="1064"/>
    </row>
    <row r="75" spans="1:13" ht="12.75" customHeight="1">
      <c r="A75" s="761">
        <f t="shared" si="8"/>
        <v>1213</v>
      </c>
      <c r="B75" s="454"/>
      <c r="C75" s="454"/>
      <c r="D75" s="454"/>
      <c r="E75" s="462"/>
      <c r="F75" s="604"/>
      <c r="G75" s="1636"/>
      <c r="H75" s="1654"/>
      <c r="I75" s="1650"/>
      <c r="J75" s="1064"/>
      <c r="K75" s="1064"/>
      <c r="L75" s="1064"/>
      <c r="M75" s="1064"/>
    </row>
    <row r="76" spans="1:13" ht="12.75" customHeight="1">
      <c r="A76" s="761">
        <f t="shared" si="8"/>
        <v>1214</v>
      </c>
      <c r="B76" s="454"/>
      <c r="C76" s="454"/>
      <c r="D76" s="454"/>
      <c r="E76" s="462"/>
      <c r="F76" s="604"/>
      <c r="G76" s="1636"/>
      <c r="H76" s="1654"/>
      <c r="I76" s="1650"/>
      <c r="J76" s="1064"/>
      <c r="K76" s="1064"/>
      <c r="L76" s="1064"/>
      <c r="M76" s="1064"/>
    </row>
    <row r="77" spans="1:13" ht="12.75" customHeight="1">
      <c r="A77" s="761">
        <f t="shared" si="8"/>
        <v>1215</v>
      </c>
      <c r="B77" s="454"/>
      <c r="C77" s="454"/>
      <c r="D77" s="454"/>
      <c r="E77" s="462"/>
      <c r="F77" s="604"/>
      <c r="G77" s="1636"/>
      <c r="H77" s="1654"/>
      <c r="I77" s="1650"/>
      <c r="J77" s="1064"/>
      <c r="K77" s="1064"/>
      <c r="L77" s="1064"/>
      <c r="M77" s="1064"/>
    </row>
    <row r="78" spans="1:13" ht="12.75" customHeight="1">
      <c r="A78" s="761">
        <f t="shared" si="8"/>
        <v>1216</v>
      </c>
      <c r="B78" s="454"/>
      <c r="C78" s="454"/>
      <c r="D78" s="454"/>
      <c r="E78" s="462"/>
      <c r="F78" s="604"/>
      <c r="G78" s="1636"/>
      <c r="H78" s="1654"/>
      <c r="I78" s="1650"/>
      <c r="J78" s="1064"/>
      <c r="K78" s="1064"/>
      <c r="L78" s="1064"/>
      <c r="M78" s="1064"/>
    </row>
    <row r="79" spans="1:13" ht="12.75" customHeight="1">
      <c r="A79" s="761">
        <f t="shared" si="8"/>
        <v>1217</v>
      </c>
      <c r="B79" s="454"/>
      <c r="C79" s="454"/>
      <c r="D79" s="454"/>
      <c r="E79" s="462"/>
      <c r="F79" s="604"/>
      <c r="G79" s="1636"/>
      <c r="H79" s="1654"/>
      <c r="I79" s="1650"/>
      <c r="J79" s="1064"/>
      <c r="K79" s="1064"/>
      <c r="L79" s="1064"/>
      <c r="M79" s="1064"/>
    </row>
    <row r="80" spans="1:13" ht="12.75" customHeight="1">
      <c r="A80" s="761">
        <f t="shared" si="8"/>
        <v>1218</v>
      </c>
      <c r="B80" s="454"/>
      <c r="C80" s="454"/>
      <c r="D80" s="454"/>
      <c r="E80" s="462"/>
      <c r="F80" s="604"/>
      <c r="G80" s="1636"/>
      <c r="H80" s="1654"/>
      <c r="I80" s="1650"/>
      <c r="J80" s="1064"/>
      <c r="K80" s="1064"/>
      <c r="L80" s="1064"/>
      <c r="M80" s="1064"/>
    </row>
    <row r="81" spans="1:13" ht="12.75" customHeight="1">
      <c r="A81" s="761">
        <f t="shared" si="8"/>
        <v>1219</v>
      </c>
      <c r="B81" s="454"/>
      <c r="C81" s="454"/>
      <c r="D81" s="454"/>
      <c r="E81" s="462"/>
      <c r="F81" s="604"/>
      <c r="G81" s="1636"/>
      <c r="H81" s="1654"/>
      <c r="I81" s="1650"/>
      <c r="J81" s="1064"/>
      <c r="K81" s="1064"/>
      <c r="L81" s="1064"/>
      <c r="M81" s="1064"/>
    </row>
    <row r="82" spans="1:13" ht="12.75" customHeight="1">
      <c r="A82" s="761">
        <f t="shared" si="8"/>
        <v>1220</v>
      </c>
      <c r="B82" s="454"/>
      <c r="C82" s="454"/>
      <c r="D82" s="454"/>
      <c r="E82" s="462"/>
      <c r="F82" s="604"/>
      <c r="G82" s="1636"/>
      <c r="H82" s="1654"/>
      <c r="I82" s="1650"/>
      <c r="J82" s="793"/>
      <c r="K82" s="793"/>
      <c r="L82" s="793"/>
      <c r="M82" s="793"/>
    </row>
    <row r="83" spans="1:13" ht="12.75" customHeight="1">
      <c r="A83" s="761">
        <f>A82+1</f>
        <v>1221</v>
      </c>
      <c r="B83" s="792"/>
      <c r="C83" s="792"/>
      <c r="D83" s="792"/>
      <c r="E83" s="793"/>
      <c r="F83" s="605"/>
      <c r="G83" s="1680"/>
      <c r="H83" s="1681"/>
      <c r="I83" s="1682"/>
      <c r="J83" s="1065"/>
      <c r="K83" s="574"/>
      <c r="L83" s="574"/>
      <c r="M83" s="574"/>
    </row>
    <row r="84" spans="1:13" ht="12">
      <c r="A84" s="761">
        <f>A83+1</f>
        <v>1222</v>
      </c>
      <c r="B84" s="762" t="str">
        <f>CONCATENATE("Totaal regel ",A71," t/m ",A83,)</f>
        <v>Totaal regel 1209 t/m 1221</v>
      </c>
      <c r="C84" s="794"/>
      <c r="D84" s="794"/>
      <c r="E84" s="790"/>
      <c r="F84" s="766">
        <f>SUM(F71:F83)</f>
        <v>0</v>
      </c>
      <c r="G84" s="1679">
        <f>SUM(G71:G83)</f>
        <v>0</v>
      </c>
      <c r="H84" s="1679"/>
      <c r="I84" s="1679"/>
      <c r="J84" s="1065"/>
      <c r="K84" s="574"/>
      <c r="L84" s="574"/>
      <c r="M84" s="574"/>
    </row>
    <row r="85" spans="1:16" s="494" customFormat="1" ht="12">
      <c r="A85" s="761">
        <f>A84+1</f>
        <v>1223</v>
      </c>
      <c r="B85" s="564" t="str">
        <f>CONCATENATE("Hiervan reeds verwerkt onder de regels ",A8," t/m ",A62)</f>
        <v>Hiervan reeds verwerkt onder de regels 1101 t/m 1208</v>
      </c>
      <c r="C85" s="564"/>
      <c r="D85" s="564"/>
      <c r="E85" s="564"/>
      <c r="F85" s="791"/>
      <c r="G85" s="1683"/>
      <c r="H85" s="1684"/>
      <c r="I85" s="1685"/>
      <c r="J85" s="1065"/>
      <c r="K85" s="574"/>
      <c r="L85" s="574"/>
      <c r="M85" s="574"/>
      <c r="P85" s="477"/>
    </row>
    <row r="86" spans="1:13" ht="12">
      <c r="A86" s="761">
        <f>A85+1</f>
        <v>1224</v>
      </c>
      <c r="B86" s="762" t="s">
        <v>1270</v>
      </c>
      <c r="C86" s="769"/>
      <c r="D86" s="769"/>
      <c r="E86" s="790"/>
      <c r="F86" s="766">
        <f>F84-F85</f>
        <v>0</v>
      </c>
      <c r="G86" s="1679">
        <f>G84-G85</f>
        <v>0</v>
      </c>
      <c r="H86" s="1679"/>
      <c r="I86" s="1679"/>
      <c r="J86" s="1065"/>
      <c r="K86" s="574"/>
      <c r="L86" s="574"/>
      <c r="M86" s="574"/>
    </row>
    <row r="87" spans="10:13" ht="12">
      <c r="J87" s="1065"/>
      <c r="K87" s="574"/>
      <c r="L87" s="574"/>
      <c r="M87" s="574"/>
    </row>
    <row r="88" spans="10:13" ht="12">
      <c r="J88" s="1065"/>
      <c r="K88" s="574"/>
      <c r="L88" s="574"/>
      <c r="M88" s="574"/>
    </row>
    <row r="89" spans="10:13" ht="12.75" customHeight="1">
      <c r="J89" s="1065"/>
      <c r="K89" s="574"/>
      <c r="L89" s="574"/>
      <c r="M89" s="574"/>
    </row>
    <row r="90" spans="10:13" ht="4.5" customHeight="1">
      <c r="J90" s="1065"/>
      <c r="K90" s="574"/>
      <c r="L90" s="574"/>
      <c r="M90" s="574"/>
    </row>
    <row r="91" spans="10:13" ht="12">
      <c r="J91" s="1065"/>
      <c r="K91" s="574"/>
      <c r="L91" s="574"/>
      <c r="M91" s="574"/>
    </row>
    <row r="92" spans="10:13" ht="12">
      <c r="J92" s="1065"/>
      <c r="K92" s="574"/>
      <c r="L92" s="574"/>
      <c r="M92" s="574"/>
    </row>
    <row r="93" spans="10:13" ht="12">
      <c r="J93" s="1065"/>
      <c r="K93" s="574"/>
      <c r="L93" s="574"/>
      <c r="M93" s="574"/>
    </row>
    <row r="94" spans="10:13" ht="12">
      <c r="J94" s="1065"/>
      <c r="K94" s="574"/>
      <c r="L94" s="574"/>
      <c r="M94" s="574"/>
    </row>
    <row r="95" spans="10:13" ht="12">
      <c r="J95" s="1065"/>
      <c r="K95" s="574"/>
      <c r="L95" s="574"/>
      <c r="M95" s="574"/>
    </row>
    <row r="96" spans="10:13" ht="4.5" customHeight="1">
      <c r="J96" s="1065"/>
      <c r="K96" s="574"/>
      <c r="L96" s="574"/>
      <c r="M96" s="574"/>
    </row>
    <row r="97" spans="10:13" ht="12">
      <c r="J97" s="1065"/>
      <c r="K97" s="574"/>
      <c r="L97" s="574"/>
      <c r="M97" s="574"/>
    </row>
    <row r="98" spans="10:13" ht="12">
      <c r="J98" s="1065"/>
      <c r="K98" s="574"/>
      <c r="L98" s="574"/>
      <c r="M98" s="574"/>
    </row>
    <row r="99" spans="10:13" ht="12">
      <c r="J99" s="1065"/>
      <c r="K99" s="574"/>
      <c r="L99" s="574"/>
      <c r="M99" s="574"/>
    </row>
    <row r="100" spans="10:13" ht="12">
      <c r="J100" s="1065"/>
      <c r="K100" s="574"/>
      <c r="L100" s="574"/>
      <c r="M100" s="574"/>
    </row>
    <row r="101" spans="10:13" ht="12">
      <c r="J101" s="1065"/>
      <c r="K101" s="574"/>
      <c r="L101" s="574"/>
      <c r="M101" s="574"/>
    </row>
    <row r="102" spans="10:13" ht="12">
      <c r="J102" s="1065"/>
      <c r="K102" s="574"/>
      <c r="L102" s="574"/>
      <c r="M102" s="574"/>
    </row>
    <row r="103" spans="10:13" ht="12">
      <c r="J103" s="1065"/>
      <c r="K103" s="574"/>
      <c r="L103" s="574"/>
      <c r="M103" s="574"/>
    </row>
    <row r="104" spans="10:13" ht="12">
      <c r="J104" s="1065"/>
      <c r="K104" s="574"/>
      <c r="L104" s="574"/>
      <c r="M104" s="574"/>
    </row>
    <row r="105" spans="10:13" ht="12">
      <c r="J105" s="1065"/>
      <c r="K105" s="574"/>
      <c r="L105" s="574"/>
      <c r="M105" s="574"/>
    </row>
    <row r="106" spans="10:13" ht="12">
      <c r="J106" s="1065"/>
      <c r="K106" s="574"/>
      <c r="L106" s="574"/>
      <c r="M106" s="574"/>
    </row>
    <row r="109" spans="1:7" ht="12">
      <c r="A109" s="580"/>
      <c r="B109" s="580"/>
      <c r="C109" s="580"/>
      <c r="D109" s="580"/>
      <c r="E109" s="580"/>
      <c r="F109" s="580"/>
      <c r="G109" s="580"/>
    </row>
    <row r="110" spans="1:6" ht="12">
      <c r="A110" s="580"/>
      <c r="B110" s="580"/>
      <c r="C110" s="580"/>
      <c r="D110" s="580"/>
      <c r="E110" s="580"/>
      <c r="F110" s="580"/>
    </row>
    <row r="111" spans="1:6" ht="12">
      <c r="A111" s="580"/>
      <c r="B111" s="580"/>
      <c r="C111" s="580"/>
      <c r="D111" s="580"/>
      <c r="E111" s="580"/>
      <c r="F111" s="580"/>
    </row>
  </sheetData>
  <sheetProtection password="958F" sheet="1" objects="1" scenarios="1"/>
  <mergeCells count="25">
    <mergeCell ref="M53:M54"/>
    <mergeCell ref="I62:L63"/>
    <mergeCell ref="M62:M63"/>
    <mergeCell ref="G86:I86"/>
    <mergeCell ref="G82:I82"/>
    <mergeCell ref="G83:I83"/>
    <mergeCell ref="G84:I84"/>
    <mergeCell ref="G85:I85"/>
    <mergeCell ref="G76:I76"/>
    <mergeCell ref="G77:I77"/>
    <mergeCell ref="G78:I78"/>
    <mergeCell ref="G79:I79"/>
    <mergeCell ref="G81:I81"/>
    <mergeCell ref="I49:L49"/>
    <mergeCell ref="G80:I80"/>
    <mergeCell ref="G70:I70"/>
    <mergeCell ref="G71:I71"/>
    <mergeCell ref="G72:I72"/>
    <mergeCell ref="G73:I73"/>
    <mergeCell ref="I52:M52"/>
    <mergeCell ref="J69:M69"/>
    <mergeCell ref="G74:I74"/>
    <mergeCell ref="G75:I75"/>
    <mergeCell ref="B69:E69"/>
    <mergeCell ref="G69:I69"/>
  </mergeCells>
  <conditionalFormatting sqref="D22:E22 M66 M58 M60 M49 F85:I85 B74:I83 F71:F73 G72:I73 F25 D8:D15 E8:E13 E15 M62:M64">
    <cfRule type="expression" priority="1" dxfId="2" stopIfTrue="1">
      <formula>$H$2=TRUE</formula>
    </cfRule>
  </conditionalFormatting>
  <dataValidations count="1">
    <dataValidation type="whole" operator="lessThan" allowBlank="1" showInputMessage="1" showErrorMessage="1" promptTitle="Aftrek vrijg. Paaz psychiaters" prompt="De vaste tarieven zijn inclusief de loonkosten van de psychiater. Indien er bij Paaz-en sprake is van vrijgevestigde psychiaters in dit veld het totale aftrekbedrag invullen t o.v. de lagere tarieven die gelden voor PAAZ-en met vrijgevestigde psychiaters." errorTitle="Alleen negatieve getallen!" error="U kunt hier alleen een negatief (afgerond) bedrag invoeren!" sqref="M49">
      <formula1>1</formula1>
    </dataValidation>
  </dataValidations>
  <printOptions/>
  <pageMargins left="0.3937007874015748" right="0.3937007874015748" top="0.3937007874015748" bottom="0.3937007874015748" header="0.6299212598425197" footer="0.11811023622047245"/>
  <pageSetup horizontalDpi="300" verticalDpi="300" orientation="landscape" paperSize="9" scale="95" r:id="rId2"/>
  <headerFooter alignWithMargins="0">
    <oddHeader xml:space="preserve">&amp;R&amp;9 </oddHeader>
  </headerFooter>
  <rowBreaks count="1" manualBreakCount="1">
    <brk id="44" max="12" man="1"/>
  </rowBreaks>
  <drawing r:id="rId1"/>
</worksheet>
</file>

<file path=xl/worksheets/sheet7.xml><?xml version="1.0" encoding="utf-8"?>
<worksheet xmlns="http://schemas.openxmlformats.org/spreadsheetml/2006/main" xmlns:r="http://schemas.openxmlformats.org/officeDocument/2006/relationships">
  <sheetPr codeName="Blad7"/>
  <dimension ref="A1:Q38"/>
  <sheetViews>
    <sheetView showGridLines="0" zoomScale="86" zoomScaleNormal="86" workbookViewId="0" topLeftCell="A1">
      <selection activeCell="A2" sqref="A2"/>
    </sheetView>
  </sheetViews>
  <sheetFormatPr defaultColWidth="9.140625" defaultRowHeight="12.75"/>
  <cols>
    <col min="1" max="1" width="5.7109375" style="467" customWidth="1"/>
    <col min="2" max="2" width="27.57421875" style="453" customWidth="1"/>
    <col min="3" max="3" width="5.421875" style="592" customWidth="1"/>
    <col min="4" max="8" width="12.7109375" style="453" customWidth="1"/>
    <col min="9" max="9" width="12.7109375" style="456" customWidth="1"/>
    <col min="10" max="12" width="12.7109375" style="453" customWidth="1"/>
    <col min="13" max="16384" width="9.140625" style="453" customWidth="1"/>
  </cols>
  <sheetData>
    <row r="1" spans="1:12" ht="15.75" customHeight="1">
      <c r="A1" s="455"/>
      <c r="B1" s="456"/>
      <c r="C1" s="459"/>
      <c r="D1" s="456"/>
      <c r="E1" s="456"/>
      <c r="F1" s="458"/>
      <c r="G1" s="455"/>
      <c r="H1" s="456"/>
      <c r="J1" s="456"/>
      <c r="L1" s="451"/>
    </row>
    <row r="2" spans="1:12" s="513" customFormat="1" ht="15.75" customHeight="1">
      <c r="A2" s="616" t="str">
        <f>Inhoud!$A$2</f>
        <v>Nacalculatieformulier 2005 GGZ-instellingen</v>
      </c>
      <c r="B2" s="631"/>
      <c r="C2" s="632"/>
      <c r="D2" s="633"/>
      <c r="E2" s="633"/>
      <c r="F2" s="542"/>
      <c r="G2" s="634" t="b">
        <f>Voorblad!E28</f>
        <v>1</v>
      </c>
      <c r="H2" s="631"/>
      <c r="I2" s="634"/>
      <c r="J2" s="634"/>
      <c r="K2" s="1258">
        <f>Opbrengsten!M46+1</f>
        <v>13</v>
      </c>
      <c r="L2" s="514"/>
    </row>
    <row r="3" spans="1:12" ht="12.75" customHeight="1">
      <c r="A3" s="41"/>
      <c r="B3" s="42"/>
      <c r="C3" s="43"/>
      <c r="D3" s="42"/>
      <c r="E3" s="42"/>
      <c r="F3" s="45"/>
      <c r="G3" s="41"/>
      <c r="H3" s="42"/>
      <c r="I3" s="42"/>
      <c r="J3" s="42"/>
      <c r="K3" s="603"/>
      <c r="L3" s="451"/>
    </row>
    <row r="4" spans="1:11" ht="12.75" customHeight="1">
      <c r="A4" s="14" t="s">
        <v>1264</v>
      </c>
      <c r="B4" s="95"/>
      <c r="C4" s="636"/>
      <c r="D4" s="95"/>
      <c r="E4" s="95"/>
      <c r="F4" s="33"/>
      <c r="G4" s="14"/>
      <c r="H4" s="95"/>
      <c r="I4" s="638"/>
      <c r="J4" s="95"/>
      <c r="K4" s="603"/>
    </row>
    <row r="5" spans="1:11" s="589" customFormat="1" ht="12.75" customHeight="1">
      <c r="A5" s="666"/>
      <c r="B5" s="286"/>
      <c r="C5" s="110"/>
      <c r="D5" s="111"/>
      <c r="E5" s="112"/>
      <c r="F5" s="113"/>
      <c r="G5" s="112"/>
      <c r="H5" s="113"/>
      <c r="I5" s="113"/>
      <c r="J5" s="113"/>
      <c r="K5" s="565"/>
    </row>
    <row r="6" spans="1:2" s="590" customFormat="1" ht="12.75" customHeight="1">
      <c r="A6" s="1092"/>
      <c r="B6" s="693"/>
    </row>
    <row r="7" spans="1:2" s="590" customFormat="1" ht="12.75" customHeight="1">
      <c r="A7" s="671" t="s">
        <v>1101</v>
      </c>
      <c r="B7" s="44" t="s">
        <v>971</v>
      </c>
    </row>
    <row r="8" spans="1:11" ht="12.75" customHeight="1">
      <c r="A8" s="573"/>
      <c r="B8" s="1128"/>
      <c r="C8" s="1165" t="s">
        <v>812</v>
      </c>
      <c r="D8" s="647" t="s">
        <v>864</v>
      </c>
      <c r="E8" s="1686" t="s">
        <v>1021</v>
      </c>
      <c r="F8" s="1687"/>
      <c r="G8" s="1688" t="s">
        <v>1022</v>
      </c>
      <c r="H8" s="1689"/>
      <c r="I8" s="1686" t="str">
        <f>CONCATENATE("Jaarrekening ",Voorblad!E3)</f>
        <v>Jaarrekening 2005</v>
      </c>
      <c r="J8" s="1690"/>
      <c r="K8" s="1691"/>
    </row>
    <row r="9" spans="2:11" s="460" customFormat="1" ht="12.75" customHeight="1">
      <c r="B9" s="993"/>
      <c r="C9" s="1166"/>
      <c r="D9" s="667" t="str">
        <f>CONCATENATE("nacalc. ",Voorblad!E3-1)</f>
        <v>nacalc. 2004</v>
      </c>
      <c r="E9" s="667" t="str">
        <f>CONCATENATE("Doorw. ",Voorblad!E3-1," ")</f>
        <v>Doorw. 2004 </v>
      </c>
      <c r="F9" s="667">
        <f>Voorblad!E3</f>
        <v>2005</v>
      </c>
      <c r="G9" s="667" t="str">
        <f>CONCATENATE("Doorw. ",Voorblad!E3-1," ")</f>
        <v>Doorw. 2004 </v>
      </c>
      <c r="H9" s="668" t="str">
        <f>CONCATENATE(Voorblad!E3)</f>
        <v>2005</v>
      </c>
      <c r="I9" s="669" t="s">
        <v>864</v>
      </c>
      <c r="J9" s="670" t="s">
        <v>1023</v>
      </c>
      <c r="K9" s="668" t="s">
        <v>863</v>
      </c>
    </row>
    <row r="10" spans="1:11" ht="12.75" customHeight="1">
      <c r="A10" s="761">
        <f>(100*K2)+1</f>
        <v>1301</v>
      </c>
      <c r="B10" s="843" t="s">
        <v>813</v>
      </c>
      <c r="C10" s="987">
        <v>5</v>
      </c>
      <c r="D10" s="434"/>
      <c r="E10" s="501">
        <v>0</v>
      </c>
      <c r="F10" s="501">
        <v>0</v>
      </c>
      <c r="G10" s="434"/>
      <c r="H10" s="434"/>
      <c r="I10" s="433">
        <f aca="true" t="shared" si="0" ref="I10:I21">D10-E10-F10+G10+H10</f>
        <v>0</v>
      </c>
      <c r="J10" s="434"/>
      <c r="K10" s="434"/>
    </row>
    <row r="11" spans="1:11" ht="12.75" customHeight="1">
      <c r="A11" s="761">
        <f aca="true" t="shared" si="1" ref="A11:A20">A10+1</f>
        <v>1302</v>
      </c>
      <c r="B11" s="674" t="s">
        <v>814</v>
      </c>
      <c r="C11" s="987">
        <v>2</v>
      </c>
      <c r="D11" s="434"/>
      <c r="E11" s="501">
        <v>0</v>
      </c>
      <c r="F11" s="501">
        <v>0</v>
      </c>
      <c r="G11" s="434"/>
      <c r="H11" s="434"/>
      <c r="I11" s="433">
        <f t="shared" si="0"/>
        <v>0</v>
      </c>
      <c r="J11" s="434"/>
      <c r="K11" s="434"/>
    </row>
    <row r="12" spans="1:11" ht="12.75" customHeight="1">
      <c r="A12" s="761">
        <f t="shared" si="1"/>
        <v>1303</v>
      </c>
      <c r="B12" s="674" t="s">
        <v>843</v>
      </c>
      <c r="C12" s="987">
        <v>5</v>
      </c>
      <c r="D12" s="434"/>
      <c r="E12" s="501">
        <v>0</v>
      </c>
      <c r="F12" s="501">
        <v>0</v>
      </c>
      <c r="G12" s="434"/>
      <c r="H12" s="434"/>
      <c r="I12" s="433">
        <f t="shared" si="0"/>
        <v>0</v>
      </c>
      <c r="J12" s="434"/>
      <c r="K12" s="434"/>
    </row>
    <row r="13" spans="1:17" ht="12.75" customHeight="1">
      <c r="A13" s="761">
        <f t="shared" si="1"/>
        <v>1304</v>
      </c>
      <c r="B13" s="674" t="s">
        <v>815</v>
      </c>
      <c r="C13" s="987">
        <v>10</v>
      </c>
      <c r="D13" s="434"/>
      <c r="E13" s="501">
        <v>0</v>
      </c>
      <c r="F13" s="501">
        <v>0</v>
      </c>
      <c r="G13" s="434"/>
      <c r="H13" s="434"/>
      <c r="I13" s="433">
        <f t="shared" si="0"/>
        <v>0</v>
      </c>
      <c r="J13" s="434"/>
      <c r="K13" s="434"/>
      <c r="Q13" s="471"/>
    </row>
    <row r="14" spans="1:11" ht="12.75" customHeight="1">
      <c r="A14" s="761">
        <f t="shared" si="1"/>
        <v>1305</v>
      </c>
      <c r="B14" s="674" t="s">
        <v>816</v>
      </c>
      <c r="C14" s="987">
        <v>5</v>
      </c>
      <c r="D14" s="434"/>
      <c r="E14" s="501">
        <v>0</v>
      </c>
      <c r="F14" s="501">
        <v>0</v>
      </c>
      <c r="G14" s="434"/>
      <c r="H14" s="434"/>
      <c r="I14" s="433">
        <f t="shared" si="0"/>
        <v>0</v>
      </c>
      <c r="J14" s="434"/>
      <c r="K14" s="434"/>
    </row>
    <row r="15" spans="1:11" ht="12.75" customHeight="1">
      <c r="A15" s="761">
        <f t="shared" si="1"/>
        <v>1306</v>
      </c>
      <c r="B15" s="674" t="s">
        <v>1250</v>
      </c>
      <c r="C15" s="987">
        <v>5</v>
      </c>
      <c r="D15" s="434"/>
      <c r="E15" s="501">
        <v>0</v>
      </c>
      <c r="F15" s="501">
        <v>0</v>
      </c>
      <c r="G15" s="434"/>
      <c r="H15" s="434"/>
      <c r="I15" s="433">
        <f t="shared" si="0"/>
        <v>0</v>
      </c>
      <c r="J15" s="434"/>
      <c r="K15" s="434"/>
    </row>
    <row r="16" spans="1:11" ht="12.75" customHeight="1">
      <c r="A16" s="761">
        <f t="shared" si="1"/>
        <v>1307</v>
      </c>
      <c r="B16" s="674" t="s">
        <v>817</v>
      </c>
      <c r="C16" s="988">
        <v>2.5</v>
      </c>
      <c r="D16" s="434"/>
      <c r="E16" s="501">
        <v>0</v>
      </c>
      <c r="F16" s="501">
        <v>0</v>
      </c>
      <c r="G16" s="434"/>
      <c r="H16" s="434"/>
      <c r="I16" s="433">
        <f t="shared" si="0"/>
        <v>0</v>
      </c>
      <c r="J16" s="434"/>
      <c r="K16" s="434"/>
    </row>
    <row r="17" spans="1:11" ht="12.75" customHeight="1">
      <c r="A17" s="761">
        <f t="shared" si="1"/>
        <v>1308</v>
      </c>
      <c r="B17" s="674" t="s">
        <v>818</v>
      </c>
      <c r="C17" s="988"/>
      <c r="D17" s="434"/>
      <c r="E17" s="501">
        <v>0</v>
      </c>
      <c r="F17" s="501">
        <v>0</v>
      </c>
      <c r="G17" s="434"/>
      <c r="H17" s="434"/>
      <c r="I17" s="433">
        <f t="shared" si="0"/>
        <v>0</v>
      </c>
      <c r="J17" s="434"/>
      <c r="K17" s="434"/>
    </row>
    <row r="18" spans="1:11" ht="12.75" customHeight="1">
      <c r="A18" s="761">
        <f t="shared" si="1"/>
        <v>1309</v>
      </c>
      <c r="B18" s="674" t="s">
        <v>1084</v>
      </c>
      <c r="C18" s="987">
        <v>0</v>
      </c>
      <c r="D18" s="434"/>
      <c r="E18" s="501">
        <v>0</v>
      </c>
      <c r="F18" s="501">
        <v>0</v>
      </c>
      <c r="G18" s="434"/>
      <c r="H18" s="434"/>
      <c r="I18" s="433">
        <f t="shared" si="0"/>
        <v>0</v>
      </c>
      <c r="J18" s="434"/>
      <c r="K18" s="434"/>
    </row>
    <row r="19" spans="1:11" ht="12.75" customHeight="1">
      <c r="A19" s="761">
        <f t="shared" si="1"/>
        <v>1310</v>
      </c>
      <c r="B19" s="706" t="s">
        <v>819</v>
      </c>
      <c r="C19" s="989"/>
      <c r="D19" s="764"/>
      <c r="E19" s="800">
        <v>0</v>
      </c>
      <c r="F19" s="800">
        <v>0</v>
      </c>
      <c r="G19" s="764"/>
      <c r="H19" s="764"/>
      <c r="I19" s="765">
        <f t="shared" si="0"/>
        <v>0</v>
      </c>
      <c r="J19" s="764"/>
      <c r="K19" s="764"/>
    </row>
    <row r="20" spans="1:11" ht="12.75" customHeight="1">
      <c r="A20" s="761">
        <f t="shared" si="1"/>
        <v>1311</v>
      </c>
      <c r="B20" s="798" t="str">
        <f>CONCATENATE("Totaal regel ",A10," t/m ",A19)</f>
        <v>Totaal regel 1301 t/m 1310</v>
      </c>
      <c r="C20" s="799"/>
      <c r="D20" s="766">
        <f aca="true" t="shared" si="2" ref="D20:K20">SUM(D10:D19)</f>
        <v>0</v>
      </c>
      <c r="E20" s="801">
        <f t="shared" si="2"/>
        <v>0</v>
      </c>
      <c r="F20" s="801">
        <f t="shared" si="2"/>
        <v>0</v>
      </c>
      <c r="G20" s="766">
        <f t="shared" si="2"/>
        <v>0</v>
      </c>
      <c r="H20" s="766">
        <f t="shared" si="2"/>
        <v>0</v>
      </c>
      <c r="I20" s="786">
        <f>SUM(I10:I19)</f>
        <v>0</v>
      </c>
      <c r="J20" s="802">
        <f t="shared" si="2"/>
        <v>0</v>
      </c>
      <c r="K20" s="802">
        <f t="shared" si="2"/>
        <v>0</v>
      </c>
    </row>
    <row r="21" spans="1:11" ht="12.75" customHeight="1">
      <c r="A21" s="761">
        <f aca="true" t="shared" si="3" ref="A21:A26">A20+1</f>
        <v>1312</v>
      </c>
      <c r="B21" s="697" t="s">
        <v>76</v>
      </c>
      <c r="C21" s="672"/>
      <c r="D21" s="809"/>
      <c r="E21" s="800">
        <v>0</v>
      </c>
      <c r="F21" s="800">
        <v>0</v>
      </c>
      <c r="G21" s="809"/>
      <c r="H21" s="809"/>
      <c r="I21" s="433">
        <f t="shared" si="0"/>
        <v>0</v>
      </c>
      <c r="J21" s="809"/>
      <c r="K21" s="809"/>
    </row>
    <row r="22" spans="1:11" ht="12.75" customHeight="1">
      <c r="A22" s="761">
        <f t="shared" si="3"/>
        <v>1313</v>
      </c>
      <c r="B22" s="775" t="str">
        <f>CONCATENATE("Aanvaardbaar (regel ",A20," -/- ",A21,")")</f>
        <v>Aanvaardbaar (regel 1311 -/- 1312)</v>
      </c>
      <c r="C22" s="803"/>
      <c r="D22" s="786">
        <f aca="true" t="shared" si="4" ref="D22:K22">D20-D21</f>
        <v>0</v>
      </c>
      <c r="E22" s="801">
        <f t="shared" si="4"/>
        <v>0</v>
      </c>
      <c r="F22" s="801">
        <f t="shared" si="4"/>
        <v>0</v>
      </c>
      <c r="G22" s="786">
        <f t="shared" si="4"/>
        <v>0</v>
      </c>
      <c r="H22" s="786">
        <f t="shared" si="4"/>
        <v>0</v>
      </c>
      <c r="I22" s="786">
        <f t="shared" si="4"/>
        <v>0</v>
      </c>
      <c r="J22" s="810">
        <f t="shared" si="4"/>
        <v>0</v>
      </c>
      <c r="K22" s="810">
        <f t="shared" si="4"/>
        <v>0</v>
      </c>
    </row>
    <row r="23" spans="1:11" ht="12.75" customHeight="1">
      <c r="A23" s="761">
        <f t="shared" si="3"/>
        <v>1314</v>
      </c>
      <c r="B23" s="569" t="str">
        <f>CONCATENATE("Boekwaarde conform regel 1313 nacalculatieformulier ",Voorblad!E3-1)</f>
        <v>Boekwaarde conform regel 1313 nacalculatieformulier 2004</v>
      </c>
      <c r="C23" s="806"/>
      <c r="D23" s="807"/>
      <c r="E23" s="807"/>
      <c r="F23" s="808"/>
      <c r="G23" s="914"/>
      <c r="H23" s="918"/>
      <c r="I23" s="918"/>
      <c r="J23" s="919"/>
      <c r="K23" s="434"/>
    </row>
    <row r="24" spans="1:11" s="456" customFormat="1" ht="12.75" customHeight="1">
      <c r="A24" s="761">
        <f t="shared" si="3"/>
        <v>1315</v>
      </c>
      <c r="B24" s="569" t="str">
        <f>CONCATENATE("In nacalculatie ",Voorblad!E3-1," berekende doorwerking naar ",Voorblad!E3)</f>
        <v>In nacalculatie 2004 berekende doorwerking naar 2005</v>
      </c>
      <c r="C24" s="806"/>
      <c r="D24" s="807"/>
      <c r="E24" s="807"/>
      <c r="F24" s="808"/>
      <c r="G24" s="434"/>
      <c r="H24" s="917"/>
      <c r="I24" s="465"/>
      <c r="J24" s="465"/>
      <c r="K24" s="511"/>
    </row>
    <row r="25" spans="1:11" s="456" customFormat="1" ht="12.75" customHeight="1">
      <c r="A25" s="761">
        <f t="shared" si="3"/>
        <v>1316</v>
      </c>
      <c r="B25" s="569" t="str">
        <f>CONCATENATE("Totaal nieuwe aanvaarbare afschrijving en investeringen ",Voorblad!E3," van regel ",WZV!H86)</f>
        <v>Totaal nieuwe aanvaarbare afschrijving en investeringen 2005 van regel 1558</v>
      </c>
      <c r="C25" s="806"/>
      <c r="D25" s="807"/>
      <c r="E25" s="807"/>
      <c r="F25" s="807"/>
      <c r="G25" s="934"/>
      <c r="H25" s="433">
        <f>WZV!L86</f>
        <v>0</v>
      </c>
      <c r="I25" s="915"/>
      <c r="J25" s="916"/>
      <c r="K25" s="433">
        <f>WZV!J86</f>
        <v>0</v>
      </c>
    </row>
    <row r="26" spans="1:11" s="456" customFormat="1" ht="12.75" customHeight="1">
      <c r="A26" s="761">
        <f t="shared" si="3"/>
        <v>1317</v>
      </c>
      <c r="B26" s="776" t="s">
        <v>1235</v>
      </c>
      <c r="C26" s="803"/>
      <c r="D26" s="804"/>
      <c r="E26" s="804"/>
      <c r="F26" s="805"/>
      <c r="G26" s="786">
        <f>G22-G24</f>
        <v>0</v>
      </c>
      <c r="H26" s="786">
        <f>H22-H25</f>
        <v>0</v>
      </c>
      <c r="I26" s="588"/>
      <c r="J26" s="465"/>
      <c r="K26" s="810">
        <f>K22-(K23+K25-I22)</f>
        <v>0</v>
      </c>
    </row>
    <row r="27" spans="1:10" s="456" customFormat="1" ht="12.75" customHeight="1">
      <c r="A27" s="591"/>
      <c r="B27" s="457"/>
      <c r="C27" s="468"/>
      <c r="D27" s="469"/>
      <c r="E27" s="469"/>
      <c r="F27" s="470"/>
      <c r="G27" s="470"/>
      <c r="H27" s="470"/>
      <c r="I27" s="588"/>
      <c r="J27" s="465"/>
    </row>
    <row r="28" spans="1:11" s="456" customFormat="1" ht="12.75" customHeight="1">
      <c r="A28" s="41" t="s">
        <v>1102</v>
      </c>
      <c r="B28" s="45" t="s">
        <v>977</v>
      </c>
      <c r="C28" s="110"/>
      <c r="D28" s="111"/>
      <c r="E28" s="111"/>
      <c r="F28" s="113"/>
      <c r="G28" s="113"/>
      <c r="H28" s="113"/>
      <c r="I28" s="356"/>
      <c r="J28" s="84"/>
      <c r="K28" s="42"/>
    </row>
    <row r="29" spans="1:11" s="456" customFormat="1" ht="12.75" customHeight="1">
      <c r="A29" s="42"/>
      <c r="B29" s="1169"/>
      <c r="C29" s="1167" t="s">
        <v>812</v>
      </c>
      <c r="D29" s="647" t="s">
        <v>1236</v>
      </c>
      <c r="E29" s="647" t="s">
        <v>1237</v>
      </c>
      <c r="F29" s="647" t="s">
        <v>1238</v>
      </c>
      <c r="G29" s="647" t="s">
        <v>1236</v>
      </c>
      <c r="H29" s="647" t="s">
        <v>865</v>
      </c>
      <c r="I29" s="647" t="s">
        <v>1239</v>
      </c>
      <c r="J29" s="647" t="s">
        <v>1240</v>
      </c>
      <c r="K29" s="647" t="s">
        <v>1240</v>
      </c>
    </row>
    <row r="30" spans="1:11" s="472" customFormat="1" ht="12.75" customHeight="1">
      <c r="A30" s="90"/>
      <c r="B30" s="1170"/>
      <c r="C30" s="1168"/>
      <c r="D30" s="667" t="str">
        <f>CONCATENATE("ultimo ",Voorblad!E3-1)</f>
        <v>ultimo 2004</v>
      </c>
      <c r="E30" s="667">
        <f>Voorblad!E3</f>
        <v>2005</v>
      </c>
      <c r="F30" s="667">
        <f>Voorblad!E3</f>
        <v>2005</v>
      </c>
      <c r="G30" s="667" t="str">
        <f>CONCATENATE("ultimo ",Voorblad!E3)</f>
        <v>ultimo 2005</v>
      </c>
      <c r="H30" s="667">
        <f>Voorblad!E3</f>
        <v>2005</v>
      </c>
      <c r="I30" s="667" t="str">
        <f>CONCATENATE("ultimo ",Voorblad!E3)</f>
        <v>ultimo 2005</v>
      </c>
      <c r="J30" s="667" t="str">
        <f>CONCATENATE("ultimo ",Voorblad!E3-1)</f>
        <v>ultimo 2004</v>
      </c>
      <c r="K30" s="667" t="str">
        <f>CONCATENATE("ultimo ",Voorblad!E3)</f>
        <v>ultimo 2005</v>
      </c>
    </row>
    <row r="31" spans="1:11" s="456" customFormat="1" ht="12.75" customHeight="1">
      <c r="A31" s="761">
        <f>A26+1</f>
        <v>1318</v>
      </c>
      <c r="B31" s="1131" t="s">
        <v>956</v>
      </c>
      <c r="C31" s="987">
        <v>10</v>
      </c>
      <c r="D31" s="434"/>
      <c r="E31" s="501">
        <v>0</v>
      </c>
      <c r="F31" s="731"/>
      <c r="G31" s="433">
        <f aca="true" t="shared" si="5" ref="G31:G36">D31-E31+F31</f>
        <v>0</v>
      </c>
      <c r="H31" s="434"/>
      <c r="I31" s="434"/>
      <c r="J31" s="434"/>
      <c r="K31" s="433">
        <f aca="true" t="shared" si="6" ref="K31:K36">G31-I31</f>
        <v>0</v>
      </c>
    </row>
    <row r="32" spans="1:11" ht="12.75" customHeight="1">
      <c r="A32" s="761">
        <f aca="true" t="shared" si="7" ref="A32:A38">A31+1</f>
        <v>1319</v>
      </c>
      <c r="B32" s="674" t="s">
        <v>957</v>
      </c>
      <c r="C32" s="987">
        <v>5</v>
      </c>
      <c r="D32" s="434"/>
      <c r="E32" s="501">
        <v>0</v>
      </c>
      <c r="F32" s="731"/>
      <c r="G32" s="433">
        <f t="shared" si="5"/>
        <v>0</v>
      </c>
      <c r="H32" s="434"/>
      <c r="I32" s="434"/>
      <c r="J32" s="434"/>
      <c r="K32" s="433">
        <f t="shared" si="6"/>
        <v>0</v>
      </c>
    </row>
    <row r="33" spans="1:11" ht="12.75" customHeight="1">
      <c r="A33" s="761">
        <f t="shared" si="7"/>
        <v>1320</v>
      </c>
      <c r="B33" s="675" t="s">
        <v>952</v>
      </c>
      <c r="C33" s="987">
        <v>20</v>
      </c>
      <c r="D33" s="434"/>
      <c r="E33" s="501">
        <v>0</v>
      </c>
      <c r="F33" s="731"/>
      <c r="G33" s="433">
        <f t="shared" si="5"/>
        <v>0</v>
      </c>
      <c r="H33" s="434"/>
      <c r="I33" s="434"/>
      <c r="J33" s="434"/>
      <c r="K33" s="433">
        <f t="shared" si="6"/>
        <v>0</v>
      </c>
    </row>
    <row r="34" spans="1:11" ht="12.75" customHeight="1">
      <c r="A34" s="761">
        <f t="shared" si="7"/>
        <v>1321</v>
      </c>
      <c r="B34" s="674" t="s">
        <v>953</v>
      </c>
      <c r="C34" s="987">
        <v>20</v>
      </c>
      <c r="D34" s="434"/>
      <c r="E34" s="501">
        <v>0</v>
      </c>
      <c r="F34" s="731"/>
      <c r="G34" s="433">
        <f t="shared" si="5"/>
        <v>0</v>
      </c>
      <c r="H34" s="434"/>
      <c r="I34" s="434"/>
      <c r="J34" s="434"/>
      <c r="K34" s="433">
        <f t="shared" si="6"/>
        <v>0</v>
      </c>
    </row>
    <row r="35" spans="1:11" ht="12.75" customHeight="1">
      <c r="A35" s="761">
        <f t="shared" si="7"/>
        <v>1322</v>
      </c>
      <c r="B35" s="675" t="s">
        <v>954</v>
      </c>
      <c r="C35" s="987">
        <v>20</v>
      </c>
      <c r="D35" s="434"/>
      <c r="E35" s="501">
        <v>0</v>
      </c>
      <c r="F35" s="731"/>
      <c r="G35" s="433">
        <f t="shared" si="5"/>
        <v>0</v>
      </c>
      <c r="H35" s="434"/>
      <c r="I35" s="434"/>
      <c r="J35" s="434"/>
      <c r="K35" s="433">
        <f t="shared" si="6"/>
        <v>0</v>
      </c>
    </row>
    <row r="36" spans="1:11" ht="12.75" customHeight="1">
      <c r="A36" s="761">
        <f t="shared" si="7"/>
        <v>1323</v>
      </c>
      <c r="B36" s="706" t="s">
        <v>955</v>
      </c>
      <c r="C36" s="990">
        <v>10</v>
      </c>
      <c r="D36" s="764"/>
      <c r="E36" s="800">
        <v>0</v>
      </c>
      <c r="F36" s="731"/>
      <c r="G36" s="433">
        <f t="shared" si="5"/>
        <v>0</v>
      </c>
      <c r="H36" s="434"/>
      <c r="I36" s="434"/>
      <c r="J36" s="434"/>
      <c r="K36" s="433">
        <f t="shared" si="6"/>
        <v>0</v>
      </c>
    </row>
    <row r="37" spans="1:14" ht="12.75" customHeight="1">
      <c r="A37" s="761">
        <f t="shared" si="7"/>
        <v>1324</v>
      </c>
      <c r="B37" s="776" t="str">
        <f>CONCATENATE("Instandhoudingsinvesteringen volgens regel ",Instandhouding!A27)</f>
        <v>Instandhoudingsinvesteringen volgens regel 1721</v>
      </c>
      <c r="C37" s="803"/>
      <c r="D37" s="804"/>
      <c r="E37" s="805"/>
      <c r="F37" s="433">
        <f>Instandhouding!F27</f>
        <v>0</v>
      </c>
      <c r="G37" s="580"/>
      <c r="H37" s="580"/>
      <c r="I37" s="580"/>
      <c r="J37" s="580"/>
      <c r="K37" s="580"/>
      <c r="L37" s="580"/>
      <c r="M37" s="580"/>
      <c r="N37" s="580"/>
    </row>
    <row r="38" spans="1:6" ht="12.75" customHeight="1">
      <c r="A38" s="761">
        <f t="shared" si="7"/>
        <v>1325</v>
      </c>
      <c r="B38" s="776" t="s">
        <v>1249</v>
      </c>
      <c r="C38" s="803"/>
      <c r="D38" s="804"/>
      <c r="E38" s="805"/>
      <c r="F38" s="811">
        <f>F31+F32-F37</f>
        <v>0</v>
      </c>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sheetData>
  <sheetProtection password="958F" sheet="1" objects="1" scenarios="1"/>
  <mergeCells count="3">
    <mergeCell ref="E8:F8"/>
    <mergeCell ref="G8:H8"/>
    <mergeCell ref="I8:K8"/>
  </mergeCells>
  <conditionalFormatting sqref="D10:H19 D21:H21 J10:K19 J21:K21 D31:F36 H31:J36 G24 K23">
    <cfRule type="expression" priority="1" dxfId="2" stopIfTrue="1">
      <formula>$G$2=TRUE</formula>
    </cfRule>
  </conditionalFormatting>
  <printOptions/>
  <pageMargins left="0.3937007874015748" right="0.3937007874015748" top="0.3937007874015748" bottom="0.3937007874015748" header="0.5118110236220472" footer="0.5118110236220472"/>
  <pageSetup horizontalDpi="300" verticalDpi="300" orientation="landscape" paperSize="9" scale="95" r:id="rId2"/>
  <drawing r:id="rId1"/>
</worksheet>
</file>

<file path=xl/worksheets/sheet8.xml><?xml version="1.0" encoding="utf-8"?>
<worksheet xmlns="http://schemas.openxmlformats.org/spreadsheetml/2006/main" xmlns:r="http://schemas.openxmlformats.org/officeDocument/2006/relationships">
  <sheetPr codeName="Blad8"/>
  <dimension ref="A1:O122"/>
  <sheetViews>
    <sheetView showGridLines="0" zoomScale="86" zoomScaleNormal="86" zoomScaleSheetLayoutView="86" workbookViewId="0" topLeftCell="A1">
      <selection activeCell="A2" sqref="A2"/>
    </sheetView>
  </sheetViews>
  <sheetFormatPr defaultColWidth="9.140625" defaultRowHeight="12.75"/>
  <cols>
    <col min="1" max="1" width="5.00390625" style="467" customWidth="1"/>
    <col min="2" max="2" width="13.7109375" style="456" customWidth="1"/>
    <col min="3" max="6" width="12.7109375" style="456" customWidth="1"/>
    <col min="7" max="7" width="1.421875" style="453" customWidth="1"/>
    <col min="8" max="8" width="4.7109375" style="467" customWidth="1"/>
    <col min="9" max="9" width="13.7109375" style="456" customWidth="1"/>
    <col min="10" max="13" width="12.7109375" style="456" customWidth="1"/>
    <col min="14" max="16384" width="9.140625" style="453" customWidth="1"/>
  </cols>
  <sheetData>
    <row r="1" spans="1:13" ht="15.75" customHeight="1">
      <c r="A1" s="671"/>
      <c r="B1" s="42"/>
      <c r="C1" s="42"/>
      <c r="D1" s="42"/>
      <c r="E1" s="42"/>
      <c r="F1" s="42"/>
      <c r="G1" s="603"/>
      <c r="H1" s="671"/>
      <c r="I1" s="42"/>
      <c r="J1" s="42"/>
      <c r="K1" s="42"/>
      <c r="L1" s="42"/>
      <c r="M1" s="42"/>
    </row>
    <row r="2" spans="1:13" s="513" customFormat="1" ht="15.75" customHeight="1">
      <c r="A2" s="616" t="str">
        <f>Inhoud!$A$2</f>
        <v>Nacalculatieformulier 2005 GGZ-instellingen</v>
      </c>
      <c r="B2" s="631"/>
      <c r="C2" s="633"/>
      <c r="D2" s="634"/>
      <c r="E2" s="634"/>
      <c r="F2" s="634"/>
      <c r="G2" s="542"/>
      <c r="H2" s="634" t="b">
        <f>Voorblad!E28</f>
        <v>1</v>
      </c>
      <c r="I2" s="634"/>
      <c r="J2" s="634">
        <f>Voorblad!J28</f>
        <v>0</v>
      </c>
      <c r="K2" s="634"/>
      <c r="L2" s="634"/>
      <c r="M2" s="1258">
        <f>Afschrijvingen!$K$2+1</f>
        <v>14</v>
      </c>
    </row>
    <row r="3" spans="1:13" ht="12.75" customHeight="1">
      <c r="A3" s="671"/>
      <c r="B3" s="42"/>
      <c r="C3" s="42"/>
      <c r="D3" s="42"/>
      <c r="E3" s="42"/>
      <c r="F3" s="42"/>
      <c r="G3" s="603"/>
      <c r="H3" s="671"/>
      <c r="I3" s="42"/>
      <c r="J3" s="42"/>
      <c r="K3" s="42"/>
      <c r="L3" s="42"/>
      <c r="M3" s="42"/>
    </row>
    <row r="4" spans="1:13" ht="12.75" customHeight="1">
      <c r="A4" s="14" t="s">
        <v>1103</v>
      </c>
      <c r="B4" s="676" t="s">
        <v>1357</v>
      </c>
      <c r="C4" s="677"/>
      <c r="D4" s="42"/>
      <c r="E4" s="42"/>
      <c r="F4" s="42"/>
      <c r="G4" s="603"/>
      <c r="H4" s="671"/>
      <c r="I4" s="42"/>
      <c r="J4" s="42"/>
      <c r="K4" s="42"/>
      <c r="L4" s="42"/>
      <c r="M4" s="42"/>
    </row>
    <row r="5" spans="1:13" ht="12.75" customHeight="1">
      <c r="A5" s="671"/>
      <c r="B5" s="1715" t="s">
        <v>1224</v>
      </c>
      <c r="C5" s="1716"/>
      <c r="D5" s="1716"/>
      <c r="E5" s="1716"/>
      <c r="F5" s="1717"/>
      <c r="G5" s="603"/>
      <c r="H5" s="671"/>
      <c r="I5" s="1715" t="s">
        <v>1229</v>
      </c>
      <c r="J5" s="1716"/>
      <c r="K5" s="1716"/>
      <c r="L5" s="1716"/>
      <c r="M5" s="1717"/>
    </row>
    <row r="6" spans="1:13" ht="12.75" customHeight="1">
      <c r="A6" s="768">
        <f>(100*M2)+1</f>
        <v>1401</v>
      </c>
      <c r="B6" s="1744"/>
      <c r="C6" s="1745"/>
      <c r="D6" s="1745"/>
      <c r="E6" s="1745"/>
      <c r="F6" s="1746"/>
      <c r="H6" s="761">
        <f>A41+1</f>
        <v>1429</v>
      </c>
      <c r="I6" s="1744"/>
      <c r="J6" s="1745"/>
      <c r="K6" s="1745"/>
      <c r="L6" s="1745"/>
      <c r="M6" s="1746"/>
    </row>
    <row r="7" spans="1:13" s="513" customFormat="1" ht="12.75" customHeight="1">
      <c r="A7" s="577"/>
      <c r="B7" s="1747" t="s">
        <v>1223</v>
      </c>
      <c r="C7" s="1748"/>
      <c r="D7" s="678" t="s">
        <v>836</v>
      </c>
      <c r="E7" s="1740" t="s">
        <v>1225</v>
      </c>
      <c r="F7" s="1741"/>
      <c r="G7" s="92"/>
      <c r="H7" s="626"/>
      <c r="I7" s="1747" t="s">
        <v>1223</v>
      </c>
      <c r="J7" s="1748"/>
      <c r="K7" s="678" t="s">
        <v>836</v>
      </c>
      <c r="L7" s="1740" t="s">
        <v>1225</v>
      </c>
      <c r="M7" s="1741"/>
    </row>
    <row r="8" spans="1:13" s="513" customFormat="1" ht="12.75" customHeight="1">
      <c r="A8" s="768">
        <f>A6+1</f>
        <v>1402</v>
      </c>
      <c r="B8" s="1718"/>
      <c r="C8" s="1719"/>
      <c r="D8" s="566"/>
      <c r="E8" s="1720"/>
      <c r="F8" s="1721"/>
      <c r="G8" s="580"/>
      <c r="H8" s="761">
        <f>H6+1</f>
        <v>1430</v>
      </c>
      <c r="I8" s="1718"/>
      <c r="J8" s="1719"/>
      <c r="K8" s="566"/>
      <c r="L8" s="1720"/>
      <c r="M8" s="1721"/>
    </row>
    <row r="9" spans="1:13" s="513" customFormat="1" ht="12.75" customHeight="1">
      <c r="A9" s="768">
        <f>A8+1</f>
        <v>1403</v>
      </c>
      <c r="B9" s="1751"/>
      <c r="C9" s="1752"/>
      <c r="D9" s="567"/>
      <c r="E9" s="1749"/>
      <c r="F9" s="1750"/>
      <c r="G9" s="580"/>
      <c r="H9" s="761">
        <f>H8+1</f>
        <v>1431</v>
      </c>
      <c r="I9" s="1751"/>
      <c r="J9" s="1752"/>
      <c r="K9" s="567"/>
      <c r="L9" s="1749"/>
      <c r="M9" s="1750"/>
    </row>
    <row r="10" spans="1:13" s="475" customFormat="1" ht="12.75" customHeight="1">
      <c r="A10" s="643"/>
      <c r="B10" s="833"/>
      <c r="C10" s="1247" t="s">
        <v>850</v>
      </c>
      <c r="D10" s="1243" t="s">
        <v>1025</v>
      </c>
      <c r="E10" s="1552" t="s">
        <v>865</v>
      </c>
      <c r="F10" s="715" t="s">
        <v>998</v>
      </c>
      <c r="G10" s="178"/>
      <c r="H10" s="643"/>
      <c r="I10" s="833"/>
      <c r="J10" s="1247" t="s">
        <v>850</v>
      </c>
      <c r="K10" s="1243" t="s">
        <v>1025</v>
      </c>
      <c r="L10" s="1552" t="s">
        <v>865</v>
      </c>
      <c r="M10" s="1552" t="s">
        <v>998</v>
      </c>
    </row>
    <row r="11" spans="1:13" s="475" customFormat="1" ht="12.75" customHeight="1">
      <c r="A11" s="643"/>
      <c r="B11" s="834"/>
      <c r="C11" s="1248" t="s">
        <v>1226</v>
      </c>
      <c r="D11" s="1249" t="s">
        <v>1026</v>
      </c>
      <c r="E11" s="1248">
        <f>Voorblad!E3</f>
        <v>2005</v>
      </c>
      <c r="F11" s="1083">
        <f>Voorblad!E3+1</f>
        <v>2006</v>
      </c>
      <c r="G11" s="178"/>
      <c r="H11" s="643"/>
      <c r="I11" s="834"/>
      <c r="J11" s="1248" t="s">
        <v>1226</v>
      </c>
      <c r="K11" s="1249" t="s">
        <v>1026</v>
      </c>
      <c r="L11" s="1248">
        <f>Voorblad!E3</f>
        <v>2005</v>
      </c>
      <c r="M11" s="1248">
        <f>Voorblad!E3+1</f>
        <v>2006</v>
      </c>
    </row>
    <row r="12" spans="1:13" ht="12.75" customHeight="1">
      <c r="A12" s="761">
        <f>A9+1</f>
        <v>1404</v>
      </c>
      <c r="B12" s="778" t="s">
        <v>1081</v>
      </c>
      <c r="C12" s="594"/>
      <c r="D12" s="595"/>
      <c r="E12" s="595"/>
      <c r="F12" s="835">
        <f>D12-E12</f>
        <v>0</v>
      </c>
      <c r="H12" s="761">
        <f>H9+1</f>
        <v>1432</v>
      </c>
      <c r="I12" s="778" t="s">
        <v>1081</v>
      </c>
      <c r="J12" s="594"/>
      <c r="K12" s="595"/>
      <c r="L12" s="595"/>
      <c r="M12" s="836">
        <f>K12-L12</f>
        <v>0</v>
      </c>
    </row>
    <row r="13" spans="1:13" ht="12.75" customHeight="1">
      <c r="A13" s="761">
        <f aca="true" t="shared" si="0" ref="A13:A21">A12+1</f>
        <v>1405</v>
      </c>
      <c r="B13" s="812" t="s">
        <v>814</v>
      </c>
      <c r="C13" s="596"/>
      <c r="D13" s="597"/>
      <c r="E13" s="597"/>
      <c r="F13" s="835">
        <f aca="true" t="shared" si="1" ref="F13:F21">D13-E13</f>
        <v>0</v>
      </c>
      <c r="H13" s="761">
        <f aca="true" t="shared" si="2" ref="H13:H21">H12+1</f>
        <v>1433</v>
      </c>
      <c r="I13" s="812" t="s">
        <v>814</v>
      </c>
      <c r="J13" s="596"/>
      <c r="K13" s="597"/>
      <c r="L13" s="597"/>
      <c r="M13" s="835">
        <f aca="true" t="shared" si="3" ref="M13:M21">K13-L13</f>
        <v>0</v>
      </c>
    </row>
    <row r="14" spans="1:13" ht="12.75" customHeight="1">
      <c r="A14" s="761">
        <f t="shared" si="0"/>
        <v>1406</v>
      </c>
      <c r="B14" s="812" t="s">
        <v>1082</v>
      </c>
      <c r="C14" s="596"/>
      <c r="D14" s="597"/>
      <c r="E14" s="597"/>
      <c r="F14" s="835">
        <f t="shared" si="1"/>
        <v>0</v>
      </c>
      <c r="H14" s="761">
        <f t="shared" si="2"/>
        <v>1434</v>
      </c>
      <c r="I14" s="812" t="s">
        <v>1082</v>
      </c>
      <c r="J14" s="596"/>
      <c r="K14" s="597"/>
      <c r="L14" s="597"/>
      <c r="M14" s="835">
        <f t="shared" si="3"/>
        <v>0</v>
      </c>
    </row>
    <row r="15" spans="1:13" ht="12.75" customHeight="1">
      <c r="A15" s="761">
        <f t="shared" si="0"/>
        <v>1407</v>
      </c>
      <c r="B15" s="812" t="s">
        <v>815</v>
      </c>
      <c r="C15" s="596"/>
      <c r="D15" s="597"/>
      <c r="E15" s="597"/>
      <c r="F15" s="835">
        <f t="shared" si="1"/>
        <v>0</v>
      </c>
      <c r="H15" s="761">
        <f t="shared" si="2"/>
        <v>1435</v>
      </c>
      <c r="I15" s="812" t="s">
        <v>815</v>
      </c>
      <c r="J15" s="596"/>
      <c r="K15" s="597"/>
      <c r="L15" s="597"/>
      <c r="M15" s="835">
        <f t="shared" si="3"/>
        <v>0</v>
      </c>
    </row>
    <row r="16" spans="1:13" ht="12.75" customHeight="1">
      <c r="A16" s="761">
        <f t="shared" si="0"/>
        <v>1408</v>
      </c>
      <c r="B16" s="812" t="s">
        <v>816</v>
      </c>
      <c r="C16" s="596"/>
      <c r="D16" s="597"/>
      <c r="E16" s="597"/>
      <c r="F16" s="835">
        <f t="shared" si="1"/>
        <v>0</v>
      </c>
      <c r="H16" s="761">
        <f t="shared" si="2"/>
        <v>1436</v>
      </c>
      <c r="I16" s="812" t="s">
        <v>816</v>
      </c>
      <c r="J16" s="596"/>
      <c r="K16" s="597"/>
      <c r="L16" s="597"/>
      <c r="M16" s="835">
        <f t="shared" si="3"/>
        <v>0</v>
      </c>
    </row>
    <row r="17" spans="1:13" ht="12.75" customHeight="1">
      <c r="A17" s="761">
        <f t="shared" si="0"/>
        <v>1409</v>
      </c>
      <c r="B17" s="812" t="s">
        <v>1083</v>
      </c>
      <c r="C17" s="596"/>
      <c r="D17" s="597"/>
      <c r="E17" s="597"/>
      <c r="F17" s="835">
        <f t="shared" si="1"/>
        <v>0</v>
      </c>
      <c r="H17" s="761">
        <f t="shared" si="2"/>
        <v>1437</v>
      </c>
      <c r="I17" s="812" t="s">
        <v>1083</v>
      </c>
      <c r="J17" s="596"/>
      <c r="K17" s="597"/>
      <c r="L17" s="597"/>
      <c r="M17" s="835">
        <f t="shared" si="3"/>
        <v>0</v>
      </c>
    </row>
    <row r="18" spans="1:13" ht="12.75" customHeight="1">
      <c r="A18" s="761">
        <f t="shared" si="0"/>
        <v>1410</v>
      </c>
      <c r="B18" s="812" t="s">
        <v>817</v>
      </c>
      <c r="C18" s="596"/>
      <c r="D18" s="597"/>
      <c r="E18" s="597"/>
      <c r="F18" s="835">
        <f t="shared" si="1"/>
        <v>0</v>
      </c>
      <c r="H18" s="761">
        <f t="shared" si="2"/>
        <v>1438</v>
      </c>
      <c r="I18" s="812" t="s">
        <v>817</v>
      </c>
      <c r="J18" s="596"/>
      <c r="K18" s="597"/>
      <c r="L18" s="597"/>
      <c r="M18" s="835">
        <f t="shared" si="3"/>
        <v>0</v>
      </c>
    </row>
    <row r="19" spans="1:13" ht="12.75" customHeight="1">
      <c r="A19" s="761">
        <f t="shared" si="0"/>
        <v>1411</v>
      </c>
      <c r="B19" s="812" t="s">
        <v>818</v>
      </c>
      <c r="C19" s="596"/>
      <c r="D19" s="597"/>
      <c r="E19" s="597"/>
      <c r="F19" s="835">
        <f t="shared" si="1"/>
        <v>0</v>
      </c>
      <c r="H19" s="761">
        <f t="shared" si="2"/>
        <v>1439</v>
      </c>
      <c r="I19" s="812" t="s">
        <v>818</v>
      </c>
      <c r="J19" s="596"/>
      <c r="K19" s="597"/>
      <c r="L19" s="597"/>
      <c r="M19" s="835">
        <f t="shared" si="3"/>
        <v>0</v>
      </c>
    </row>
    <row r="20" spans="1:13" ht="12.75" customHeight="1">
      <c r="A20" s="761">
        <f t="shared" si="0"/>
        <v>1412</v>
      </c>
      <c r="B20" s="812" t="s">
        <v>1084</v>
      </c>
      <c r="C20" s="596"/>
      <c r="D20" s="597"/>
      <c r="E20" s="597"/>
      <c r="F20" s="835">
        <f t="shared" si="1"/>
        <v>0</v>
      </c>
      <c r="H20" s="761">
        <f t="shared" si="2"/>
        <v>1440</v>
      </c>
      <c r="I20" s="812" t="s">
        <v>1084</v>
      </c>
      <c r="J20" s="596"/>
      <c r="K20" s="597"/>
      <c r="L20" s="597"/>
      <c r="M20" s="835">
        <f t="shared" si="3"/>
        <v>0</v>
      </c>
    </row>
    <row r="21" spans="1:13" ht="12.75" customHeight="1">
      <c r="A21" s="761">
        <f t="shared" si="0"/>
        <v>1413</v>
      </c>
      <c r="B21" s="813" t="s">
        <v>819</v>
      </c>
      <c r="C21" s="596"/>
      <c r="D21" s="597"/>
      <c r="E21" s="814"/>
      <c r="F21" s="835">
        <f t="shared" si="1"/>
        <v>0</v>
      </c>
      <c r="H21" s="761">
        <f t="shared" si="2"/>
        <v>1441</v>
      </c>
      <c r="I21" s="813" t="s">
        <v>819</v>
      </c>
      <c r="J21" s="596"/>
      <c r="K21" s="597"/>
      <c r="L21" s="814"/>
      <c r="M21" s="835">
        <f t="shared" si="3"/>
        <v>0</v>
      </c>
    </row>
    <row r="22" spans="1:13" ht="12.75" customHeight="1">
      <c r="A22" s="761">
        <f>A21+1</f>
        <v>1414</v>
      </c>
      <c r="B22" s="815" t="str">
        <f>CONCATENATE(A12," t/m ",A21)</f>
        <v>1404 t/m 1413</v>
      </c>
      <c r="C22" s="816">
        <f>SUM(C12:C21)</f>
        <v>0</v>
      </c>
      <c r="D22" s="816">
        <f>SUM(D12:D21)</f>
        <v>0</v>
      </c>
      <c r="E22" s="817">
        <f>SUM(E12:E21)</f>
        <v>0</v>
      </c>
      <c r="F22" s="817">
        <f>SUM(F12:F21)</f>
        <v>0</v>
      </c>
      <c r="H22" s="761">
        <f>H21+1</f>
        <v>1442</v>
      </c>
      <c r="I22" s="815" t="str">
        <f>CONCATENATE(H12," t/m ",H21)</f>
        <v>1432 t/m 1441</v>
      </c>
      <c r="J22" s="816">
        <f>SUM(J12:J21)</f>
        <v>0</v>
      </c>
      <c r="K22" s="816">
        <f>SUM(K12:K21)</f>
        <v>0</v>
      </c>
      <c r="L22" s="817">
        <f>SUM(L12:L21)</f>
        <v>0</v>
      </c>
      <c r="M22" s="817">
        <f>SUM(M12:M21)</f>
        <v>0</v>
      </c>
    </row>
    <row r="23" spans="1:13" ht="12">
      <c r="A23" s="671"/>
      <c r="B23" s="42"/>
      <c r="C23" s="42"/>
      <c r="D23" s="42"/>
      <c r="E23" s="42"/>
      <c r="F23" s="42"/>
      <c r="G23" s="603"/>
      <c r="H23" s="671"/>
      <c r="I23" s="42"/>
      <c r="J23" s="42"/>
      <c r="K23" s="42"/>
      <c r="L23" s="42"/>
      <c r="M23" s="42"/>
    </row>
    <row r="24" spans="1:13" ht="12.75" customHeight="1">
      <c r="A24" s="671"/>
      <c r="B24" s="1715" t="s">
        <v>1227</v>
      </c>
      <c r="C24" s="1716"/>
      <c r="D24" s="1716"/>
      <c r="E24" s="1716"/>
      <c r="F24" s="1717"/>
      <c r="G24" s="603"/>
      <c r="H24" s="671"/>
      <c r="I24" s="1715" t="s">
        <v>1228</v>
      </c>
      <c r="J24" s="1716"/>
      <c r="K24" s="1716"/>
      <c r="L24" s="1716"/>
      <c r="M24" s="1717"/>
    </row>
    <row r="25" spans="1:13" ht="12.75" customHeight="1">
      <c r="A25" s="761">
        <f>A22+1</f>
        <v>1415</v>
      </c>
      <c r="B25" s="1744"/>
      <c r="C25" s="1745"/>
      <c r="D25" s="1745"/>
      <c r="E25" s="1745"/>
      <c r="F25" s="1746"/>
      <c r="H25" s="761">
        <f>H22+1</f>
        <v>1443</v>
      </c>
      <c r="I25" s="1744"/>
      <c r="J25" s="1745"/>
      <c r="K25" s="1745"/>
      <c r="L25" s="1745"/>
      <c r="M25" s="1746"/>
    </row>
    <row r="26" spans="1:13" ht="12.75" customHeight="1">
      <c r="A26" s="626"/>
      <c r="B26" s="1747" t="s">
        <v>1223</v>
      </c>
      <c r="C26" s="1748"/>
      <c r="D26" s="678" t="s">
        <v>836</v>
      </c>
      <c r="E26" s="1740" t="s">
        <v>1225</v>
      </c>
      <c r="F26" s="1741"/>
      <c r="G26" s="603"/>
      <c r="H26" s="626"/>
      <c r="I26" s="1747" t="s">
        <v>1223</v>
      </c>
      <c r="J26" s="1748"/>
      <c r="K26" s="678" t="s">
        <v>836</v>
      </c>
      <c r="L26" s="1740" t="s">
        <v>1225</v>
      </c>
      <c r="M26" s="1741"/>
    </row>
    <row r="27" spans="1:13" ht="12.75" customHeight="1">
      <c r="A27" s="761">
        <f>A25+1</f>
        <v>1416</v>
      </c>
      <c r="B27" s="1718"/>
      <c r="C27" s="1719"/>
      <c r="D27" s="566"/>
      <c r="E27" s="1720"/>
      <c r="F27" s="1721"/>
      <c r="H27" s="761">
        <f>H25+1</f>
        <v>1444</v>
      </c>
      <c r="I27" s="1718"/>
      <c r="J27" s="1719"/>
      <c r="K27" s="566"/>
      <c r="L27" s="1720"/>
      <c r="M27" s="1721"/>
    </row>
    <row r="28" spans="1:13" ht="12.75" customHeight="1">
      <c r="A28" s="761">
        <f>A27+1</f>
        <v>1417</v>
      </c>
      <c r="B28" s="1751"/>
      <c r="C28" s="1752"/>
      <c r="D28" s="567"/>
      <c r="E28" s="1749"/>
      <c r="F28" s="1750"/>
      <c r="H28" s="761">
        <f>H27+1</f>
        <v>1445</v>
      </c>
      <c r="I28" s="1751"/>
      <c r="J28" s="1752"/>
      <c r="K28" s="567"/>
      <c r="L28" s="1749"/>
      <c r="M28" s="1750"/>
    </row>
    <row r="29" spans="1:13" ht="12.75" customHeight="1">
      <c r="A29" s="643"/>
      <c r="B29" s="833"/>
      <c r="C29" s="1247" t="s">
        <v>850</v>
      </c>
      <c r="D29" s="1243" t="s">
        <v>1025</v>
      </c>
      <c r="E29" s="715" t="s">
        <v>865</v>
      </c>
      <c r="F29" s="715" t="s">
        <v>998</v>
      </c>
      <c r="G29" s="603"/>
      <c r="H29" s="643"/>
      <c r="I29" s="833"/>
      <c r="J29" s="1247" t="s">
        <v>850</v>
      </c>
      <c r="K29" s="1243" t="s">
        <v>1025</v>
      </c>
      <c r="L29" s="715" t="s">
        <v>865</v>
      </c>
      <c r="M29" s="715" t="s">
        <v>998</v>
      </c>
    </row>
    <row r="30" spans="1:13" ht="12.75" customHeight="1">
      <c r="A30" s="643"/>
      <c r="B30" s="834"/>
      <c r="C30" s="1248" t="s">
        <v>1226</v>
      </c>
      <c r="D30" s="1249" t="s">
        <v>1026</v>
      </c>
      <c r="E30" s="1083">
        <f>Voorblad!E3</f>
        <v>2005</v>
      </c>
      <c r="F30" s="1083">
        <f>Voorblad!E3+1</f>
        <v>2006</v>
      </c>
      <c r="G30" s="603"/>
      <c r="H30" s="643"/>
      <c r="I30" s="834"/>
      <c r="J30" s="1248" t="s">
        <v>1226</v>
      </c>
      <c r="K30" s="1249" t="s">
        <v>1026</v>
      </c>
      <c r="L30" s="1083">
        <f>Voorblad!E3</f>
        <v>2005</v>
      </c>
      <c r="M30" s="1083">
        <f>Voorblad!E3+1</f>
        <v>2006</v>
      </c>
    </row>
    <row r="31" spans="1:13" ht="12.75" customHeight="1">
      <c r="A31" s="761">
        <f>A28+1</f>
        <v>1418</v>
      </c>
      <c r="B31" s="778" t="s">
        <v>1081</v>
      </c>
      <c r="C31" s="594"/>
      <c r="D31" s="595"/>
      <c r="E31" s="595"/>
      <c r="F31" s="836">
        <f>D31-E31</f>
        <v>0</v>
      </c>
      <c r="H31" s="761">
        <f>H28+1</f>
        <v>1446</v>
      </c>
      <c r="I31" s="778" t="s">
        <v>1081</v>
      </c>
      <c r="J31" s="594"/>
      <c r="K31" s="595"/>
      <c r="L31" s="595"/>
      <c r="M31" s="836">
        <f>K31-L31</f>
        <v>0</v>
      </c>
    </row>
    <row r="32" spans="1:13" ht="12">
      <c r="A32" s="761">
        <f aca="true" t="shared" si="4" ref="A32:A40">A31+1</f>
        <v>1419</v>
      </c>
      <c r="B32" s="812" t="s">
        <v>814</v>
      </c>
      <c r="C32" s="596"/>
      <c r="D32" s="597"/>
      <c r="E32" s="597"/>
      <c r="F32" s="835">
        <f aca="true" t="shared" si="5" ref="F32:F40">D32-E32</f>
        <v>0</v>
      </c>
      <c r="H32" s="761">
        <f aca="true" t="shared" si="6" ref="H32:H40">H31+1</f>
        <v>1447</v>
      </c>
      <c r="I32" s="812" t="s">
        <v>814</v>
      </c>
      <c r="J32" s="596"/>
      <c r="K32" s="597"/>
      <c r="L32" s="597"/>
      <c r="M32" s="835">
        <f aca="true" t="shared" si="7" ref="M32:M40">K32-L32</f>
        <v>0</v>
      </c>
    </row>
    <row r="33" spans="1:13" ht="12">
      <c r="A33" s="761">
        <f t="shared" si="4"/>
        <v>1420</v>
      </c>
      <c r="B33" s="812" t="s">
        <v>1082</v>
      </c>
      <c r="C33" s="596"/>
      <c r="D33" s="597"/>
      <c r="E33" s="597"/>
      <c r="F33" s="835">
        <f t="shared" si="5"/>
        <v>0</v>
      </c>
      <c r="H33" s="761">
        <f t="shared" si="6"/>
        <v>1448</v>
      </c>
      <c r="I33" s="812" t="s">
        <v>1082</v>
      </c>
      <c r="J33" s="596"/>
      <c r="K33" s="597"/>
      <c r="L33" s="597"/>
      <c r="M33" s="835">
        <f t="shared" si="7"/>
        <v>0</v>
      </c>
    </row>
    <row r="34" spans="1:13" ht="12" customHeight="1">
      <c r="A34" s="761">
        <f t="shared" si="4"/>
        <v>1421</v>
      </c>
      <c r="B34" s="812" t="s">
        <v>815</v>
      </c>
      <c r="C34" s="596"/>
      <c r="D34" s="597"/>
      <c r="E34" s="597"/>
      <c r="F34" s="835">
        <f t="shared" si="5"/>
        <v>0</v>
      </c>
      <c r="H34" s="761">
        <f t="shared" si="6"/>
        <v>1449</v>
      </c>
      <c r="I34" s="812" t="s">
        <v>815</v>
      </c>
      <c r="J34" s="596"/>
      <c r="K34" s="597"/>
      <c r="L34" s="597"/>
      <c r="M34" s="835">
        <f t="shared" si="7"/>
        <v>0</v>
      </c>
    </row>
    <row r="35" spans="1:13" ht="12">
      <c r="A35" s="761">
        <f t="shared" si="4"/>
        <v>1422</v>
      </c>
      <c r="B35" s="812" t="s">
        <v>816</v>
      </c>
      <c r="C35" s="596"/>
      <c r="D35" s="597"/>
      <c r="E35" s="597"/>
      <c r="F35" s="835">
        <f t="shared" si="5"/>
        <v>0</v>
      </c>
      <c r="H35" s="761">
        <f t="shared" si="6"/>
        <v>1450</v>
      </c>
      <c r="I35" s="812" t="s">
        <v>816</v>
      </c>
      <c r="J35" s="596"/>
      <c r="K35" s="597"/>
      <c r="L35" s="597"/>
      <c r="M35" s="835">
        <f t="shared" si="7"/>
        <v>0</v>
      </c>
    </row>
    <row r="36" spans="1:13" ht="12">
      <c r="A36" s="761">
        <f t="shared" si="4"/>
        <v>1423</v>
      </c>
      <c r="B36" s="812" t="s">
        <v>1083</v>
      </c>
      <c r="C36" s="596"/>
      <c r="D36" s="597"/>
      <c r="E36" s="597"/>
      <c r="F36" s="835">
        <f t="shared" si="5"/>
        <v>0</v>
      </c>
      <c r="H36" s="761">
        <f t="shared" si="6"/>
        <v>1451</v>
      </c>
      <c r="I36" s="812" t="s">
        <v>1083</v>
      </c>
      <c r="J36" s="596"/>
      <c r="K36" s="597"/>
      <c r="L36" s="597"/>
      <c r="M36" s="835">
        <f t="shared" si="7"/>
        <v>0</v>
      </c>
    </row>
    <row r="37" spans="1:13" ht="12">
      <c r="A37" s="761">
        <f t="shared" si="4"/>
        <v>1424</v>
      </c>
      <c r="B37" s="812" t="s">
        <v>817</v>
      </c>
      <c r="C37" s="596"/>
      <c r="D37" s="597"/>
      <c r="E37" s="597"/>
      <c r="F37" s="835">
        <f t="shared" si="5"/>
        <v>0</v>
      </c>
      <c r="H37" s="761">
        <f t="shared" si="6"/>
        <v>1452</v>
      </c>
      <c r="I37" s="812" t="s">
        <v>817</v>
      </c>
      <c r="J37" s="596"/>
      <c r="K37" s="597"/>
      <c r="L37" s="597"/>
      <c r="M37" s="835">
        <f t="shared" si="7"/>
        <v>0</v>
      </c>
    </row>
    <row r="38" spans="1:13" ht="12">
      <c r="A38" s="761">
        <f t="shared" si="4"/>
        <v>1425</v>
      </c>
      <c r="B38" s="812" t="s">
        <v>818</v>
      </c>
      <c r="C38" s="596"/>
      <c r="D38" s="597"/>
      <c r="E38" s="597"/>
      <c r="F38" s="835">
        <f t="shared" si="5"/>
        <v>0</v>
      </c>
      <c r="H38" s="761">
        <f t="shared" si="6"/>
        <v>1453</v>
      </c>
      <c r="I38" s="812" t="s">
        <v>818</v>
      </c>
      <c r="J38" s="596"/>
      <c r="K38" s="597"/>
      <c r="L38" s="597"/>
      <c r="M38" s="835">
        <f t="shared" si="7"/>
        <v>0</v>
      </c>
    </row>
    <row r="39" spans="1:13" ht="12">
      <c r="A39" s="761">
        <f t="shared" si="4"/>
        <v>1426</v>
      </c>
      <c r="B39" s="812" t="s">
        <v>1084</v>
      </c>
      <c r="C39" s="596"/>
      <c r="D39" s="597"/>
      <c r="E39" s="597"/>
      <c r="F39" s="835">
        <f t="shared" si="5"/>
        <v>0</v>
      </c>
      <c r="G39" s="456"/>
      <c r="H39" s="761">
        <f t="shared" si="6"/>
        <v>1454</v>
      </c>
      <c r="I39" s="812" t="s">
        <v>1084</v>
      </c>
      <c r="J39" s="596"/>
      <c r="K39" s="597"/>
      <c r="L39" s="597"/>
      <c r="M39" s="835">
        <f t="shared" si="7"/>
        <v>0</v>
      </c>
    </row>
    <row r="40" spans="1:13" ht="12">
      <c r="A40" s="761">
        <f t="shared" si="4"/>
        <v>1427</v>
      </c>
      <c r="B40" s="813" t="s">
        <v>819</v>
      </c>
      <c r="C40" s="596"/>
      <c r="D40" s="597"/>
      <c r="E40" s="814"/>
      <c r="F40" s="835">
        <f t="shared" si="5"/>
        <v>0</v>
      </c>
      <c r="G40" s="456"/>
      <c r="H40" s="761">
        <f t="shared" si="6"/>
        <v>1455</v>
      </c>
      <c r="I40" s="813" t="s">
        <v>819</v>
      </c>
      <c r="J40" s="596"/>
      <c r="K40" s="597"/>
      <c r="L40" s="814"/>
      <c r="M40" s="835">
        <f t="shared" si="7"/>
        <v>0</v>
      </c>
    </row>
    <row r="41" spans="1:13" ht="12">
      <c r="A41" s="761">
        <f>A40+1</f>
        <v>1428</v>
      </c>
      <c r="B41" s="815" t="str">
        <f>CONCATENATE(A31," t/m ",A40)</f>
        <v>1418 t/m 1427</v>
      </c>
      <c r="C41" s="816">
        <f>SUM(C31:C40)</f>
        <v>0</v>
      </c>
      <c r="D41" s="816">
        <f>SUM(D31:D40)</f>
        <v>0</v>
      </c>
      <c r="E41" s="817">
        <f>SUM(E31:E40)</f>
        <v>0</v>
      </c>
      <c r="F41" s="817">
        <f>SUM(F31:F40)</f>
        <v>0</v>
      </c>
      <c r="H41" s="761">
        <f>H40+1</f>
        <v>1456</v>
      </c>
      <c r="I41" s="815" t="str">
        <f>CONCATENATE(H31," t/m ",H40)</f>
        <v>1446 t/m 1455</v>
      </c>
      <c r="J41" s="816">
        <f>SUM(J31:J40)</f>
        <v>0</v>
      </c>
      <c r="K41" s="816">
        <f>SUM(K31:K40)</f>
        <v>0</v>
      </c>
      <c r="L41" s="817">
        <f>SUM(L31:L40)</f>
        <v>0</v>
      </c>
      <c r="M41" s="817">
        <f>SUM(M31:M40)</f>
        <v>0</v>
      </c>
    </row>
    <row r="42" spans="1:15" ht="12.75">
      <c r="A42"/>
      <c r="B42"/>
      <c r="C42"/>
      <c r="D42"/>
      <c r="E42"/>
      <c r="F42"/>
      <c r="G42"/>
      <c r="H42"/>
      <c r="I42"/>
      <c r="J42"/>
      <c r="K42"/>
      <c r="L42"/>
      <c r="M42"/>
      <c r="N42"/>
      <c r="O42"/>
    </row>
    <row r="43" spans="1:13" ht="12">
      <c r="A43" s="671"/>
      <c r="B43" s="42"/>
      <c r="C43" s="42"/>
      <c r="D43" s="42"/>
      <c r="E43" s="42"/>
      <c r="F43" s="42"/>
      <c r="G43" s="603"/>
      <c r="H43" s="671"/>
      <c r="I43" s="42"/>
      <c r="J43" s="42"/>
      <c r="K43" s="42"/>
      <c r="L43" s="42"/>
      <c r="M43" s="42"/>
    </row>
    <row r="44" spans="1:13" ht="15.75" customHeight="1">
      <c r="A44" s="616" t="str">
        <f>Inhoud!$A$2</f>
        <v>Nacalculatieformulier 2005 GGZ-instellingen</v>
      </c>
      <c r="B44" s="631"/>
      <c r="C44" s="633"/>
      <c r="D44" s="634"/>
      <c r="E44" s="634"/>
      <c r="F44" s="634"/>
      <c r="G44" s="634" t="b">
        <f>Voorblad!E28</f>
        <v>1</v>
      </c>
      <c r="H44" s="634"/>
      <c r="I44" s="634"/>
      <c r="J44" s="634"/>
      <c r="K44" s="634"/>
      <c r="L44" s="634"/>
      <c r="M44" s="1258">
        <f>M2+1</f>
        <v>15</v>
      </c>
    </row>
    <row r="45" spans="1:13" ht="12">
      <c r="A45" s="671"/>
      <c r="B45" s="42"/>
      <c r="C45" s="42"/>
      <c r="D45" s="42"/>
      <c r="E45" s="42"/>
      <c r="F45" s="42"/>
      <c r="G45" s="603"/>
      <c r="H45" s="671"/>
      <c r="I45" s="42"/>
      <c r="J45" s="42"/>
      <c r="K45" s="42"/>
      <c r="L45" s="42"/>
      <c r="M45" s="42"/>
    </row>
    <row r="46" spans="1:13" ht="12">
      <c r="A46" s="14" t="s">
        <v>1103</v>
      </c>
      <c r="B46" s="676" t="s">
        <v>1358</v>
      </c>
      <c r="C46" s="677"/>
      <c r="D46" s="42"/>
      <c r="E46" s="42"/>
      <c r="F46" s="42"/>
      <c r="G46" s="42"/>
      <c r="H46" s="603"/>
      <c r="I46" s="603"/>
      <c r="J46" s="603"/>
      <c r="K46" s="656"/>
      <c r="L46" s="603"/>
      <c r="M46" s="603"/>
    </row>
    <row r="47" spans="1:13" ht="13.5">
      <c r="A47" s="671"/>
      <c r="B47" s="1715" t="s">
        <v>1230</v>
      </c>
      <c r="C47" s="1716"/>
      <c r="D47" s="1716"/>
      <c r="E47" s="1716"/>
      <c r="F47" s="1717"/>
      <c r="G47" s="603"/>
      <c r="H47" s="671"/>
      <c r="I47" s="1715" t="s">
        <v>881</v>
      </c>
      <c r="J47" s="1716"/>
      <c r="K47" s="1716"/>
      <c r="L47" s="1716"/>
      <c r="M47" s="1717"/>
    </row>
    <row r="48" spans="1:13" ht="12.75" customHeight="1">
      <c r="A48" s="761">
        <f>(100*M44)+1</f>
        <v>1501</v>
      </c>
      <c r="B48" s="1744"/>
      <c r="C48" s="1745"/>
      <c r="D48" s="1745"/>
      <c r="E48" s="1745"/>
      <c r="F48" s="1746"/>
      <c r="H48" s="626"/>
      <c r="I48" s="1738" t="s">
        <v>880</v>
      </c>
      <c r="J48" s="1739"/>
      <c r="K48" s="593" t="s">
        <v>836</v>
      </c>
      <c r="L48" s="1523" t="s">
        <v>877</v>
      </c>
      <c r="M48" s="1524"/>
    </row>
    <row r="49" spans="1:13" ht="12">
      <c r="A49" s="626"/>
      <c r="B49" s="1753" t="s">
        <v>1223</v>
      </c>
      <c r="C49" s="1754"/>
      <c r="D49" s="593" t="s">
        <v>836</v>
      </c>
      <c r="E49" s="1755" t="s">
        <v>1225</v>
      </c>
      <c r="F49" s="1756"/>
      <c r="G49" s="513"/>
      <c r="H49" s="761">
        <f>A86+1</f>
        <v>1530</v>
      </c>
      <c r="I49" s="1713" t="s">
        <v>884</v>
      </c>
      <c r="J49" s="1714"/>
      <c r="K49" s="566"/>
      <c r="L49" s="1720"/>
      <c r="M49" s="1721"/>
    </row>
    <row r="50" spans="1:13" ht="12">
      <c r="A50" s="761">
        <f>A48+1</f>
        <v>1502</v>
      </c>
      <c r="B50" s="1718"/>
      <c r="C50" s="1719"/>
      <c r="D50" s="566"/>
      <c r="E50" s="1720"/>
      <c r="F50" s="1721"/>
      <c r="G50" s="580"/>
      <c r="H50" s="761">
        <f aca="true" t="shared" si="8" ref="H50:H55">H49+1</f>
        <v>1531</v>
      </c>
      <c r="I50" s="1711" t="s">
        <v>878</v>
      </c>
      <c r="J50" s="1712"/>
      <c r="K50" s="1526"/>
      <c r="L50" s="1709"/>
      <c r="M50" s="1710"/>
    </row>
    <row r="51" spans="1:13" ht="12">
      <c r="A51" s="761">
        <f>A50+1</f>
        <v>1503</v>
      </c>
      <c r="B51" s="1751"/>
      <c r="C51" s="1752"/>
      <c r="D51" s="567"/>
      <c r="E51" s="1749"/>
      <c r="F51" s="1750"/>
      <c r="G51" s="580"/>
      <c r="H51" s="761">
        <f t="shared" si="8"/>
        <v>1532</v>
      </c>
      <c r="I51" s="1711" t="s">
        <v>879</v>
      </c>
      <c r="J51" s="1712"/>
      <c r="K51" s="1526"/>
      <c r="L51" s="1709"/>
      <c r="M51" s="1710"/>
    </row>
    <row r="52" spans="1:13" ht="12">
      <c r="A52" s="643"/>
      <c r="B52" s="833"/>
      <c r="C52" s="1247" t="s">
        <v>850</v>
      </c>
      <c r="D52" s="1243" t="s">
        <v>1025</v>
      </c>
      <c r="E52" s="1552" t="s">
        <v>865</v>
      </c>
      <c r="F52" s="1552" t="s">
        <v>998</v>
      </c>
      <c r="G52" s="178"/>
      <c r="H52" s="761">
        <f t="shared" si="8"/>
        <v>1533</v>
      </c>
      <c r="I52" s="1711" t="s">
        <v>885</v>
      </c>
      <c r="J52" s="1712"/>
      <c r="K52" s="1526"/>
      <c r="L52" s="1709"/>
      <c r="M52" s="1710"/>
    </row>
    <row r="53" spans="1:13" ht="12">
      <c r="A53" s="643"/>
      <c r="B53" s="834"/>
      <c r="C53" s="1248" t="s">
        <v>1226</v>
      </c>
      <c r="D53" s="1249" t="s">
        <v>1026</v>
      </c>
      <c r="E53" s="1248">
        <f>Voorblad!E3</f>
        <v>2005</v>
      </c>
      <c r="F53" s="1248">
        <f>Voorblad!E3+1</f>
        <v>2006</v>
      </c>
      <c r="G53" s="178"/>
      <c r="H53" s="761">
        <f t="shared" si="8"/>
        <v>1534</v>
      </c>
      <c r="I53" s="1711" t="s">
        <v>886</v>
      </c>
      <c r="J53" s="1712"/>
      <c r="K53" s="1526"/>
      <c r="L53" s="1709"/>
      <c r="M53" s="1710"/>
    </row>
    <row r="54" spans="1:13" ht="12">
      <c r="A54" s="761">
        <f>A51+1</f>
        <v>1504</v>
      </c>
      <c r="B54" s="778" t="s">
        <v>1081</v>
      </c>
      <c r="C54" s="594"/>
      <c r="D54" s="595"/>
      <c r="E54" s="595"/>
      <c r="F54" s="836">
        <f>D54-E54</f>
        <v>0</v>
      </c>
      <c r="H54" s="761">
        <f t="shared" si="8"/>
        <v>1535</v>
      </c>
      <c r="I54" s="1711" t="s">
        <v>887</v>
      </c>
      <c r="J54" s="1712"/>
      <c r="K54" s="1526"/>
      <c r="L54" s="1709"/>
      <c r="M54" s="1710"/>
    </row>
    <row r="55" spans="1:13" ht="12">
      <c r="A55" s="761">
        <f aca="true" t="shared" si="9" ref="A55:A63">A54+1</f>
        <v>1505</v>
      </c>
      <c r="B55" s="812" t="s">
        <v>814</v>
      </c>
      <c r="C55" s="596"/>
      <c r="D55" s="597"/>
      <c r="E55" s="597"/>
      <c r="F55" s="835">
        <f aca="true" t="shared" si="10" ref="F55:F63">D55-E55</f>
        <v>0</v>
      </c>
      <c r="H55" s="761">
        <f t="shared" si="8"/>
        <v>1536</v>
      </c>
      <c r="I55" s="852" t="str">
        <f>CONCATENATE(H49," t/m ",H54)</f>
        <v>1530 t/m 1535</v>
      </c>
      <c r="J55" s="1529">
        <f>SUM(J72:J73)</f>
        <v>0</v>
      </c>
      <c r="K55" s="1530">
        <f>SUM(K72:K73)</f>
        <v>0</v>
      </c>
      <c r="L55" s="1692">
        <f>SUM(L49:M54)</f>
        <v>0</v>
      </c>
      <c r="M55" s="1633"/>
    </row>
    <row r="56" spans="1:13" ht="13.5">
      <c r="A56" s="761">
        <f t="shared" si="9"/>
        <v>1506</v>
      </c>
      <c r="B56" s="812" t="s">
        <v>1082</v>
      </c>
      <c r="C56" s="596"/>
      <c r="D56" s="597"/>
      <c r="E56" s="597"/>
      <c r="F56" s="835">
        <f t="shared" si="10"/>
        <v>0</v>
      </c>
      <c r="H56" s="671"/>
      <c r="I56" s="1282" t="s">
        <v>882</v>
      </c>
      <c r="J56" s="671"/>
      <c r="K56" s="671"/>
      <c r="L56" s="671"/>
      <c r="M56" s="671"/>
    </row>
    <row r="57" spans="1:9" ht="12">
      <c r="A57" s="761">
        <f t="shared" si="9"/>
        <v>1507</v>
      </c>
      <c r="B57" s="812" t="s">
        <v>815</v>
      </c>
      <c r="C57" s="596"/>
      <c r="D57" s="597"/>
      <c r="E57" s="597"/>
      <c r="F57" s="835">
        <f t="shared" si="10"/>
        <v>0</v>
      </c>
      <c r="I57" s="456" t="str">
        <f>CONCATENATE("vermelden. De overschrijding wordt verder gespecificeerd onder regel ",H61," t/m ",H70,)</f>
        <v>vermelden. De overschrijding wordt verder gespecificeerd onder regel 1537 t/m 1546</v>
      </c>
    </row>
    <row r="58" spans="1:6" ht="12">
      <c r="A58" s="761">
        <f t="shared" si="9"/>
        <v>1508</v>
      </c>
      <c r="B58" s="812" t="s">
        <v>816</v>
      </c>
      <c r="C58" s="596"/>
      <c r="D58" s="597"/>
      <c r="E58" s="597"/>
      <c r="F58" s="835">
        <f t="shared" si="10"/>
        <v>0</v>
      </c>
    </row>
    <row r="59" spans="1:13" ht="12">
      <c r="A59" s="761">
        <f t="shared" si="9"/>
        <v>1509</v>
      </c>
      <c r="B59" s="812" t="s">
        <v>1083</v>
      </c>
      <c r="C59" s="596"/>
      <c r="D59" s="597"/>
      <c r="E59" s="597"/>
      <c r="F59" s="835">
        <f t="shared" si="10"/>
        <v>0</v>
      </c>
      <c r="H59" s="643"/>
      <c r="I59" s="1528"/>
      <c r="J59" s="1089" t="s">
        <v>850</v>
      </c>
      <c r="K59" s="1525" t="s">
        <v>1025</v>
      </c>
      <c r="L59" s="715" t="s">
        <v>865</v>
      </c>
      <c r="M59" s="715" t="s">
        <v>998</v>
      </c>
    </row>
    <row r="60" spans="1:13" ht="12">
      <c r="A60" s="761">
        <f t="shared" si="9"/>
        <v>1510</v>
      </c>
      <c r="B60" s="812" t="s">
        <v>817</v>
      </c>
      <c r="C60" s="596"/>
      <c r="D60" s="597"/>
      <c r="E60" s="597"/>
      <c r="F60" s="835">
        <f t="shared" si="10"/>
        <v>0</v>
      </c>
      <c r="H60" s="643"/>
      <c r="I60" s="834"/>
      <c r="J60" s="1083" t="s">
        <v>876</v>
      </c>
      <c r="K60" s="1527" t="s">
        <v>1026</v>
      </c>
      <c r="L60" s="1083">
        <f>Voorblad!E3</f>
        <v>2005</v>
      </c>
      <c r="M60" s="1083">
        <f>Voorblad!E3+1</f>
        <v>2006</v>
      </c>
    </row>
    <row r="61" spans="1:13" ht="12">
      <c r="A61" s="761">
        <f t="shared" si="9"/>
        <v>1511</v>
      </c>
      <c r="B61" s="812" t="s">
        <v>818</v>
      </c>
      <c r="C61" s="596"/>
      <c r="D61" s="597"/>
      <c r="E61" s="597"/>
      <c r="F61" s="835">
        <f t="shared" si="10"/>
        <v>0</v>
      </c>
      <c r="H61" s="761">
        <f>H55+1</f>
        <v>1537</v>
      </c>
      <c r="I61" s="778" t="s">
        <v>1081</v>
      </c>
      <c r="J61" s="594"/>
      <c r="K61" s="595"/>
      <c r="L61" s="595"/>
      <c r="M61" s="836">
        <f>K61-L61</f>
        <v>0</v>
      </c>
    </row>
    <row r="62" spans="1:13" ht="12">
      <c r="A62" s="761">
        <f t="shared" si="9"/>
        <v>1512</v>
      </c>
      <c r="B62" s="812" t="s">
        <v>1084</v>
      </c>
      <c r="C62" s="596"/>
      <c r="D62" s="597"/>
      <c r="E62" s="597"/>
      <c r="F62" s="835">
        <f t="shared" si="10"/>
        <v>0</v>
      </c>
      <c r="H62" s="761">
        <f aca="true" t="shared" si="11" ref="H62:H70">H61+1</f>
        <v>1538</v>
      </c>
      <c r="I62" s="812" t="s">
        <v>814</v>
      </c>
      <c r="J62" s="596"/>
      <c r="K62" s="597"/>
      <c r="L62" s="597"/>
      <c r="M62" s="835">
        <f aca="true" t="shared" si="12" ref="M62:M70">K62-L62</f>
        <v>0</v>
      </c>
    </row>
    <row r="63" spans="1:13" ht="12">
      <c r="A63" s="761">
        <f t="shared" si="9"/>
        <v>1513</v>
      </c>
      <c r="B63" s="813" t="s">
        <v>819</v>
      </c>
      <c r="C63" s="596"/>
      <c r="D63" s="597"/>
      <c r="E63" s="814"/>
      <c r="F63" s="835">
        <f t="shared" si="10"/>
        <v>0</v>
      </c>
      <c r="H63" s="761">
        <f t="shared" si="11"/>
        <v>1539</v>
      </c>
      <c r="I63" s="812" t="s">
        <v>1082</v>
      </c>
      <c r="J63" s="596"/>
      <c r="K63" s="597"/>
      <c r="L63" s="597"/>
      <c r="M63" s="835">
        <f t="shared" si="12"/>
        <v>0</v>
      </c>
    </row>
    <row r="64" spans="1:13" ht="12">
      <c r="A64" s="761">
        <f>A63+1</f>
        <v>1514</v>
      </c>
      <c r="B64" s="815" t="str">
        <f>CONCATENATE(A54," t/m ",A63)</f>
        <v>1504 t/m 1513</v>
      </c>
      <c r="C64" s="816">
        <f>SUM(C54:C63)</f>
        <v>0</v>
      </c>
      <c r="D64" s="816">
        <f>SUM(D54:D63)</f>
        <v>0</v>
      </c>
      <c r="E64" s="817">
        <f>SUM(E54:E63)</f>
        <v>0</v>
      </c>
      <c r="F64" s="817">
        <f>SUM(F54:F63)</f>
        <v>0</v>
      </c>
      <c r="H64" s="761">
        <f t="shared" si="11"/>
        <v>1540</v>
      </c>
      <c r="I64" s="812" t="s">
        <v>815</v>
      </c>
      <c r="J64" s="596"/>
      <c r="K64" s="597"/>
      <c r="L64" s="597"/>
      <c r="M64" s="835">
        <f t="shared" si="12"/>
        <v>0</v>
      </c>
    </row>
    <row r="65" spans="1:13" ht="12">
      <c r="A65" s="671"/>
      <c r="B65" s="42"/>
      <c r="C65" s="42"/>
      <c r="D65" s="42"/>
      <c r="E65" s="42"/>
      <c r="F65" s="42"/>
      <c r="G65" s="603"/>
      <c r="H65" s="761">
        <f t="shared" si="11"/>
        <v>1541</v>
      </c>
      <c r="I65" s="812" t="s">
        <v>816</v>
      </c>
      <c r="J65" s="596"/>
      <c r="K65" s="597"/>
      <c r="L65" s="597"/>
      <c r="M65" s="835">
        <f t="shared" si="12"/>
        <v>0</v>
      </c>
    </row>
    <row r="66" spans="1:13" ht="12">
      <c r="A66" s="671"/>
      <c r="B66" s="1715" t="s">
        <v>1314</v>
      </c>
      <c r="C66" s="1716"/>
      <c r="D66" s="1716"/>
      <c r="E66" s="1716"/>
      <c r="F66" s="1717"/>
      <c r="G66" s="603"/>
      <c r="H66" s="761">
        <f t="shared" si="11"/>
        <v>1542</v>
      </c>
      <c r="I66" s="812" t="s">
        <v>1083</v>
      </c>
      <c r="J66" s="596"/>
      <c r="K66" s="597"/>
      <c r="L66" s="597"/>
      <c r="M66" s="835">
        <f t="shared" si="12"/>
        <v>0</v>
      </c>
    </row>
    <row r="67" spans="1:13" ht="12">
      <c r="A67" s="761">
        <f>A64+1</f>
        <v>1515</v>
      </c>
      <c r="B67" s="1744"/>
      <c r="C67" s="1745"/>
      <c r="D67" s="1745"/>
      <c r="E67" s="1745"/>
      <c r="F67" s="1746"/>
      <c r="H67" s="761">
        <f t="shared" si="11"/>
        <v>1543</v>
      </c>
      <c r="I67" s="812" t="s">
        <v>817</v>
      </c>
      <c r="J67" s="596"/>
      <c r="K67" s="597"/>
      <c r="L67" s="597"/>
      <c r="M67" s="835">
        <f t="shared" si="12"/>
        <v>0</v>
      </c>
    </row>
    <row r="68" spans="1:13" ht="12" customHeight="1">
      <c r="A68" s="626"/>
      <c r="B68" s="1738" t="s">
        <v>1223</v>
      </c>
      <c r="C68" s="1758"/>
      <c r="D68" s="593" t="s">
        <v>836</v>
      </c>
      <c r="E68" s="1755" t="s">
        <v>1225</v>
      </c>
      <c r="F68" s="1756"/>
      <c r="G68" s="513"/>
      <c r="H68" s="761">
        <f t="shared" si="11"/>
        <v>1544</v>
      </c>
      <c r="I68" s="812" t="s">
        <v>818</v>
      </c>
      <c r="J68" s="596"/>
      <c r="K68" s="597"/>
      <c r="L68" s="597"/>
      <c r="M68" s="835">
        <f t="shared" si="12"/>
        <v>0</v>
      </c>
    </row>
    <row r="69" spans="1:13" ht="12" customHeight="1">
      <c r="A69" s="761">
        <f>A67+1</f>
        <v>1516</v>
      </c>
      <c r="B69" s="1718"/>
      <c r="C69" s="1719"/>
      <c r="D69" s="566"/>
      <c r="E69" s="1720"/>
      <c r="F69" s="1721"/>
      <c r="G69" s="580"/>
      <c r="H69" s="761">
        <f t="shared" si="11"/>
        <v>1545</v>
      </c>
      <c r="I69" s="812" t="s">
        <v>1084</v>
      </c>
      <c r="J69" s="596"/>
      <c r="K69" s="597"/>
      <c r="L69" s="597"/>
      <c r="M69" s="835">
        <f t="shared" si="12"/>
        <v>0</v>
      </c>
    </row>
    <row r="70" spans="1:13" ht="12">
      <c r="A70" s="761">
        <f>A69+1</f>
        <v>1517</v>
      </c>
      <c r="B70" s="1751"/>
      <c r="C70" s="1752"/>
      <c r="D70" s="567"/>
      <c r="E70" s="1749"/>
      <c r="F70" s="1750"/>
      <c r="G70" s="580"/>
      <c r="H70" s="761">
        <f t="shared" si="11"/>
        <v>1546</v>
      </c>
      <c r="I70" s="813" t="s">
        <v>819</v>
      </c>
      <c r="J70" s="596"/>
      <c r="K70" s="597"/>
      <c r="L70" s="814"/>
      <c r="M70" s="835">
        <f t="shared" si="12"/>
        <v>0</v>
      </c>
    </row>
    <row r="71" spans="1:13" ht="12" customHeight="1">
      <c r="A71" s="643"/>
      <c r="B71" s="833"/>
      <c r="C71" s="1247" t="s">
        <v>850</v>
      </c>
      <c r="D71" s="1243" t="s">
        <v>1025</v>
      </c>
      <c r="E71" s="1552" t="s">
        <v>865</v>
      </c>
      <c r="F71" s="1552" t="s">
        <v>998</v>
      </c>
      <c r="G71" s="178"/>
      <c r="H71" s="761">
        <f>H70+1</f>
        <v>1547</v>
      </c>
      <c r="I71" s="815" t="str">
        <f>CONCATENATE(H61," t/m ",H70)</f>
        <v>1537 t/m 1546</v>
      </c>
      <c r="J71" s="816">
        <f>SUM(J61:J70)</f>
        <v>0</v>
      </c>
      <c r="K71" s="816">
        <f>SUM(K61:K70)</f>
        <v>0</v>
      </c>
      <c r="L71" s="817">
        <f>SUM(L61:L70)</f>
        <v>0</v>
      </c>
      <c r="M71" s="817">
        <f>SUM(M61:M70)</f>
        <v>0</v>
      </c>
    </row>
    <row r="72" spans="1:7" ht="12">
      <c r="A72" s="643"/>
      <c r="B72" s="834"/>
      <c r="C72" s="1248" t="s">
        <v>1226</v>
      </c>
      <c r="D72" s="1249" t="s">
        <v>1026</v>
      </c>
      <c r="E72" s="1248">
        <f>Voorblad!E3</f>
        <v>2005</v>
      </c>
      <c r="F72" s="1248">
        <f>Voorblad!E3+1</f>
        <v>2006</v>
      </c>
      <c r="G72" s="178"/>
    </row>
    <row r="73" spans="1:9" ht="12">
      <c r="A73" s="761">
        <f>A70+1</f>
        <v>1518</v>
      </c>
      <c r="B73" s="778" t="s">
        <v>1081</v>
      </c>
      <c r="C73" s="594"/>
      <c r="D73" s="595"/>
      <c r="E73" s="595"/>
      <c r="F73" s="836">
        <f>D73-E73</f>
        <v>0</v>
      </c>
      <c r="I73" s="1531" t="str">
        <f>CONCATENATE("Nacalculeerbare in gebruik genomen investeringen ",Voorblad!E3)</f>
        <v>Nacalculeerbare in gebruik genomen investeringen 2005</v>
      </c>
    </row>
    <row r="74" spans="1:13" ht="12">
      <c r="A74" s="761">
        <f aca="true" t="shared" si="13" ref="A74:A82">A73+1</f>
        <v>1519</v>
      </c>
      <c r="B74" s="812" t="s">
        <v>814</v>
      </c>
      <c r="C74" s="596"/>
      <c r="D74" s="597"/>
      <c r="E74" s="597"/>
      <c r="F74" s="835">
        <f aca="true" t="shared" si="14" ref="F74:F82">D74-E74</f>
        <v>0</v>
      </c>
      <c r="H74" s="643"/>
      <c r="I74" s="1528"/>
      <c r="J74" s="1089" t="s">
        <v>850</v>
      </c>
      <c r="K74" s="1525" t="s">
        <v>1025</v>
      </c>
      <c r="L74" s="715" t="s">
        <v>865</v>
      </c>
      <c r="M74" s="715" t="s">
        <v>998</v>
      </c>
    </row>
    <row r="75" spans="1:13" ht="12">
      <c r="A75" s="761">
        <f t="shared" si="13"/>
        <v>1520</v>
      </c>
      <c r="B75" s="812" t="s">
        <v>1082</v>
      </c>
      <c r="C75" s="596"/>
      <c r="D75" s="597"/>
      <c r="E75" s="597"/>
      <c r="F75" s="835">
        <f t="shared" si="14"/>
        <v>0</v>
      </c>
      <c r="H75" s="643"/>
      <c r="I75" s="834"/>
      <c r="J75" s="1083" t="s">
        <v>1226</v>
      </c>
      <c r="K75" s="1527" t="s">
        <v>1026</v>
      </c>
      <c r="L75" s="1083">
        <f>Voorblad!E3</f>
        <v>2005</v>
      </c>
      <c r="M75" s="1083">
        <f>Voorblad!E3+1</f>
        <v>2006</v>
      </c>
    </row>
    <row r="76" spans="1:13" ht="12">
      <c r="A76" s="761">
        <f t="shared" si="13"/>
        <v>1521</v>
      </c>
      <c r="B76" s="812" t="s">
        <v>815</v>
      </c>
      <c r="C76" s="596"/>
      <c r="D76" s="597"/>
      <c r="E76" s="597"/>
      <c r="F76" s="835">
        <f t="shared" si="14"/>
        <v>0</v>
      </c>
      <c r="H76" s="761">
        <f>H71+1</f>
        <v>1548</v>
      </c>
      <c r="I76" s="778" t="s">
        <v>1081</v>
      </c>
      <c r="J76" s="836">
        <f aca="true" t="shared" si="15" ref="J76:J85">C12+C31+J12+J31+C54+C73-J61</f>
        <v>0</v>
      </c>
      <c r="K76" s="836">
        <f aca="true" t="shared" si="16" ref="K76:K85">D12+D31+K12+K31+D54+D73-K61</f>
        <v>0</v>
      </c>
      <c r="L76" s="836">
        <f aca="true" t="shared" si="17" ref="L76:L85">E12+E31+L12+L31+E54+E73-L61</f>
        <v>0</v>
      </c>
      <c r="M76" s="836">
        <f>K76-L76</f>
        <v>0</v>
      </c>
    </row>
    <row r="77" spans="1:13" ht="12">
      <c r="A77" s="761">
        <f t="shared" si="13"/>
        <v>1522</v>
      </c>
      <c r="B77" s="812" t="s">
        <v>816</v>
      </c>
      <c r="C77" s="596"/>
      <c r="D77" s="597"/>
      <c r="E77" s="597"/>
      <c r="F77" s="835">
        <f t="shared" si="14"/>
        <v>0</v>
      </c>
      <c r="H77" s="761">
        <f aca="true" t="shared" si="18" ref="H77:H85">H76+1</f>
        <v>1549</v>
      </c>
      <c r="I77" s="812" t="s">
        <v>814</v>
      </c>
      <c r="J77" s="1532">
        <f t="shared" si="15"/>
        <v>0</v>
      </c>
      <c r="K77" s="1532">
        <f t="shared" si="16"/>
        <v>0</v>
      </c>
      <c r="L77" s="1532">
        <f t="shared" si="17"/>
        <v>0</v>
      </c>
      <c r="M77" s="835">
        <f aca="true" t="shared" si="19" ref="M77:M85">K77-L77</f>
        <v>0</v>
      </c>
    </row>
    <row r="78" spans="1:13" ht="12">
      <c r="A78" s="761">
        <f t="shared" si="13"/>
        <v>1523</v>
      </c>
      <c r="B78" s="812" t="s">
        <v>1083</v>
      </c>
      <c r="C78" s="596"/>
      <c r="D78" s="597"/>
      <c r="E78" s="597"/>
      <c r="F78" s="835">
        <f t="shared" si="14"/>
        <v>0</v>
      </c>
      <c r="H78" s="761">
        <f t="shared" si="18"/>
        <v>1550</v>
      </c>
      <c r="I78" s="812" t="s">
        <v>1082</v>
      </c>
      <c r="J78" s="1532">
        <f t="shared" si="15"/>
        <v>0</v>
      </c>
      <c r="K78" s="1532">
        <f t="shared" si="16"/>
        <v>0</v>
      </c>
      <c r="L78" s="1532">
        <f t="shared" si="17"/>
        <v>0</v>
      </c>
      <c r="M78" s="835">
        <f t="shared" si="19"/>
        <v>0</v>
      </c>
    </row>
    <row r="79" spans="1:13" ht="12">
      <c r="A79" s="761">
        <f t="shared" si="13"/>
        <v>1524</v>
      </c>
      <c r="B79" s="812" t="s">
        <v>817</v>
      </c>
      <c r="C79" s="596"/>
      <c r="D79" s="597"/>
      <c r="E79" s="597"/>
      <c r="F79" s="835">
        <f t="shared" si="14"/>
        <v>0</v>
      </c>
      <c r="H79" s="761">
        <f t="shared" si="18"/>
        <v>1551</v>
      </c>
      <c r="I79" s="812" t="s">
        <v>815</v>
      </c>
      <c r="J79" s="1532">
        <f t="shared" si="15"/>
        <v>0</v>
      </c>
      <c r="K79" s="1532">
        <f t="shared" si="16"/>
        <v>0</v>
      </c>
      <c r="L79" s="1532">
        <f t="shared" si="17"/>
        <v>0</v>
      </c>
      <c r="M79" s="835">
        <f t="shared" si="19"/>
        <v>0</v>
      </c>
    </row>
    <row r="80" spans="1:13" ht="12">
      <c r="A80" s="761">
        <f t="shared" si="13"/>
        <v>1525</v>
      </c>
      <c r="B80" s="812" t="s">
        <v>818</v>
      </c>
      <c r="C80" s="596"/>
      <c r="D80" s="597"/>
      <c r="E80" s="597"/>
      <c r="F80" s="835">
        <f t="shared" si="14"/>
        <v>0</v>
      </c>
      <c r="H80" s="761">
        <f t="shared" si="18"/>
        <v>1552</v>
      </c>
      <c r="I80" s="812" t="s">
        <v>816</v>
      </c>
      <c r="J80" s="1532">
        <f t="shared" si="15"/>
        <v>0</v>
      </c>
      <c r="K80" s="1532">
        <f t="shared" si="16"/>
        <v>0</v>
      </c>
      <c r="L80" s="1532">
        <f t="shared" si="17"/>
        <v>0</v>
      </c>
      <c r="M80" s="835">
        <f t="shared" si="19"/>
        <v>0</v>
      </c>
    </row>
    <row r="81" spans="1:13" ht="12">
      <c r="A81" s="761">
        <f t="shared" si="13"/>
        <v>1526</v>
      </c>
      <c r="B81" s="812" t="s">
        <v>1084</v>
      </c>
      <c r="C81" s="596"/>
      <c r="D81" s="597"/>
      <c r="E81" s="597"/>
      <c r="F81" s="835">
        <f t="shared" si="14"/>
        <v>0</v>
      </c>
      <c r="H81" s="761">
        <f t="shared" si="18"/>
        <v>1553</v>
      </c>
      <c r="I81" s="812" t="s">
        <v>1083</v>
      </c>
      <c r="J81" s="1532">
        <f t="shared" si="15"/>
        <v>0</v>
      </c>
      <c r="K81" s="1532">
        <f t="shared" si="16"/>
        <v>0</v>
      </c>
      <c r="L81" s="1532">
        <f t="shared" si="17"/>
        <v>0</v>
      </c>
      <c r="M81" s="835">
        <f t="shared" si="19"/>
        <v>0</v>
      </c>
    </row>
    <row r="82" spans="1:13" ht="12">
      <c r="A82" s="761">
        <f t="shared" si="13"/>
        <v>1527</v>
      </c>
      <c r="B82" s="813" t="s">
        <v>819</v>
      </c>
      <c r="C82" s="596"/>
      <c r="D82" s="597"/>
      <c r="E82" s="814"/>
      <c r="F82" s="835">
        <f t="shared" si="14"/>
        <v>0</v>
      </c>
      <c r="H82" s="761">
        <f t="shared" si="18"/>
        <v>1554</v>
      </c>
      <c r="I82" s="812" t="s">
        <v>817</v>
      </c>
      <c r="J82" s="1532">
        <f t="shared" si="15"/>
        <v>0</v>
      </c>
      <c r="K82" s="1532">
        <f t="shared" si="16"/>
        <v>0</v>
      </c>
      <c r="L82" s="1532">
        <f t="shared" si="17"/>
        <v>0</v>
      </c>
      <c r="M82" s="835">
        <f t="shared" si="19"/>
        <v>0</v>
      </c>
    </row>
    <row r="83" spans="1:13" ht="12">
      <c r="A83" s="761">
        <f>A82+1</f>
        <v>1528</v>
      </c>
      <c r="B83" s="815" t="str">
        <f>CONCATENATE(A73," t/m ",A82)</f>
        <v>1518 t/m 1527</v>
      </c>
      <c r="C83" s="816">
        <f>SUM(C73:C82)</f>
        <v>0</v>
      </c>
      <c r="D83" s="816">
        <f>SUM(D73:D82)</f>
        <v>0</v>
      </c>
      <c r="E83" s="817">
        <f>SUM(E73:E82)</f>
        <v>0</v>
      </c>
      <c r="F83" s="817">
        <f>SUM(F73:F82)</f>
        <v>0</v>
      </c>
      <c r="H83" s="761">
        <f t="shared" si="18"/>
        <v>1555</v>
      </c>
      <c r="I83" s="812" t="s">
        <v>818</v>
      </c>
      <c r="J83" s="1532">
        <f t="shared" si="15"/>
        <v>0</v>
      </c>
      <c r="K83" s="1532">
        <f t="shared" si="16"/>
        <v>0</v>
      </c>
      <c r="L83" s="1532">
        <f t="shared" si="17"/>
        <v>0</v>
      </c>
      <c r="M83" s="835">
        <f t="shared" si="19"/>
        <v>0</v>
      </c>
    </row>
    <row r="84" spans="7:13" ht="12">
      <c r="G84" s="603"/>
      <c r="H84" s="761">
        <f t="shared" si="18"/>
        <v>1556</v>
      </c>
      <c r="I84" s="812" t="s">
        <v>1084</v>
      </c>
      <c r="J84" s="1532">
        <f t="shared" si="15"/>
        <v>0</v>
      </c>
      <c r="K84" s="1532">
        <f t="shared" si="16"/>
        <v>0</v>
      </c>
      <c r="L84" s="1532">
        <f t="shared" si="17"/>
        <v>0</v>
      </c>
      <c r="M84" s="835">
        <f t="shared" si="19"/>
        <v>0</v>
      </c>
    </row>
    <row r="85" spans="2:13" ht="12">
      <c r="B85" s="1715" t="s">
        <v>880</v>
      </c>
      <c r="C85" s="1716"/>
      <c r="D85" s="1716"/>
      <c r="E85" s="1716"/>
      <c r="F85" s="1717"/>
      <c r="G85" s="603"/>
      <c r="H85" s="761">
        <f t="shared" si="18"/>
        <v>1557</v>
      </c>
      <c r="I85" s="813" t="s">
        <v>819</v>
      </c>
      <c r="J85" s="1532">
        <f t="shared" si="15"/>
        <v>0</v>
      </c>
      <c r="K85" s="1532">
        <f t="shared" si="16"/>
        <v>0</v>
      </c>
      <c r="L85" s="1532">
        <f t="shared" si="17"/>
        <v>0</v>
      </c>
      <c r="M85" s="835">
        <f t="shared" si="19"/>
        <v>0</v>
      </c>
    </row>
    <row r="86" spans="1:13" ht="12">
      <c r="A86" s="761">
        <f>A83+1</f>
        <v>1529</v>
      </c>
      <c r="B86" s="815" t="str">
        <f>CONCATENATE(A12," t/m ",A82)</f>
        <v>1404 t/m 1527</v>
      </c>
      <c r="C86" s="816">
        <f>C22+C41+J22+J41+C64+C83</f>
        <v>0</v>
      </c>
      <c r="D86" s="816">
        <f>D22+D41+K22+K41+D64+D83</f>
        <v>0</v>
      </c>
      <c r="E86" s="816">
        <f>E22+E41+L22+L41+E64+E83</f>
        <v>0</v>
      </c>
      <c r="F86" s="816">
        <f>F22+F41+M22+M41+F64+F83</f>
        <v>0</v>
      </c>
      <c r="G86" s="603"/>
      <c r="H86" s="761">
        <f>H85+1</f>
        <v>1558</v>
      </c>
      <c r="I86" s="815" t="str">
        <f>CONCATENATE(H76," t/m ",H85)</f>
        <v>1548 t/m 1557</v>
      </c>
      <c r="J86" s="816">
        <f>SUM(J76:J85)</f>
        <v>0</v>
      </c>
      <c r="K86" s="816">
        <f>SUM(K76:K85)</f>
        <v>0</v>
      </c>
      <c r="L86" s="817">
        <f>SUM(L76:L85)</f>
        <v>0</v>
      </c>
      <c r="M86" s="817">
        <f>SUM(M76:M85)</f>
        <v>0</v>
      </c>
    </row>
    <row r="87" spans="1:7" ht="12">
      <c r="A87" s="671"/>
      <c r="B87" s="42"/>
      <c r="C87" s="42"/>
      <c r="D87" s="42"/>
      <c r="E87" s="42"/>
      <c r="F87" s="42"/>
      <c r="G87" s="603"/>
    </row>
    <row r="88" spans="1:13" ht="12">
      <c r="A88" s="671"/>
      <c r="B88" s="42"/>
      <c r="C88" s="42"/>
      <c r="D88" s="42"/>
      <c r="E88" s="42"/>
      <c r="F88" s="42"/>
      <c r="G88" s="603"/>
      <c r="H88" s="453"/>
      <c r="I88" s="453"/>
      <c r="J88" s="453"/>
      <c r="K88" s="453"/>
      <c r="L88" s="453"/>
      <c r="M88" s="453"/>
    </row>
    <row r="89" spans="1:13" ht="12">
      <c r="A89" s="671"/>
      <c r="B89" s="42"/>
      <c r="C89" s="42"/>
      <c r="D89" s="42"/>
      <c r="E89" s="42"/>
      <c r="F89" s="42"/>
      <c r="G89" s="603"/>
      <c r="H89" s="42"/>
      <c r="I89" s="42"/>
      <c r="J89" s="42"/>
      <c r="K89" s="42"/>
      <c r="L89" s="42"/>
      <c r="M89" s="42"/>
    </row>
    <row r="90" spans="1:13" ht="12">
      <c r="A90" s="616" t="str">
        <f>Inhoud!$A$2</f>
        <v>Nacalculatieformulier 2005 GGZ-instellingen</v>
      </c>
      <c r="B90" s="631"/>
      <c r="C90" s="633"/>
      <c r="D90" s="634"/>
      <c r="E90" s="634"/>
      <c r="F90" s="634"/>
      <c r="G90" s="634">
        <f>Voorblad!E75</f>
        <v>0</v>
      </c>
      <c r="H90" s="634"/>
      <c r="I90" s="634"/>
      <c r="J90" s="634"/>
      <c r="K90" s="634"/>
      <c r="L90" s="634"/>
      <c r="M90" s="1258">
        <f>M44+1</f>
        <v>16</v>
      </c>
    </row>
    <row r="91" spans="1:13" ht="12">
      <c r="A91" s="671"/>
      <c r="B91" s="42"/>
      <c r="C91" s="42"/>
      <c r="D91" s="42"/>
      <c r="E91" s="42"/>
      <c r="F91" s="42"/>
      <c r="G91" s="603"/>
      <c r="H91" s="671"/>
      <c r="I91" s="42"/>
      <c r="J91" s="42"/>
      <c r="K91" s="42"/>
      <c r="L91" s="42"/>
      <c r="M91" s="42"/>
    </row>
    <row r="92" spans="1:13" ht="13.5">
      <c r="A92" s="14" t="s">
        <v>1265</v>
      </c>
      <c r="B92" s="676" t="s">
        <v>660</v>
      </c>
      <c r="C92" s="42"/>
      <c r="D92" s="1336">
        <v>1</v>
      </c>
      <c r="E92" s="42"/>
      <c r="F92" s="42"/>
      <c r="G92" s="603"/>
      <c r="H92" s="671"/>
      <c r="I92" s="42"/>
      <c r="J92" s="42"/>
      <c r="K92" s="42"/>
      <c r="L92" s="42"/>
      <c r="M92" s="42"/>
    </row>
    <row r="93" spans="1:13" ht="12.75" customHeight="1">
      <c r="A93" s="41"/>
      <c r="B93" s="1731" t="s">
        <v>1418</v>
      </c>
      <c r="C93" s="1761"/>
      <c r="D93" s="1089" t="s">
        <v>1419</v>
      </c>
      <c r="E93" s="1089" t="s">
        <v>1240</v>
      </c>
      <c r="F93" s="1723" t="s">
        <v>1420</v>
      </c>
      <c r="G93" s="1724"/>
      <c r="H93" s="1731" t="s">
        <v>1421</v>
      </c>
      <c r="I93" s="1732"/>
      <c r="J93" s="1089" t="s">
        <v>1422</v>
      </c>
      <c r="K93" s="1089" t="s">
        <v>1423</v>
      </c>
      <c r="L93" s="1731" t="s">
        <v>1424</v>
      </c>
      <c r="M93" s="1737"/>
    </row>
    <row r="94" spans="1:13" ht="12.75" customHeight="1">
      <c r="A94" s="41"/>
      <c r="B94" s="1330"/>
      <c r="C94" s="1122"/>
      <c r="D94" s="1329" t="s">
        <v>661</v>
      </c>
      <c r="E94" s="1329"/>
      <c r="F94" s="1725" t="s">
        <v>1315</v>
      </c>
      <c r="G94" s="1707"/>
      <c r="H94" s="1733"/>
      <c r="I94" s="1734"/>
      <c r="J94" s="1329" t="s">
        <v>1316</v>
      </c>
      <c r="K94" s="1329" t="s">
        <v>662</v>
      </c>
      <c r="L94" s="1331"/>
      <c r="M94" s="1332"/>
    </row>
    <row r="95" spans="1:13" ht="12.75">
      <c r="A95" s="761">
        <v>1601</v>
      </c>
      <c r="B95" s="1762"/>
      <c r="C95" s="1763"/>
      <c r="D95" s="594"/>
      <c r="E95" s="594"/>
      <c r="F95" s="1726"/>
      <c r="G95" s="1727"/>
      <c r="H95" s="1735"/>
      <c r="I95" s="1736"/>
      <c r="J95" s="594"/>
      <c r="K95" s="835">
        <f>H95-E95-J95</f>
        <v>0</v>
      </c>
      <c r="L95" s="1742"/>
      <c r="M95" s="1743"/>
    </row>
    <row r="96" spans="1:13" ht="12.75">
      <c r="A96" s="761">
        <f aca="true" t="shared" si="20" ref="A96:A104">A95+1</f>
        <v>1602</v>
      </c>
      <c r="B96" s="1757"/>
      <c r="C96" s="1633"/>
      <c r="D96" s="596"/>
      <c r="E96" s="596"/>
      <c r="F96" s="1728"/>
      <c r="G96" s="1693"/>
      <c r="H96" s="1729"/>
      <c r="I96" s="1730"/>
      <c r="J96" s="596"/>
      <c r="K96" s="835">
        <f>H96-E96-J96</f>
        <v>0</v>
      </c>
      <c r="L96" s="1722"/>
      <c r="M96" s="1633"/>
    </row>
    <row r="97" spans="1:13" ht="12.75">
      <c r="A97" s="761">
        <f t="shared" si="20"/>
        <v>1603</v>
      </c>
      <c r="B97" s="1757"/>
      <c r="C97" s="1633"/>
      <c r="D97" s="596"/>
      <c r="E97" s="596"/>
      <c r="F97" s="1728"/>
      <c r="G97" s="1693"/>
      <c r="H97" s="1729"/>
      <c r="I97" s="1730"/>
      <c r="J97" s="596"/>
      <c r="K97" s="835">
        <f aca="true" t="shared" si="21" ref="K97:K103">H97-E97-J97</f>
        <v>0</v>
      </c>
      <c r="L97" s="1722"/>
      <c r="M97" s="1633"/>
    </row>
    <row r="98" spans="1:13" ht="12.75">
      <c r="A98" s="761">
        <f t="shared" si="20"/>
        <v>1604</v>
      </c>
      <c r="B98" s="1757"/>
      <c r="C98" s="1633"/>
      <c r="D98" s="596"/>
      <c r="E98" s="596"/>
      <c r="F98" s="1728"/>
      <c r="G98" s="1693"/>
      <c r="H98" s="1729"/>
      <c r="I98" s="1730"/>
      <c r="J98" s="596"/>
      <c r="K98" s="835">
        <f t="shared" si="21"/>
        <v>0</v>
      </c>
      <c r="L98" s="1722"/>
      <c r="M98" s="1633"/>
    </row>
    <row r="99" spans="1:13" ht="12.75">
      <c r="A99" s="761">
        <f t="shared" si="20"/>
        <v>1605</v>
      </c>
      <c r="B99" s="1757"/>
      <c r="C99" s="1633"/>
      <c r="D99" s="596"/>
      <c r="E99" s="596"/>
      <c r="F99" s="1728"/>
      <c r="G99" s="1693"/>
      <c r="H99" s="1729"/>
      <c r="I99" s="1730"/>
      <c r="J99" s="596"/>
      <c r="K99" s="835">
        <f t="shared" si="21"/>
        <v>0</v>
      </c>
      <c r="L99" s="1722"/>
      <c r="M99" s="1633"/>
    </row>
    <row r="100" spans="1:13" ht="12.75">
      <c r="A100" s="761">
        <f t="shared" si="20"/>
        <v>1606</v>
      </c>
      <c r="B100" s="1757"/>
      <c r="C100" s="1633"/>
      <c r="D100" s="596"/>
      <c r="E100" s="596"/>
      <c r="F100" s="1728"/>
      <c r="G100" s="1693"/>
      <c r="H100" s="1729"/>
      <c r="I100" s="1730"/>
      <c r="J100" s="596"/>
      <c r="K100" s="835">
        <f t="shared" si="21"/>
        <v>0</v>
      </c>
      <c r="L100" s="1722"/>
      <c r="M100" s="1633"/>
    </row>
    <row r="101" spans="1:13" ht="12.75">
      <c r="A101" s="761">
        <f t="shared" si="20"/>
        <v>1607</v>
      </c>
      <c r="B101" s="1757"/>
      <c r="C101" s="1633"/>
      <c r="D101" s="596"/>
      <c r="E101" s="596"/>
      <c r="F101" s="1728"/>
      <c r="G101" s="1693"/>
      <c r="H101" s="1729"/>
      <c r="I101" s="1730"/>
      <c r="J101" s="596"/>
      <c r="K101" s="835">
        <f t="shared" si="21"/>
        <v>0</v>
      </c>
      <c r="L101" s="1722"/>
      <c r="M101" s="1633"/>
    </row>
    <row r="102" spans="1:13" ht="12.75">
      <c r="A102" s="761">
        <f t="shared" si="20"/>
        <v>1608</v>
      </c>
      <c r="B102" s="1757"/>
      <c r="C102" s="1633"/>
      <c r="D102" s="596"/>
      <c r="E102" s="596"/>
      <c r="F102" s="1728"/>
      <c r="G102" s="1693"/>
      <c r="H102" s="1729"/>
      <c r="I102" s="1730"/>
      <c r="J102" s="596"/>
      <c r="K102" s="835">
        <f t="shared" si="21"/>
        <v>0</v>
      </c>
      <c r="L102" s="1722"/>
      <c r="M102" s="1633"/>
    </row>
    <row r="103" spans="1:13" ht="12.75">
      <c r="A103" s="788">
        <f t="shared" si="20"/>
        <v>1609</v>
      </c>
      <c r="B103" s="1757"/>
      <c r="C103" s="1633"/>
      <c r="D103" s="596"/>
      <c r="E103" s="596"/>
      <c r="F103" s="1728"/>
      <c r="G103" s="1693"/>
      <c r="H103" s="1729"/>
      <c r="I103" s="1730"/>
      <c r="J103" s="596"/>
      <c r="K103" s="835">
        <f t="shared" si="21"/>
        <v>0</v>
      </c>
      <c r="L103" s="1722"/>
      <c r="M103" s="1633"/>
    </row>
    <row r="104" spans="1:11" ht="12.75">
      <c r="A104" s="761">
        <f t="shared" si="20"/>
        <v>1610</v>
      </c>
      <c r="B104" s="762" t="str">
        <f>CONCATENATE(A95," t/m ",A103)</f>
        <v>1601 t/m 1609</v>
      </c>
      <c r="C104" s="1333"/>
      <c r="D104" s="1337">
        <f>SUM(D95:D103)</f>
        <v>0</v>
      </c>
      <c r="E104" s="817">
        <f>SUM(E95:E103)</f>
        <v>0</v>
      </c>
      <c r="F104" s="1334"/>
      <c r="G104" s="1335"/>
      <c r="H104" s="1759">
        <f>SUM(H95:I103)</f>
        <v>0</v>
      </c>
      <c r="I104" s="1760"/>
      <c r="J104" s="817">
        <f>SUM(J95:J103)</f>
        <v>0</v>
      </c>
      <c r="K104" s="817">
        <f>SUM(K95:K103)</f>
        <v>0</v>
      </c>
    </row>
    <row r="105" ht="13.5">
      <c r="B105" s="1282" t="s">
        <v>157</v>
      </c>
    </row>
    <row r="106" ht="13.5">
      <c r="B106" s="1282" t="s">
        <v>78</v>
      </c>
    </row>
    <row r="107" ht="13.5">
      <c r="B107" s="1282" t="s">
        <v>51</v>
      </c>
    </row>
    <row r="109" spans="1:9" ht="13.5">
      <c r="A109" s="14" t="s">
        <v>1266</v>
      </c>
      <c r="B109" s="679" t="s">
        <v>889</v>
      </c>
      <c r="C109" s="92"/>
      <c r="E109" s="1336">
        <v>1</v>
      </c>
      <c r="F109" s="42"/>
      <c r="G109" s="42"/>
      <c r="H109" s="42"/>
      <c r="I109" s="42"/>
    </row>
    <row r="110" spans="1:9" ht="12" customHeight="1">
      <c r="A110" s="683"/>
      <c r="B110" s="1699" t="str">
        <f>CONCATENATE("In ",Voorblad!E3," ontvangen brieven  CBZ inzake eindafrekening budgettair bouwen ")</f>
        <v>In 2005 ontvangen brieven  CBZ inzake eindafrekening budgettair bouwen </v>
      </c>
      <c r="C110" s="1700"/>
      <c r="D110" s="1700"/>
      <c r="E110" s="1700"/>
      <c r="F110" s="1700"/>
      <c r="G110" s="1701"/>
      <c r="H110" s="1701"/>
      <c r="I110" s="1702"/>
    </row>
    <row r="111" spans="1:9" ht="12.75">
      <c r="A111" s="603"/>
      <c r="B111" s="1089" t="s">
        <v>997</v>
      </c>
      <c r="C111" s="1089" t="s">
        <v>996</v>
      </c>
      <c r="D111" s="1089" t="s">
        <v>874</v>
      </c>
      <c r="E111" s="1251" t="s">
        <v>883</v>
      </c>
      <c r="F111" s="1251" t="s">
        <v>649</v>
      </c>
      <c r="G111" s="1703" t="s">
        <v>648</v>
      </c>
      <c r="H111" s="1704"/>
      <c r="I111" s="1705"/>
    </row>
    <row r="112" spans="1:9" ht="12.75">
      <c r="A112" s="603"/>
      <c r="B112" s="682"/>
      <c r="C112" s="682"/>
      <c r="D112" s="1157" t="s">
        <v>875</v>
      </c>
      <c r="E112" s="1083" t="s">
        <v>875</v>
      </c>
      <c r="F112" s="1083"/>
      <c r="G112" s="1706"/>
      <c r="H112" s="1707"/>
      <c r="I112" s="1708"/>
    </row>
    <row r="113" spans="1:9" ht="12.75">
      <c r="A113" s="761">
        <f>A104+1</f>
        <v>1611</v>
      </c>
      <c r="B113" s="596"/>
      <c r="C113" s="596"/>
      <c r="D113" s="596"/>
      <c r="E113" s="596"/>
      <c r="F113" s="1538">
        <f aca="true" t="shared" si="22" ref="F113:F118">IF((D113-E113)&lt;=0,D113-E113,0)</f>
        <v>0</v>
      </c>
      <c r="G113" s="1694">
        <f aca="true" t="shared" si="23" ref="G113:G118">IF((D113-E113)&gt;0,D113-E113,0)</f>
        <v>0</v>
      </c>
      <c r="H113" s="1695"/>
      <c r="I113" s="1696"/>
    </row>
    <row r="114" spans="1:9" ht="12.75">
      <c r="A114" s="761">
        <f aca="true" t="shared" si="24" ref="A114:A120">A113+1</f>
        <v>1612</v>
      </c>
      <c r="B114" s="596"/>
      <c r="C114" s="596"/>
      <c r="D114" s="596"/>
      <c r="E114" s="596"/>
      <c r="F114" s="1538">
        <f t="shared" si="22"/>
        <v>0</v>
      </c>
      <c r="G114" s="1694">
        <f t="shared" si="23"/>
        <v>0</v>
      </c>
      <c r="H114" s="1695"/>
      <c r="I114" s="1696"/>
    </row>
    <row r="115" spans="1:9" ht="12.75">
      <c r="A115" s="761">
        <f t="shared" si="24"/>
        <v>1613</v>
      </c>
      <c r="B115" s="596"/>
      <c r="C115" s="596"/>
      <c r="D115" s="596"/>
      <c r="E115" s="596"/>
      <c r="F115" s="1538">
        <f t="shared" si="22"/>
        <v>0</v>
      </c>
      <c r="G115" s="1694">
        <f t="shared" si="23"/>
        <v>0</v>
      </c>
      <c r="H115" s="1695"/>
      <c r="I115" s="1696"/>
    </row>
    <row r="116" spans="1:9" ht="12.75">
      <c r="A116" s="761">
        <f t="shared" si="24"/>
        <v>1614</v>
      </c>
      <c r="B116" s="596"/>
      <c r="C116" s="596"/>
      <c r="D116" s="596"/>
      <c r="E116" s="596"/>
      <c r="F116" s="1538">
        <f t="shared" si="22"/>
        <v>0</v>
      </c>
      <c r="G116" s="1694">
        <f t="shared" si="23"/>
        <v>0</v>
      </c>
      <c r="H116" s="1695"/>
      <c r="I116" s="1696"/>
    </row>
    <row r="117" spans="1:9" ht="12.75">
      <c r="A117" s="761">
        <f t="shared" si="24"/>
        <v>1615</v>
      </c>
      <c r="B117" s="596"/>
      <c r="C117" s="596"/>
      <c r="D117" s="596"/>
      <c r="E117" s="596"/>
      <c r="F117" s="1538">
        <f t="shared" si="22"/>
        <v>0</v>
      </c>
      <c r="G117" s="1694">
        <f t="shared" si="23"/>
        <v>0</v>
      </c>
      <c r="H117" s="1695"/>
      <c r="I117" s="1696"/>
    </row>
    <row r="118" spans="1:9" ht="12.75">
      <c r="A118" s="761">
        <f t="shared" si="24"/>
        <v>1616</v>
      </c>
      <c r="B118" s="596"/>
      <c r="C118" s="596"/>
      <c r="D118" s="596"/>
      <c r="E118" s="596"/>
      <c r="F118" s="1538">
        <f t="shared" si="22"/>
        <v>0</v>
      </c>
      <c r="G118" s="1694">
        <f t="shared" si="23"/>
        <v>0</v>
      </c>
      <c r="H118" s="1695"/>
      <c r="I118" s="1696"/>
    </row>
    <row r="119" spans="1:9" ht="12">
      <c r="A119" s="761">
        <f t="shared" si="24"/>
        <v>1617</v>
      </c>
      <c r="B119" s="762" t="str">
        <f>CONCATENATE(A113," t/m ",A118)</f>
        <v>1611 t/m 1616</v>
      </c>
      <c r="C119" s="893"/>
      <c r="D119" s="893"/>
      <c r="E119" s="893"/>
      <c r="F119" s="817">
        <f>SUM(F113:F118)</f>
        <v>0</v>
      </c>
      <c r="G119" s="1692">
        <f>SUM(G113:I118)</f>
        <v>0</v>
      </c>
      <c r="H119" s="1697"/>
      <c r="I119" s="1698"/>
    </row>
    <row r="120" spans="1:9" ht="12.75">
      <c r="A120" s="761">
        <f t="shared" si="24"/>
        <v>1618</v>
      </c>
      <c r="B120" s="762" t="str">
        <f>CONCATENATE("Jaarlijkse termijn (=voordeel van regel ",A119," gedeeld door 20)")</f>
        <v>Jaarlijkse termijn (=voordeel van regel 1617 gedeeld door 20)</v>
      </c>
      <c r="C120" s="893"/>
      <c r="D120" s="893"/>
      <c r="E120" s="893"/>
      <c r="F120" s="894"/>
      <c r="G120" s="1692">
        <f>G119/20</f>
        <v>0</v>
      </c>
      <c r="H120" s="1693"/>
      <c r="I120" s="1633"/>
    </row>
    <row r="121" ht="13.5">
      <c r="B121" s="1282" t="s">
        <v>888</v>
      </c>
    </row>
    <row r="122" ht="12">
      <c r="B122" s="456" t="s">
        <v>74</v>
      </c>
    </row>
  </sheetData>
  <sheetProtection password="958F" sheet="1" objects="1" scenarios="1"/>
  <mergeCells count="118">
    <mergeCell ref="B69:C69"/>
    <mergeCell ref="E69:F69"/>
    <mergeCell ref="B70:C70"/>
    <mergeCell ref="E70:F70"/>
    <mergeCell ref="B103:C103"/>
    <mergeCell ref="H104:I104"/>
    <mergeCell ref="B93:C93"/>
    <mergeCell ref="B95:C95"/>
    <mergeCell ref="B96:C96"/>
    <mergeCell ref="B97:C97"/>
    <mergeCell ref="B98:C98"/>
    <mergeCell ref="B99:C99"/>
    <mergeCell ref="B100:C100"/>
    <mergeCell ref="B101:C101"/>
    <mergeCell ref="B102:C102"/>
    <mergeCell ref="B51:C51"/>
    <mergeCell ref="E51:F51"/>
    <mergeCell ref="F102:G102"/>
    <mergeCell ref="F101:G101"/>
    <mergeCell ref="F100:G100"/>
    <mergeCell ref="B67:F67"/>
    <mergeCell ref="B68:C68"/>
    <mergeCell ref="B85:F85"/>
    <mergeCell ref="E68:F68"/>
    <mergeCell ref="I7:J7"/>
    <mergeCell ref="B49:C49"/>
    <mergeCell ref="E49:F49"/>
    <mergeCell ref="B27:C27"/>
    <mergeCell ref="B48:F48"/>
    <mergeCell ref="E8:F8"/>
    <mergeCell ref="I28:J28"/>
    <mergeCell ref="I47:M47"/>
    <mergeCell ref="L49:M49"/>
    <mergeCell ref="L28:M28"/>
    <mergeCell ref="B5:F5"/>
    <mergeCell ref="I9:J9"/>
    <mergeCell ref="B47:F47"/>
    <mergeCell ref="B28:C28"/>
    <mergeCell ref="E28:F28"/>
    <mergeCell ref="I5:M5"/>
    <mergeCell ref="L7:M7"/>
    <mergeCell ref="L8:M8"/>
    <mergeCell ref="B8:C8"/>
    <mergeCell ref="I6:M6"/>
    <mergeCell ref="B6:F6"/>
    <mergeCell ref="E27:F27"/>
    <mergeCell ref="E9:F9"/>
    <mergeCell ref="B9:C9"/>
    <mergeCell ref="B24:F24"/>
    <mergeCell ref="B25:F25"/>
    <mergeCell ref="B26:C26"/>
    <mergeCell ref="B7:C7"/>
    <mergeCell ref="E7:F7"/>
    <mergeCell ref="I8:J8"/>
    <mergeCell ref="E26:F26"/>
    <mergeCell ref="L26:M26"/>
    <mergeCell ref="L102:M102"/>
    <mergeCell ref="L95:M95"/>
    <mergeCell ref="L96:M96"/>
    <mergeCell ref="I24:M24"/>
    <mergeCell ref="I25:M25"/>
    <mergeCell ref="I26:J26"/>
    <mergeCell ref="L9:M9"/>
    <mergeCell ref="I27:J27"/>
    <mergeCell ref="L27:M27"/>
    <mergeCell ref="L93:M93"/>
    <mergeCell ref="H100:I100"/>
    <mergeCell ref="H97:I97"/>
    <mergeCell ref="H98:I98"/>
    <mergeCell ref="L98:M98"/>
    <mergeCell ref="L97:M97"/>
    <mergeCell ref="L51:M51"/>
    <mergeCell ref="I48:J48"/>
    <mergeCell ref="L99:M99"/>
    <mergeCell ref="L100:M100"/>
    <mergeCell ref="L101:M101"/>
    <mergeCell ref="H99:I99"/>
    <mergeCell ref="H102:I102"/>
    <mergeCell ref="H93:I93"/>
    <mergeCell ref="H94:I94"/>
    <mergeCell ref="H95:I95"/>
    <mergeCell ref="H96:I96"/>
    <mergeCell ref="H101:I101"/>
    <mergeCell ref="L103:M103"/>
    <mergeCell ref="F93:G93"/>
    <mergeCell ref="F94:G94"/>
    <mergeCell ref="F95:G95"/>
    <mergeCell ref="F96:G96"/>
    <mergeCell ref="F97:G97"/>
    <mergeCell ref="F98:G98"/>
    <mergeCell ref="F99:G99"/>
    <mergeCell ref="F103:G103"/>
    <mergeCell ref="H103:I103"/>
    <mergeCell ref="I49:J49"/>
    <mergeCell ref="I52:J52"/>
    <mergeCell ref="I51:J51"/>
    <mergeCell ref="B66:F66"/>
    <mergeCell ref="B50:C50"/>
    <mergeCell ref="E50:F50"/>
    <mergeCell ref="L50:M50"/>
    <mergeCell ref="I50:J50"/>
    <mergeCell ref="L55:M55"/>
    <mergeCell ref="I54:J54"/>
    <mergeCell ref="L52:M52"/>
    <mergeCell ref="I53:J53"/>
    <mergeCell ref="L53:M53"/>
    <mergeCell ref="L54:M54"/>
    <mergeCell ref="B110:I110"/>
    <mergeCell ref="G113:I113"/>
    <mergeCell ref="G114:I114"/>
    <mergeCell ref="G115:I115"/>
    <mergeCell ref="G111:I111"/>
    <mergeCell ref="G112:I112"/>
    <mergeCell ref="G120:I120"/>
    <mergeCell ref="G116:I116"/>
    <mergeCell ref="G117:I117"/>
    <mergeCell ref="G118:I118"/>
    <mergeCell ref="G119:I119"/>
  </mergeCells>
  <conditionalFormatting sqref="M49:M53 C73:E82 I49:L54 J61:L70 B113:E118 L95:L103 B95:B103 H95:J103 D95:F103 I6:M6 B6:F6 B8:F9 I8:M9 C12:E21 B25:F25 I25:M25 B27:F28 I27:M28 J12:L21 C31:E40 B48:F48 C54:E63 B50:F51 J31:L40 B67:F67 B69:F70">
    <cfRule type="expression" priority="1" dxfId="2" stopIfTrue="1">
      <formula>$H$2=TRUE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scale="95" r:id="rId2"/>
  <headerFooter alignWithMargins="0">
    <oddHeader xml:space="preserve">&amp;R&amp;9 </oddHeader>
  </headerFooter>
  <rowBreaks count="2" manualBreakCount="2">
    <brk id="42" max="255" man="1"/>
    <brk id="88" max="255" man="1"/>
  </rowBreaks>
  <drawing r:id="rId1"/>
</worksheet>
</file>

<file path=xl/worksheets/sheet9.xml><?xml version="1.0" encoding="utf-8"?>
<worksheet xmlns="http://schemas.openxmlformats.org/spreadsheetml/2006/main" xmlns:r="http://schemas.openxmlformats.org/officeDocument/2006/relationships">
  <sheetPr codeName="Blad9"/>
  <dimension ref="A1:M93"/>
  <sheetViews>
    <sheetView showGridLines="0" zoomScale="86" zoomScaleNormal="86" workbookViewId="0" topLeftCell="A2">
      <selection activeCell="A2" sqref="A2"/>
    </sheetView>
  </sheetViews>
  <sheetFormatPr defaultColWidth="9.140625" defaultRowHeight="12.75"/>
  <cols>
    <col min="1" max="1" width="5.7109375" style="467" customWidth="1"/>
    <col min="2" max="9" width="13.421875" style="456" customWidth="1"/>
    <col min="10" max="10" width="7.140625" style="456" customWidth="1"/>
    <col min="11" max="11" width="5.7109375" style="453" customWidth="1"/>
    <col min="12" max="12" width="7.421875" style="453" customWidth="1"/>
    <col min="13" max="13" width="7.57421875" style="453" customWidth="1"/>
    <col min="14" max="16" width="10.7109375" style="453" customWidth="1"/>
    <col min="17" max="24" width="9.140625" style="453" customWidth="1"/>
    <col min="25" max="25" width="1.7109375" style="453" customWidth="1"/>
    <col min="26" max="16384" width="9.140625" style="453" customWidth="1"/>
  </cols>
  <sheetData>
    <row r="1" spans="1:11" ht="15.75" customHeight="1">
      <c r="A1" s="671"/>
      <c r="B1" s="42"/>
      <c r="C1" s="42"/>
      <c r="D1" s="42"/>
      <c r="E1" s="42"/>
      <c r="F1" s="42"/>
      <c r="G1" s="42"/>
      <c r="H1" s="42"/>
      <c r="I1" s="42"/>
      <c r="J1" s="42"/>
      <c r="K1" s="603"/>
    </row>
    <row r="2" spans="1:13" s="513" customFormat="1" ht="15.75" customHeight="1">
      <c r="A2" s="616" t="str">
        <f>Inhoud!$A$2</f>
        <v>Nacalculatieformulier 2005 GGZ-instellingen</v>
      </c>
      <c r="B2" s="631"/>
      <c r="C2" s="633"/>
      <c r="D2" s="631"/>
      <c r="E2" s="631"/>
      <c r="F2" s="542"/>
      <c r="G2" s="634" t="b">
        <f>Voorblad!E28</f>
        <v>1</v>
      </c>
      <c r="H2" s="633"/>
      <c r="I2" s="633"/>
      <c r="J2" s="616"/>
      <c r="K2" s="542"/>
      <c r="L2" s="542"/>
      <c r="M2" s="1258">
        <f>WZV!M90+1</f>
        <v>17</v>
      </c>
    </row>
    <row r="3" spans="1:11" ht="7.5" customHeight="1">
      <c r="A3" s="671"/>
      <c r="B3" s="42"/>
      <c r="C3" s="42"/>
      <c r="D3" s="42"/>
      <c r="E3" s="42"/>
      <c r="F3" s="42"/>
      <c r="G3" s="42"/>
      <c r="H3" s="42"/>
      <c r="I3" s="42"/>
      <c r="J3" s="42"/>
      <c r="K3" s="603"/>
    </row>
    <row r="4" spans="1:11" s="513" customFormat="1" ht="12.75" customHeight="1">
      <c r="A4" s="14" t="s">
        <v>1267</v>
      </c>
      <c r="B4" s="679" t="s">
        <v>1242</v>
      </c>
      <c r="C4" s="92"/>
      <c r="D4" s="92"/>
      <c r="E4" s="92"/>
      <c r="F4" s="92"/>
      <c r="G4" s="92"/>
      <c r="H4" s="92"/>
      <c r="I4" s="92"/>
      <c r="J4" s="92"/>
      <c r="K4" s="92"/>
    </row>
    <row r="5" spans="1:13" s="513" customFormat="1" ht="12.75" customHeight="1">
      <c r="A5" s="680"/>
      <c r="B5" s="1686" t="s">
        <v>1337</v>
      </c>
      <c r="C5" s="1618"/>
      <c r="D5" s="1619"/>
      <c r="E5" s="715" t="s">
        <v>1382</v>
      </c>
      <c r="F5" s="715" t="s">
        <v>1382</v>
      </c>
      <c r="G5" s="715" t="s">
        <v>1382</v>
      </c>
      <c r="H5" s="1259" t="s">
        <v>1360</v>
      </c>
      <c r="I5" s="1086"/>
      <c r="J5" s="1086"/>
      <c r="K5" s="1086"/>
      <c r="L5" s="1086"/>
      <c r="M5" s="1102"/>
    </row>
    <row r="6" spans="1:13" s="451" customFormat="1" ht="12.75" customHeight="1">
      <c r="A6" s="656"/>
      <c r="B6" s="682" t="s">
        <v>997</v>
      </c>
      <c r="C6" s="682" t="s">
        <v>1379</v>
      </c>
      <c r="D6" s="670" t="s">
        <v>1241</v>
      </c>
      <c r="E6" s="1083" t="str">
        <f>CONCATENATE("tot en met ",Voorblad!E3-1)</f>
        <v>tot en met 2004</v>
      </c>
      <c r="F6" s="1083">
        <f>Voorblad!E3</f>
        <v>2005</v>
      </c>
      <c r="G6" s="1083" t="str">
        <f>CONCATENATE("tot en met ",Voorblad!E3)</f>
        <v>tot en met 2005</v>
      </c>
      <c r="H6" s="1087"/>
      <c r="I6" s="1164"/>
      <c r="J6" s="1164"/>
      <c r="K6" s="1260"/>
      <c r="L6" s="1260"/>
      <c r="M6" s="1103"/>
    </row>
    <row r="7" spans="1:13" ht="12.75" customHeight="1">
      <c r="A7" s="761">
        <f>(100*M2)+1</f>
        <v>1701</v>
      </c>
      <c r="B7" s="977"/>
      <c r="C7" s="978"/>
      <c r="D7" s="732"/>
      <c r="E7" s="732"/>
      <c r="F7" s="732"/>
      <c r="G7" s="484">
        <f aca="true" t="shared" si="0" ref="G7:G26">SUM(E7:F7)</f>
        <v>0</v>
      </c>
      <c r="H7" s="1224"/>
      <c r="I7" s="1225"/>
      <c r="J7" s="1225"/>
      <c r="K7" s="1225"/>
      <c r="L7" s="1225"/>
      <c r="M7" s="1226"/>
    </row>
    <row r="8" spans="1:13" ht="12.75" customHeight="1">
      <c r="A8" s="761">
        <f>A7+1</f>
        <v>1702</v>
      </c>
      <c r="B8" s="818"/>
      <c r="C8" s="978"/>
      <c r="D8" s="732"/>
      <c r="E8" s="732"/>
      <c r="F8" s="732"/>
      <c r="G8" s="484">
        <f t="shared" si="0"/>
        <v>0</v>
      </c>
      <c r="H8" s="1227"/>
      <c r="I8" s="583"/>
      <c r="J8" s="583"/>
      <c r="K8" s="583"/>
      <c r="L8" s="583"/>
      <c r="M8" s="500"/>
    </row>
    <row r="9" spans="1:13" ht="12.75" customHeight="1">
      <c r="A9" s="761">
        <f aca="true" t="shared" si="1" ref="A9:A20">A8+1</f>
        <v>1703</v>
      </c>
      <c r="B9" s="818"/>
      <c r="C9" s="978"/>
      <c r="D9" s="732"/>
      <c r="E9" s="732"/>
      <c r="F9" s="732"/>
      <c r="G9" s="484">
        <f t="shared" si="0"/>
        <v>0</v>
      </c>
      <c r="H9" s="1227"/>
      <c r="I9" s="583"/>
      <c r="J9" s="583"/>
      <c r="K9" s="583"/>
      <c r="L9" s="583"/>
      <c r="M9" s="500"/>
    </row>
    <row r="10" spans="1:13" ht="12.75" customHeight="1">
      <c r="A10" s="761">
        <f t="shared" si="1"/>
        <v>1704</v>
      </c>
      <c r="B10" s="818"/>
      <c r="C10" s="978"/>
      <c r="D10" s="732"/>
      <c r="E10" s="732"/>
      <c r="F10" s="732"/>
      <c r="G10" s="484">
        <f t="shared" si="0"/>
        <v>0</v>
      </c>
      <c r="H10" s="1227"/>
      <c r="I10" s="583"/>
      <c r="J10" s="583"/>
      <c r="K10" s="583"/>
      <c r="L10" s="583"/>
      <c r="M10" s="500"/>
    </row>
    <row r="11" spans="1:13" ht="12.75" customHeight="1">
      <c r="A11" s="761">
        <f t="shared" si="1"/>
        <v>1705</v>
      </c>
      <c r="B11" s="818"/>
      <c r="C11" s="978"/>
      <c r="D11" s="732"/>
      <c r="E11" s="732"/>
      <c r="F11" s="732"/>
      <c r="G11" s="484">
        <f t="shared" si="0"/>
        <v>0</v>
      </c>
      <c r="H11" s="1227"/>
      <c r="I11" s="583"/>
      <c r="J11" s="583"/>
      <c r="K11" s="583"/>
      <c r="L11" s="583"/>
      <c r="M11" s="500"/>
    </row>
    <row r="12" spans="1:13" ht="12.75" customHeight="1">
      <c r="A12" s="761">
        <f t="shared" si="1"/>
        <v>1706</v>
      </c>
      <c r="B12" s="818"/>
      <c r="C12" s="978"/>
      <c r="D12" s="732"/>
      <c r="E12" s="732"/>
      <c r="F12" s="732"/>
      <c r="G12" s="484">
        <f t="shared" si="0"/>
        <v>0</v>
      </c>
      <c r="H12" s="1227"/>
      <c r="I12" s="583"/>
      <c r="J12" s="583"/>
      <c r="K12" s="583"/>
      <c r="L12" s="583"/>
      <c r="M12" s="500"/>
    </row>
    <row r="13" spans="1:13" ht="12.75" customHeight="1">
      <c r="A13" s="761">
        <f t="shared" si="1"/>
        <v>1707</v>
      </c>
      <c r="B13" s="818"/>
      <c r="C13" s="978"/>
      <c r="D13" s="732"/>
      <c r="E13" s="732"/>
      <c r="F13" s="732"/>
      <c r="G13" s="484">
        <f t="shared" si="0"/>
        <v>0</v>
      </c>
      <c r="H13" s="1227"/>
      <c r="I13" s="583"/>
      <c r="J13" s="583"/>
      <c r="K13" s="583"/>
      <c r="L13" s="583"/>
      <c r="M13" s="500"/>
    </row>
    <row r="14" spans="1:13" ht="12.75" customHeight="1">
      <c r="A14" s="761">
        <f t="shared" si="1"/>
        <v>1708</v>
      </c>
      <c r="B14" s="818"/>
      <c r="C14" s="978"/>
      <c r="D14" s="732"/>
      <c r="E14" s="732"/>
      <c r="F14" s="732"/>
      <c r="G14" s="484">
        <f t="shared" si="0"/>
        <v>0</v>
      </c>
      <c r="H14" s="1227"/>
      <c r="I14" s="583"/>
      <c r="J14" s="583"/>
      <c r="K14" s="583"/>
      <c r="L14" s="583"/>
      <c r="M14" s="500"/>
    </row>
    <row r="15" spans="1:13" ht="12.75" customHeight="1">
      <c r="A15" s="761">
        <f t="shared" si="1"/>
        <v>1709</v>
      </c>
      <c r="B15" s="818"/>
      <c r="C15" s="978"/>
      <c r="D15" s="732"/>
      <c r="E15" s="732"/>
      <c r="F15" s="732"/>
      <c r="G15" s="484">
        <f t="shared" si="0"/>
        <v>0</v>
      </c>
      <c r="H15" s="1227"/>
      <c r="I15" s="583"/>
      <c r="J15" s="583"/>
      <c r="K15" s="583"/>
      <c r="L15" s="583"/>
      <c r="M15" s="500"/>
    </row>
    <row r="16" spans="1:13" ht="12.75" customHeight="1">
      <c r="A16" s="761">
        <f t="shared" si="1"/>
        <v>1710</v>
      </c>
      <c r="B16" s="818"/>
      <c r="C16" s="978"/>
      <c r="D16" s="732"/>
      <c r="E16" s="732"/>
      <c r="F16" s="732"/>
      <c r="G16" s="484">
        <f t="shared" si="0"/>
        <v>0</v>
      </c>
      <c r="H16" s="1227"/>
      <c r="I16" s="583"/>
      <c r="J16" s="583"/>
      <c r="K16" s="583"/>
      <c r="L16" s="583"/>
      <c r="M16" s="500"/>
    </row>
    <row r="17" spans="1:13" ht="12.75" customHeight="1">
      <c r="A17" s="761">
        <f t="shared" si="1"/>
        <v>1711</v>
      </c>
      <c r="B17" s="818"/>
      <c r="C17" s="978"/>
      <c r="D17" s="732"/>
      <c r="E17" s="732"/>
      <c r="F17" s="732"/>
      <c r="G17" s="484">
        <f t="shared" si="0"/>
        <v>0</v>
      </c>
      <c r="H17" s="1227"/>
      <c r="I17" s="583"/>
      <c r="J17" s="583"/>
      <c r="K17" s="583"/>
      <c r="L17" s="583"/>
      <c r="M17" s="500"/>
    </row>
    <row r="18" spans="1:13" ht="12.75" customHeight="1">
      <c r="A18" s="761">
        <f t="shared" si="1"/>
        <v>1712</v>
      </c>
      <c r="B18" s="818"/>
      <c r="C18" s="978"/>
      <c r="D18" s="732"/>
      <c r="E18" s="732"/>
      <c r="F18" s="732"/>
      <c r="G18" s="484">
        <f t="shared" si="0"/>
        <v>0</v>
      </c>
      <c r="H18" s="1227"/>
      <c r="I18" s="583"/>
      <c r="J18" s="583"/>
      <c r="K18" s="583"/>
      <c r="L18" s="583"/>
      <c r="M18" s="500"/>
    </row>
    <row r="19" spans="1:13" ht="12.75" customHeight="1">
      <c r="A19" s="761">
        <f t="shared" si="1"/>
        <v>1713</v>
      </c>
      <c r="B19" s="818"/>
      <c r="C19" s="978"/>
      <c r="D19" s="732"/>
      <c r="E19" s="732"/>
      <c r="F19" s="732"/>
      <c r="G19" s="484">
        <f t="shared" si="0"/>
        <v>0</v>
      </c>
      <c r="H19" s="1227"/>
      <c r="I19" s="583"/>
      <c r="J19" s="583"/>
      <c r="K19" s="583"/>
      <c r="L19" s="583"/>
      <c r="M19" s="500"/>
    </row>
    <row r="20" spans="1:13" ht="12.75" customHeight="1">
      <c r="A20" s="761">
        <f t="shared" si="1"/>
        <v>1714</v>
      </c>
      <c r="B20" s="818"/>
      <c r="C20" s="978"/>
      <c r="D20" s="732"/>
      <c r="E20" s="732"/>
      <c r="F20" s="732"/>
      <c r="G20" s="484">
        <f t="shared" si="0"/>
        <v>0</v>
      </c>
      <c r="H20" s="1227"/>
      <c r="I20" s="583"/>
      <c r="J20" s="583"/>
      <c r="K20" s="583"/>
      <c r="L20" s="583"/>
      <c r="M20" s="500"/>
    </row>
    <row r="21" spans="1:13" ht="12.75" customHeight="1">
      <c r="A21" s="761">
        <f aca="true" t="shared" si="2" ref="A21:A27">A20+1</f>
        <v>1715</v>
      </c>
      <c r="B21" s="818"/>
      <c r="C21" s="978"/>
      <c r="D21" s="732"/>
      <c r="E21" s="732"/>
      <c r="F21" s="732"/>
      <c r="G21" s="484">
        <f t="shared" si="0"/>
        <v>0</v>
      </c>
      <c r="H21" s="1227"/>
      <c r="I21" s="583"/>
      <c r="J21" s="583"/>
      <c r="K21" s="583"/>
      <c r="L21" s="583"/>
      <c r="M21" s="500"/>
    </row>
    <row r="22" spans="1:13" ht="12.75" customHeight="1">
      <c r="A22" s="761">
        <f t="shared" si="2"/>
        <v>1716</v>
      </c>
      <c r="B22" s="818"/>
      <c r="C22" s="978"/>
      <c r="D22" s="732"/>
      <c r="E22" s="732"/>
      <c r="F22" s="732"/>
      <c r="G22" s="484">
        <f t="shared" si="0"/>
        <v>0</v>
      </c>
      <c r="H22" s="1227"/>
      <c r="I22" s="583"/>
      <c r="J22" s="583"/>
      <c r="K22" s="583"/>
      <c r="L22" s="583"/>
      <c r="M22" s="500"/>
    </row>
    <row r="23" spans="1:13" ht="12.75" customHeight="1">
      <c r="A23" s="761">
        <f t="shared" si="2"/>
        <v>1717</v>
      </c>
      <c r="B23" s="818"/>
      <c r="C23" s="978"/>
      <c r="D23" s="732"/>
      <c r="E23" s="732"/>
      <c r="F23" s="732"/>
      <c r="G23" s="484">
        <f t="shared" si="0"/>
        <v>0</v>
      </c>
      <c r="H23" s="1227"/>
      <c r="I23" s="583"/>
      <c r="J23" s="583"/>
      <c r="K23" s="583"/>
      <c r="L23" s="583"/>
      <c r="M23" s="500"/>
    </row>
    <row r="24" spans="1:13" ht="12.75" customHeight="1">
      <c r="A24" s="761">
        <f t="shared" si="2"/>
        <v>1718</v>
      </c>
      <c r="B24" s="818"/>
      <c r="C24" s="978"/>
      <c r="D24" s="732"/>
      <c r="E24" s="732"/>
      <c r="F24" s="732"/>
      <c r="G24" s="484">
        <f t="shared" si="0"/>
        <v>0</v>
      </c>
      <c r="H24" s="1227"/>
      <c r="I24" s="583"/>
      <c r="J24" s="583"/>
      <c r="K24" s="583"/>
      <c r="L24" s="583"/>
      <c r="M24" s="500"/>
    </row>
    <row r="25" spans="1:13" ht="12.75" customHeight="1">
      <c r="A25" s="761">
        <f t="shared" si="2"/>
        <v>1719</v>
      </c>
      <c r="B25" s="818"/>
      <c r="C25" s="978"/>
      <c r="D25" s="732"/>
      <c r="E25" s="732"/>
      <c r="F25" s="732"/>
      <c r="G25" s="484">
        <f t="shared" si="0"/>
        <v>0</v>
      </c>
      <c r="H25" s="1227"/>
      <c r="I25" s="583"/>
      <c r="J25" s="583"/>
      <c r="K25" s="583"/>
      <c r="L25" s="583"/>
      <c r="M25" s="500"/>
    </row>
    <row r="26" spans="1:13" ht="12.75" customHeight="1">
      <c r="A26" s="761">
        <f t="shared" si="2"/>
        <v>1720</v>
      </c>
      <c r="B26" s="819"/>
      <c r="C26" s="978"/>
      <c r="D26" s="820"/>
      <c r="E26" s="732"/>
      <c r="F26" s="820"/>
      <c r="G26" s="821">
        <f t="shared" si="0"/>
        <v>0</v>
      </c>
      <c r="H26" s="1227"/>
      <c r="I26" s="583"/>
      <c r="J26" s="583"/>
      <c r="K26" s="583"/>
      <c r="L26" s="583"/>
      <c r="M26" s="500"/>
    </row>
    <row r="27" spans="1:11" ht="12.75" customHeight="1">
      <c r="A27" s="761">
        <f t="shared" si="2"/>
        <v>1721</v>
      </c>
      <c r="B27" s="815" t="str">
        <f>CONCATENATE("Totaal regel ",A7," t/m ",A26)</f>
        <v>Totaal regel 1701 t/m 1720</v>
      </c>
      <c r="C27" s="822"/>
      <c r="D27" s="823">
        <f>SUM(D7:D26)</f>
        <v>0</v>
      </c>
      <c r="E27" s="824">
        <f>SUM(E7:E26)</f>
        <v>0</v>
      </c>
      <c r="F27" s="824">
        <f>SUM(F7:F26)</f>
        <v>0</v>
      </c>
      <c r="G27" s="824">
        <f>SUM(G7:G26)</f>
        <v>0</v>
      </c>
      <c r="H27" s="1223"/>
      <c r="I27" s="1223"/>
      <c r="J27" s="1223"/>
      <c r="K27" s="1223"/>
    </row>
    <row r="28" ht="11.25" customHeight="1"/>
    <row r="29" spans="1:4" ht="12">
      <c r="A29" s="124" t="s">
        <v>746</v>
      </c>
      <c r="B29" s="686" t="s">
        <v>978</v>
      </c>
      <c r="C29" s="42"/>
      <c r="D29" s="42"/>
    </row>
    <row r="30" spans="1:6" ht="12">
      <c r="A30" s="671"/>
      <c r="B30" s="1121"/>
      <c r="C30" s="1118"/>
      <c r="D30" s="1108"/>
      <c r="E30" s="1115" t="s">
        <v>1368</v>
      </c>
      <c r="F30" s="105" t="s">
        <v>116</v>
      </c>
    </row>
    <row r="31" spans="2:6" ht="12.75" customHeight="1">
      <c r="B31" s="1106"/>
      <c r="C31" s="1122"/>
      <c r="D31" s="1111"/>
      <c r="E31" s="1116" t="s">
        <v>1369</v>
      </c>
      <c r="F31" s="205" t="s">
        <v>717</v>
      </c>
    </row>
    <row r="32" spans="1:6" ht="12">
      <c r="A32" s="827">
        <f>A27+1</f>
        <v>1722</v>
      </c>
      <c r="B32" s="1119" t="s">
        <v>716</v>
      </c>
      <c r="C32" s="1120"/>
      <c r="D32" s="1117"/>
      <c r="E32" s="1101"/>
      <c r="F32" s="1101"/>
    </row>
    <row r="33" spans="1:6" ht="12">
      <c r="A33" s="827">
        <f aca="true" t="shared" si="3" ref="A33:A38">A32+1</f>
        <v>1723</v>
      </c>
      <c r="B33" s="1090" t="str">
        <f>CONCATENATE("Zonodig nog te verwerken investeringen ",Voorblad!E3-1," en ",Voorblad!E3-2)</f>
        <v>Zonodig nog te verwerken investeringen 2004 en 2003</v>
      </c>
      <c r="C33" s="351"/>
      <c r="D33" s="659"/>
      <c r="E33" s="1101"/>
      <c r="F33" s="1101"/>
    </row>
    <row r="34" spans="1:6" ht="12">
      <c r="A34" s="827">
        <f t="shared" si="3"/>
        <v>1724</v>
      </c>
      <c r="B34" s="1090" t="str">
        <f>CONCATENATE("In onderbouwing rekenstaat vermelde investering ",Voorblad!E3)</f>
        <v>In onderbouwing rekenstaat vermelde investering 2005</v>
      </c>
      <c r="C34" s="351"/>
      <c r="D34" s="659"/>
      <c r="E34" s="520">
        <v>0</v>
      </c>
      <c r="F34" s="520">
        <v>0</v>
      </c>
    </row>
    <row r="35" spans="1:6" ht="12">
      <c r="A35" s="827">
        <f t="shared" si="3"/>
        <v>1725</v>
      </c>
      <c r="B35" s="1091" t="str">
        <f>CONCATENATE("Inbrengverplichting direct te verwerken (regel ",Instandhouding!A56,")")</f>
        <v>Inbrengverplichting direct te verwerken (regel 1807)</v>
      </c>
      <c r="C35" s="351"/>
      <c r="D35" s="659"/>
      <c r="E35" s="831"/>
      <c r="F35" s="837">
        <f>Instandhouding!H56+I84</f>
        <v>0</v>
      </c>
    </row>
    <row r="36" spans="1:6" ht="12">
      <c r="A36" s="827">
        <f t="shared" si="3"/>
        <v>1726</v>
      </c>
      <c r="B36" s="822" t="str">
        <f>CONCATENATE("Totale investeringsruimte ","(regel ",A32," t/m ",A35,")")</f>
        <v>Totale investeringsruimte (regel 1722 t/m 1725)</v>
      </c>
      <c r="C36" s="784"/>
      <c r="D36" s="790"/>
      <c r="E36" s="832">
        <f>E32-E33+E34</f>
        <v>0</v>
      </c>
      <c r="F36" s="832">
        <f>F32-F33+F34-F35</f>
        <v>0</v>
      </c>
    </row>
    <row r="37" spans="1:6" ht="12">
      <c r="A37" s="827">
        <f t="shared" si="3"/>
        <v>1727</v>
      </c>
      <c r="B37" s="1090" t="str">
        <f>CONCATENATE("Totaal geïnvesteerd in ",Voorblad!E3," (regel ",Instandhouding!A27,")")</f>
        <v>Totaal geïnvesteerd in 2005 (regel 1721)</v>
      </c>
      <c r="C37" s="351"/>
      <c r="D37" s="659"/>
      <c r="E37" s="838">
        <f>Instandhouding!F27</f>
        <v>0</v>
      </c>
      <c r="F37" s="432"/>
    </row>
    <row r="38" spans="1:6" ht="12">
      <c r="A38" s="827">
        <f t="shared" si="3"/>
        <v>1728</v>
      </c>
      <c r="B38" s="839" t="str">
        <f>CONCATENATE("Investeringsbedrag (regel ",A37,", maximum ",A36,")")</f>
        <v>Investeringsbedrag (regel 1727, maximum 1726)</v>
      </c>
      <c r="C38" s="784"/>
      <c r="D38" s="790"/>
      <c r="E38" s="840">
        <f>IF(E37&gt;E36,E36,E37)</f>
        <v>0</v>
      </c>
      <c r="F38" s="832">
        <f>IF(F36&lt;0,0,IF((E37-E38)&gt;F36,F36,(E37-E38)))</f>
        <v>0</v>
      </c>
    </row>
    <row r="39" ht="12"/>
    <row r="40" ht="12"/>
    <row r="41" ht="12"/>
    <row r="42" ht="12"/>
    <row r="43" spans="11:12" ht="15.75" customHeight="1">
      <c r="K43" s="456"/>
      <c r="L43" s="456"/>
    </row>
    <row r="44" spans="1:13" ht="15.75" customHeight="1">
      <c r="A44" s="616" t="str">
        <f>Inhoud!$A$2</f>
        <v>Nacalculatieformulier 2005 GGZ-instellingen</v>
      </c>
      <c r="B44" s="631"/>
      <c r="C44" s="633"/>
      <c r="D44" s="631"/>
      <c r="E44" s="631"/>
      <c r="F44" s="634"/>
      <c r="G44" s="634"/>
      <c r="H44" s="633"/>
      <c r="I44" s="1261"/>
      <c r="J44" s="1261"/>
      <c r="K44" s="633"/>
      <c r="L44" s="616"/>
      <c r="M44" s="1258">
        <f>M2+1</f>
        <v>18</v>
      </c>
    </row>
    <row r="45" spans="1:11" ht="12">
      <c r="A45" s="671"/>
      <c r="B45" s="42"/>
      <c r="C45" s="42"/>
      <c r="D45" s="42"/>
      <c r="E45" s="42"/>
      <c r="F45" s="42"/>
      <c r="G45" s="42"/>
      <c r="H45" s="42"/>
      <c r="I45" s="42"/>
      <c r="J45" s="42"/>
      <c r="K45" s="603"/>
    </row>
    <row r="46" spans="1:13" ht="12.75">
      <c r="A46" s="14" t="s">
        <v>697</v>
      </c>
      <c r="B46" s="679" t="s">
        <v>1243</v>
      </c>
      <c r="C46" s="92"/>
      <c r="D46" s="92"/>
      <c r="E46" s="42"/>
      <c r="F46" s="42"/>
      <c r="G46" s="42"/>
      <c r="H46" s="42"/>
      <c r="I46" s="42"/>
      <c r="J46" s="42"/>
      <c r="K46" s="471" t="s">
        <v>697</v>
      </c>
      <c r="L46" s="1254" t="str">
        <f>CONCATENATE("CBZ index ",Voorblad!E3)</f>
        <v>CBZ index 2005</v>
      </c>
      <c r="M46" s="1253"/>
    </row>
    <row r="47" spans="1:13" ht="13.5">
      <c r="A47" s="683"/>
      <c r="B47" s="1764" t="str">
        <f>CONCATENATE("In ",Voorblad!E3," ontvangen brieven  CBZ inzake definitieve vaststelling inbrengverplichting")</f>
        <v>In 2005 ontvangen brieven  CBZ inzake definitieve vaststelling inbrengverplichting</v>
      </c>
      <c r="C47" s="1765"/>
      <c r="D47" s="1765"/>
      <c r="E47" s="1765"/>
      <c r="F47" s="1766"/>
      <c r="G47" s="1767" t="s">
        <v>911</v>
      </c>
      <c r="H47" s="1768"/>
      <c r="I47" s="1769"/>
      <c r="J47" s="42"/>
      <c r="L47" s="1278" t="s">
        <v>1430</v>
      </c>
      <c r="M47" s="1278" t="s">
        <v>1431</v>
      </c>
    </row>
    <row r="48" spans="1:13" ht="13.5">
      <c r="A48" s="603"/>
      <c r="B48" s="1089" t="s">
        <v>997</v>
      </c>
      <c r="C48" s="1089" t="s">
        <v>996</v>
      </c>
      <c r="D48" s="1089" t="s">
        <v>1245</v>
      </c>
      <c r="E48" s="1553" t="s">
        <v>1244</v>
      </c>
      <c r="F48" s="1251" t="s">
        <v>1248</v>
      </c>
      <c r="G48" s="1251" t="s">
        <v>912</v>
      </c>
      <c r="H48" s="1251" t="s">
        <v>1361</v>
      </c>
      <c r="I48" s="1251" t="s">
        <v>1362</v>
      </c>
      <c r="J48" s="1283">
        <f>IF(M48&gt;0,1,0)</f>
        <v>1</v>
      </c>
      <c r="K48" s="761">
        <f>A57+1</f>
        <v>1809</v>
      </c>
      <c r="L48" s="920" t="str">
        <f>CONCATENATE("jan-0",Voorblad!E$3-2000)</f>
        <v>jan-05</v>
      </c>
      <c r="M48" s="1256">
        <v>113.9</v>
      </c>
    </row>
    <row r="49" spans="1:13" ht="12">
      <c r="A49" s="603"/>
      <c r="B49" s="682"/>
      <c r="C49" s="682"/>
      <c r="D49" s="682" t="s">
        <v>1246</v>
      </c>
      <c r="E49" s="1554" t="s">
        <v>1247</v>
      </c>
      <c r="F49" s="1083" t="s">
        <v>1247</v>
      </c>
      <c r="G49" s="1252"/>
      <c r="H49" s="1252"/>
      <c r="I49" s="1252"/>
      <c r="J49" s="1283">
        <f aca="true" t="shared" si="4" ref="J49:J59">IF(M49&gt;0,1,0)</f>
        <v>1</v>
      </c>
      <c r="K49" s="761">
        <f>K48+1</f>
        <v>1810</v>
      </c>
      <c r="L49" s="920" t="str">
        <f>CONCATENATE("feb-0",Voorblad!E$3-2000)</f>
        <v>feb-05</v>
      </c>
      <c r="M49" s="1256">
        <v>114</v>
      </c>
    </row>
    <row r="50" spans="1:13" ht="12">
      <c r="A50" s="1263">
        <f>M44*100+1</f>
        <v>1801</v>
      </c>
      <c r="B50" s="818"/>
      <c r="C50" s="483"/>
      <c r="D50" s="500"/>
      <c r="E50" s="500"/>
      <c r="F50" s="484">
        <f aca="true" t="shared" si="5" ref="F50:F55">D50-E50</f>
        <v>0</v>
      </c>
      <c r="G50" s="1250"/>
      <c r="H50" s="845" t="str">
        <f aca="true" t="shared" si="6" ref="H50:H55">IF(E50&gt;0,ROUND($E50*$M$60/G50,0)," ")</f>
        <v> </v>
      </c>
      <c r="I50" s="1255" t="str">
        <f aca="true" t="shared" si="7" ref="I50:I55">IF(F50&gt;0,ROUND($F50*$M$60/G50,0)," ")</f>
        <v> </v>
      </c>
      <c r="J50" s="1283">
        <f t="shared" si="4"/>
        <v>1</v>
      </c>
      <c r="K50" s="761">
        <f aca="true" t="shared" si="8" ref="K50:K61">K49+1</f>
        <v>1811</v>
      </c>
      <c r="L50" s="920" t="str">
        <f>CONCATENATE("mrt-0",Voorblad!E$3-2000)</f>
        <v>mrt-05</v>
      </c>
      <c r="M50" s="1256">
        <v>114.2</v>
      </c>
    </row>
    <row r="51" spans="1:13" ht="12">
      <c r="A51" s="761">
        <f aca="true" t="shared" si="9" ref="A51:A57">A50+1</f>
        <v>1802</v>
      </c>
      <c r="B51" s="818"/>
      <c r="C51" s="483"/>
      <c r="D51" s="500"/>
      <c r="E51" s="500"/>
      <c r="F51" s="484">
        <f t="shared" si="5"/>
        <v>0</v>
      </c>
      <c r="G51" s="615"/>
      <c r="H51" s="484" t="str">
        <f t="shared" si="6"/>
        <v> </v>
      </c>
      <c r="I51" s="484" t="str">
        <f t="shared" si="7"/>
        <v> </v>
      </c>
      <c r="J51" s="1283">
        <f t="shared" si="4"/>
        <v>1</v>
      </c>
      <c r="K51" s="761">
        <f t="shared" si="8"/>
        <v>1812</v>
      </c>
      <c r="L51" s="920" t="str">
        <f>CONCATENATE("apr-0",Voorblad!E$3-2000)</f>
        <v>apr-05</v>
      </c>
      <c r="M51" s="1256">
        <v>114.3</v>
      </c>
    </row>
    <row r="52" spans="1:13" ht="12">
      <c r="A52" s="761">
        <f t="shared" si="9"/>
        <v>1803</v>
      </c>
      <c r="B52" s="818"/>
      <c r="C52" s="483"/>
      <c r="D52" s="500"/>
      <c r="E52" s="500"/>
      <c r="F52" s="484">
        <f t="shared" si="5"/>
        <v>0</v>
      </c>
      <c r="G52" s="615"/>
      <c r="H52" s="484" t="str">
        <f t="shared" si="6"/>
        <v> </v>
      </c>
      <c r="I52" s="484" t="str">
        <f t="shared" si="7"/>
        <v> </v>
      </c>
      <c r="J52" s="1283">
        <f t="shared" si="4"/>
        <v>1</v>
      </c>
      <c r="K52" s="761">
        <f t="shared" si="8"/>
        <v>1813</v>
      </c>
      <c r="L52" s="920" t="str">
        <f>CONCATENATE("mei-0",Voorblad!E$3-2000)</f>
        <v>mei-05</v>
      </c>
      <c r="M52" s="1256">
        <v>114.6</v>
      </c>
    </row>
    <row r="53" spans="1:13" ht="12">
      <c r="A53" s="761">
        <f t="shared" si="9"/>
        <v>1804</v>
      </c>
      <c r="B53" s="818"/>
      <c r="C53" s="483"/>
      <c r="D53" s="500"/>
      <c r="E53" s="500"/>
      <c r="F53" s="484">
        <f t="shared" si="5"/>
        <v>0</v>
      </c>
      <c r="G53" s="615"/>
      <c r="H53" s="484" t="str">
        <f t="shared" si="6"/>
        <v> </v>
      </c>
      <c r="I53" s="484" t="str">
        <f t="shared" si="7"/>
        <v> </v>
      </c>
      <c r="J53" s="1283">
        <f t="shared" si="4"/>
        <v>1</v>
      </c>
      <c r="K53" s="761">
        <f t="shared" si="8"/>
        <v>1814</v>
      </c>
      <c r="L53" s="920" t="str">
        <f>CONCATENATE("jun-0",Voorblad!E$3-2000)</f>
        <v>jun-05</v>
      </c>
      <c r="M53" s="1256">
        <v>114.6</v>
      </c>
    </row>
    <row r="54" spans="1:13" ht="12">
      <c r="A54" s="761">
        <f t="shared" si="9"/>
        <v>1805</v>
      </c>
      <c r="B54" s="818"/>
      <c r="C54" s="483"/>
      <c r="D54" s="500"/>
      <c r="E54" s="500"/>
      <c r="F54" s="484">
        <f t="shared" si="5"/>
        <v>0</v>
      </c>
      <c r="G54" s="615"/>
      <c r="H54" s="484" t="str">
        <f t="shared" si="6"/>
        <v> </v>
      </c>
      <c r="I54" s="484" t="str">
        <f t="shared" si="7"/>
        <v> </v>
      </c>
      <c r="J54" s="1283">
        <f t="shared" si="4"/>
        <v>1</v>
      </c>
      <c r="K54" s="761">
        <f t="shared" si="8"/>
        <v>1815</v>
      </c>
      <c r="L54" s="920" t="str">
        <f>CONCATENATE("jul-0",Voorblad!E$3-2000)</f>
        <v>jul-05</v>
      </c>
      <c r="M54" s="1256">
        <v>115.6</v>
      </c>
    </row>
    <row r="55" spans="1:13" ht="12">
      <c r="A55" s="761">
        <f t="shared" si="9"/>
        <v>1806</v>
      </c>
      <c r="B55" s="818"/>
      <c r="C55" s="483"/>
      <c r="D55" s="500"/>
      <c r="E55" s="500"/>
      <c r="F55" s="484">
        <f t="shared" si="5"/>
        <v>0</v>
      </c>
      <c r="G55" s="615"/>
      <c r="H55" s="484" t="str">
        <f t="shared" si="6"/>
        <v> </v>
      </c>
      <c r="I55" s="484" t="str">
        <f t="shared" si="7"/>
        <v> </v>
      </c>
      <c r="J55" s="1283">
        <f t="shared" si="4"/>
        <v>1</v>
      </c>
      <c r="K55" s="761">
        <f t="shared" si="8"/>
        <v>1816</v>
      </c>
      <c r="L55" s="920" t="str">
        <f>CONCATENATE("aug-0",Voorblad!E$3-2000)</f>
        <v>aug-05</v>
      </c>
      <c r="M55" s="1256">
        <v>115.7</v>
      </c>
    </row>
    <row r="56" spans="1:13" ht="12">
      <c r="A56" s="761">
        <f t="shared" si="9"/>
        <v>1807</v>
      </c>
      <c r="B56" s="815" t="str">
        <f>CONCATENATE("Totaal regel ",A50," t/m ",A55)</f>
        <v>Totaal regel 1801 t/m 1806</v>
      </c>
      <c r="C56" s="822"/>
      <c r="D56" s="825">
        <f>SUM(D50:D55)</f>
        <v>0</v>
      </c>
      <c r="E56" s="825">
        <f>SUM(E50:E55)</f>
        <v>0</v>
      </c>
      <c r="F56" s="825">
        <f>SUM(F50:F55)</f>
        <v>0</v>
      </c>
      <c r="G56" s="684"/>
      <c r="H56" s="825">
        <f>SUM(H50:H55)</f>
        <v>0</v>
      </c>
      <c r="I56" s="825">
        <f>SUM(I50:I55)</f>
        <v>0</v>
      </c>
      <c r="J56" s="1283">
        <f t="shared" si="4"/>
        <v>1</v>
      </c>
      <c r="K56" s="761">
        <f t="shared" si="8"/>
        <v>1817</v>
      </c>
      <c r="L56" s="920" t="str">
        <f>CONCATENATE("sep-0",Voorblad!E$3-2000)</f>
        <v>sep-05</v>
      </c>
      <c r="M56" s="1256">
        <v>115.9</v>
      </c>
    </row>
    <row r="57" spans="1:13" ht="12.75">
      <c r="A57" s="761">
        <f t="shared" si="9"/>
        <v>1808</v>
      </c>
      <c r="B57" s="852" t="str">
        <f>CONCATENATE("De toekomstige inbrengverplichting wordt ingeboekt op prijspeil ",Voorblad!E$3-1)</f>
        <v>De toekomstige inbrengverplichting wordt ingeboekt op prijspeil 2004</v>
      </c>
      <c r="C57" s="849"/>
      <c r="D57" s="804"/>
      <c r="E57" s="804"/>
      <c r="F57" s="805"/>
      <c r="G57" s="684"/>
      <c r="H57"/>
      <c r="I57" s="825">
        <f>IF(M60=" ",0,I56*M61/M60)</f>
        <v>0</v>
      </c>
      <c r="J57" s="1283">
        <f t="shared" si="4"/>
        <v>1</v>
      </c>
      <c r="K57" s="761">
        <f t="shared" si="8"/>
        <v>1818</v>
      </c>
      <c r="L57" s="920" t="str">
        <f>CONCATENATE("okt-0",Voorblad!E$3-2000)</f>
        <v>okt-05</v>
      </c>
      <c r="M57" s="1256">
        <v>116.3</v>
      </c>
    </row>
    <row r="58" spans="2:13" ht="13.5">
      <c r="B58" s="1279" t="s">
        <v>913</v>
      </c>
      <c r="J58" s="1283">
        <f t="shared" si="4"/>
        <v>1</v>
      </c>
      <c r="K58" s="761">
        <f t="shared" si="8"/>
        <v>1819</v>
      </c>
      <c r="L58" s="920" t="str">
        <f>CONCATENATE("nov-0",Voorblad!E$3-2000)</f>
        <v>nov-05</v>
      </c>
      <c r="M58" s="1256">
        <v>116.3</v>
      </c>
    </row>
    <row r="59" spans="1:13" ht="12">
      <c r="A59" s="671"/>
      <c r="C59" s="42"/>
      <c r="D59" s="42"/>
      <c r="E59" s="42"/>
      <c r="F59" s="42"/>
      <c r="G59" s="42"/>
      <c r="H59" s="42"/>
      <c r="I59" s="42"/>
      <c r="J59" s="1283">
        <f t="shared" si="4"/>
        <v>1</v>
      </c>
      <c r="K59" s="761">
        <f t="shared" si="8"/>
        <v>1820</v>
      </c>
      <c r="L59" s="920" t="str">
        <f>CONCATENATE("dec-0",Voorblad!E$3-2000)</f>
        <v>dec-05</v>
      </c>
      <c r="M59" s="1549">
        <v>116.4</v>
      </c>
    </row>
    <row r="60" spans="10:13" ht="12">
      <c r="J60" s="1283">
        <f>SUM(J48:J59)</f>
        <v>12</v>
      </c>
      <c r="K60" s="761">
        <f t="shared" si="8"/>
        <v>1821</v>
      </c>
      <c r="L60" s="826" t="str">
        <f>CONCATENATE("Gem.-0",Voorblad!E3-2000)</f>
        <v>Gem.-05</v>
      </c>
      <c r="M60" s="1257">
        <f>IF(J60&lt;12," ",SUM(M48:M59)/12)</f>
        <v>115.15000000000002</v>
      </c>
    </row>
    <row r="61" spans="1:13" ht="12">
      <c r="A61" s="14" t="s">
        <v>698</v>
      </c>
      <c r="B61" s="460" t="str">
        <f>CONCATENATE("Toekomstige opbouw trekkingsrechten van ",Voorblad!E3+1," e.v.")</f>
        <v>Toekomstige opbouw trekkingsrechten van 2006 e.v.</v>
      </c>
      <c r="J61" s="42"/>
      <c r="K61" s="761">
        <f t="shared" si="8"/>
        <v>1822</v>
      </c>
      <c r="L61" s="826" t="str">
        <f>CONCATENATE("Gem.-0",Voorblad!E3-2001)</f>
        <v>Gem.-04</v>
      </c>
      <c r="M61" s="1257">
        <v>113.08</v>
      </c>
    </row>
    <row r="62" spans="1:9" ht="13.5">
      <c r="A62" s="453"/>
      <c r="B62" s="453"/>
      <c r="C62" s="92"/>
      <c r="D62" s="92"/>
      <c r="E62" s="92"/>
      <c r="F62" s="92"/>
      <c r="G62"/>
      <c r="I62" s="1279" t="s">
        <v>914</v>
      </c>
    </row>
    <row r="63" spans="1:9" ht="12.75">
      <c r="A63" s="14"/>
      <c r="B63" s="998" t="s">
        <v>1425</v>
      </c>
      <c r="C63" s="998" t="s">
        <v>1338</v>
      </c>
      <c r="D63" s="992" t="s">
        <v>1426</v>
      </c>
      <c r="E63" s="992"/>
      <c r="F63" s="1770" t="s">
        <v>785</v>
      </c>
      <c r="H63"/>
      <c r="I63" s="1280" t="s">
        <v>872</v>
      </c>
    </row>
    <row r="64" spans="2:9" ht="12">
      <c r="B64" s="1004"/>
      <c r="C64" s="1004" t="str">
        <f>CONCATENATE("",Voorblad!E3)</f>
        <v>2005</v>
      </c>
      <c r="D64" s="1005" t="s">
        <v>764</v>
      </c>
      <c r="E64" s="1152" t="s">
        <v>765</v>
      </c>
      <c r="F64" s="1771"/>
      <c r="I64" s="456" t="s">
        <v>871</v>
      </c>
    </row>
    <row r="65" spans="1:9" ht="12">
      <c r="A65" s="761">
        <f>K61+1</f>
        <v>1823</v>
      </c>
      <c r="B65" s="994">
        <v>1</v>
      </c>
      <c r="C65" s="500"/>
      <c r="D65" s="995">
        <v>2007</v>
      </c>
      <c r="E65" s="995">
        <v>2016</v>
      </c>
      <c r="F65" s="996">
        <v>88.9</v>
      </c>
      <c r="I65" s="1281" t="s">
        <v>703</v>
      </c>
    </row>
    <row r="66" spans="1:6" ht="12">
      <c r="A66" s="761">
        <f>A65+1</f>
        <v>1824</v>
      </c>
      <c r="B66" s="994">
        <v>2</v>
      </c>
      <c r="C66" s="500"/>
      <c r="D66" s="995">
        <v>2004</v>
      </c>
      <c r="E66" s="995">
        <v>2013</v>
      </c>
      <c r="F66" s="996">
        <v>88.9</v>
      </c>
    </row>
    <row r="67" spans="1:6" ht="12">
      <c r="A67" s="761">
        <f>A66+1</f>
        <v>1825</v>
      </c>
      <c r="B67" s="994">
        <v>3</v>
      </c>
      <c r="C67" s="500"/>
      <c r="D67" s="995">
        <v>1999</v>
      </c>
      <c r="E67" s="995">
        <v>2008</v>
      </c>
      <c r="F67" s="996">
        <v>88.9</v>
      </c>
    </row>
    <row r="68" ht="4.5" customHeight="1">
      <c r="E68" s="453"/>
    </row>
    <row r="69" spans="2:10" ht="12">
      <c r="B69" s="998" t="s">
        <v>1427</v>
      </c>
      <c r="C69" s="999"/>
      <c r="D69" s="1000" t="s">
        <v>1428</v>
      </c>
      <c r="E69" s="1001"/>
      <c r="F69" s="1001"/>
      <c r="G69" s="998" t="s">
        <v>783</v>
      </c>
      <c r="H69" s="998" t="s">
        <v>1429</v>
      </c>
      <c r="I69" s="1003" t="s">
        <v>767</v>
      </c>
      <c r="J69" s="1002" t="s">
        <v>766</v>
      </c>
    </row>
    <row r="70" spans="2:10" ht="12.75" customHeight="1">
      <c r="B70" s="1004"/>
      <c r="C70" s="1005">
        <v>1</v>
      </c>
      <c r="D70" s="1005">
        <v>2</v>
      </c>
      <c r="E70" s="1005">
        <v>3</v>
      </c>
      <c r="F70" s="1004" t="s">
        <v>782</v>
      </c>
      <c r="G70" s="1004" t="s">
        <v>784</v>
      </c>
      <c r="H70" s="1004" t="s">
        <v>768</v>
      </c>
      <c r="I70" s="1007" t="s">
        <v>769</v>
      </c>
      <c r="J70" s="1006"/>
    </row>
    <row r="71" spans="1:10" ht="12">
      <c r="A71" s="761">
        <f>A67+1</f>
        <v>1826</v>
      </c>
      <c r="B71" s="1008">
        <f>Voorblad!E3+1</f>
        <v>2006</v>
      </c>
      <c r="C71" s="1080"/>
      <c r="D71" s="1013">
        <f aca="true" t="shared" si="10" ref="D71:D78">$C$66*$F$66</f>
        <v>0</v>
      </c>
      <c r="E71" s="1013">
        <f>$C$67*$F$67</f>
        <v>0</v>
      </c>
      <c r="F71" s="1013">
        <f aca="true" t="shared" si="11" ref="F71:F81">SUM(C71:E71)</f>
        <v>0</v>
      </c>
      <c r="G71" s="500"/>
      <c r="H71" s="1015">
        <f>IF(SUM(H72:H$81)+F71-G71&lt;$H$83,(F71-G71)/1.0093,$H$83-SUM(H72:H$81))</f>
        <v>0</v>
      </c>
      <c r="I71" s="1244">
        <v>38718</v>
      </c>
      <c r="J71" s="1008" t="s">
        <v>770</v>
      </c>
    </row>
    <row r="72" spans="1:10" ht="12">
      <c r="A72" s="761">
        <f aca="true" t="shared" si="12" ref="A72:B84">A71+1</f>
        <v>1827</v>
      </c>
      <c r="B72" s="1008">
        <f>B71+1</f>
        <v>2007</v>
      </c>
      <c r="C72" s="1013">
        <f>$C$65*$F$65</f>
        <v>0</v>
      </c>
      <c r="D72" s="1013">
        <f t="shared" si="10"/>
        <v>0</v>
      </c>
      <c r="E72" s="1013">
        <f>$C$67*$F$67</f>
        <v>0</v>
      </c>
      <c r="F72" s="1013">
        <f t="shared" si="11"/>
        <v>0</v>
      </c>
      <c r="G72" s="500"/>
      <c r="H72" s="1015">
        <f>IF(SUM(H73:H$81)+F72-G72&lt;$H$83,(F72-G72)/1.0093,$H$83-SUM(H73:H$81))</f>
        <v>0</v>
      </c>
      <c r="I72" s="1244">
        <v>39083</v>
      </c>
      <c r="J72" s="1008" t="s">
        <v>771</v>
      </c>
    </row>
    <row r="73" spans="1:10" ht="12">
      <c r="A73" s="761">
        <f t="shared" si="12"/>
        <v>1828</v>
      </c>
      <c r="B73" s="1008">
        <f t="shared" si="12"/>
        <v>2008</v>
      </c>
      <c r="C73" s="1013">
        <f aca="true" t="shared" si="13" ref="C73:C81">$C$65*$F$65</f>
        <v>0</v>
      </c>
      <c r="D73" s="1013">
        <f t="shared" si="10"/>
        <v>0</v>
      </c>
      <c r="E73" s="1013">
        <f>$C$67*$F$67</f>
        <v>0</v>
      </c>
      <c r="F73" s="1013">
        <f t="shared" si="11"/>
        <v>0</v>
      </c>
      <c r="G73" s="500"/>
      <c r="H73" s="1015">
        <f>IF(SUM(H74:H$81)+F73-G73&lt;$H$83,(F73-G73)/1.0093,$H$83-SUM(H74:H$81))</f>
        <v>0</v>
      </c>
      <c r="I73" s="1244">
        <v>39448</v>
      </c>
      <c r="J73" s="1008" t="s">
        <v>772</v>
      </c>
    </row>
    <row r="74" spans="1:10" ht="12" customHeight="1">
      <c r="A74" s="761">
        <f t="shared" si="12"/>
        <v>1829</v>
      </c>
      <c r="B74" s="1008">
        <f t="shared" si="12"/>
        <v>2009</v>
      </c>
      <c r="C74" s="1013">
        <f t="shared" si="13"/>
        <v>0</v>
      </c>
      <c r="D74" s="1013">
        <f t="shared" si="10"/>
        <v>0</v>
      </c>
      <c r="E74" s="1079"/>
      <c r="F74" s="1013">
        <f t="shared" si="11"/>
        <v>0</v>
      </c>
      <c r="G74" s="500"/>
      <c r="H74" s="1015">
        <f>IF(SUM(H75:H$81)+F74-G74&lt;$H$83,(F74-G74)/1.0093,$H$83-SUM(H75:H$81))</f>
        <v>0</v>
      </c>
      <c r="I74" s="1244">
        <v>39814</v>
      </c>
      <c r="J74" s="1008" t="s">
        <v>773</v>
      </c>
    </row>
    <row r="75" spans="1:10" ht="12" customHeight="1">
      <c r="A75" s="761">
        <f t="shared" si="12"/>
        <v>1830</v>
      </c>
      <c r="B75" s="1008">
        <f t="shared" si="12"/>
        <v>2010</v>
      </c>
      <c r="C75" s="1013">
        <f t="shared" si="13"/>
        <v>0</v>
      </c>
      <c r="D75" s="1013">
        <f t="shared" si="10"/>
        <v>0</v>
      </c>
      <c r="E75" s="1081"/>
      <c r="F75" s="1013">
        <f t="shared" si="11"/>
        <v>0</v>
      </c>
      <c r="G75" s="500"/>
      <c r="H75" s="1015">
        <f>IF(SUM(H76:H$81)+F75-G75&lt;$H$83,(F75-G75)/1.0093,$H$83-SUM(H76:H$81))</f>
        <v>0</v>
      </c>
      <c r="I75" s="1244">
        <v>40179</v>
      </c>
      <c r="J75" s="1008" t="s">
        <v>774</v>
      </c>
    </row>
    <row r="76" spans="1:10" ht="12">
      <c r="A76" s="761">
        <f t="shared" si="12"/>
        <v>1831</v>
      </c>
      <c r="B76" s="1008">
        <f t="shared" si="12"/>
        <v>2011</v>
      </c>
      <c r="C76" s="1013">
        <f t="shared" si="13"/>
        <v>0</v>
      </c>
      <c r="D76" s="1013">
        <f t="shared" si="10"/>
        <v>0</v>
      </c>
      <c r="E76" s="1081"/>
      <c r="F76" s="1013">
        <f t="shared" si="11"/>
        <v>0</v>
      </c>
      <c r="G76" s="500"/>
      <c r="H76" s="1015">
        <f>IF(SUM(H77:H$81)+F76-G76&lt;$H$83,(F76-G76)/1.0093,$H$83-SUM(H77:H$81))</f>
        <v>0</v>
      </c>
      <c r="I76" s="1244">
        <v>40544</v>
      </c>
      <c r="J76" s="1008" t="s">
        <v>775</v>
      </c>
    </row>
    <row r="77" spans="1:10" ht="12">
      <c r="A77" s="761">
        <f t="shared" si="12"/>
        <v>1832</v>
      </c>
      <c r="B77" s="1008">
        <f t="shared" si="12"/>
        <v>2012</v>
      </c>
      <c r="C77" s="1013">
        <f t="shared" si="13"/>
        <v>0</v>
      </c>
      <c r="D77" s="1013">
        <f t="shared" si="10"/>
        <v>0</v>
      </c>
      <c r="E77" s="1081"/>
      <c r="F77" s="1013">
        <f t="shared" si="11"/>
        <v>0</v>
      </c>
      <c r="G77" s="500"/>
      <c r="H77" s="1015">
        <f>IF(SUM(H78:H$81)+F77-G77&lt;$H$83,(F77-G77)/1.0093,$H$83-SUM(H78:H$81))</f>
        <v>0</v>
      </c>
      <c r="I77" s="1244">
        <v>40909</v>
      </c>
      <c r="J77" s="1008" t="s">
        <v>776</v>
      </c>
    </row>
    <row r="78" spans="1:10" ht="12">
      <c r="A78" s="761">
        <f t="shared" si="12"/>
        <v>1833</v>
      </c>
      <c r="B78" s="1008">
        <f t="shared" si="12"/>
        <v>2013</v>
      </c>
      <c r="C78" s="1013">
        <f t="shared" si="13"/>
        <v>0</v>
      </c>
      <c r="D78" s="1013">
        <f t="shared" si="10"/>
        <v>0</v>
      </c>
      <c r="E78" s="1081"/>
      <c r="F78" s="1013">
        <f t="shared" si="11"/>
        <v>0</v>
      </c>
      <c r="G78" s="500"/>
      <c r="H78" s="1015">
        <f>IF(H81+H80+H79+F78-G78&lt;$H$83,(F78-G78)/1.0093,$H$83-H81-H80-H79)</f>
        <v>0</v>
      </c>
      <c r="I78" s="1244">
        <v>41275</v>
      </c>
      <c r="J78" s="1008" t="s">
        <v>777</v>
      </c>
    </row>
    <row r="79" spans="1:10" ht="12">
      <c r="A79" s="761">
        <f t="shared" si="12"/>
        <v>1834</v>
      </c>
      <c r="B79" s="1008">
        <f t="shared" si="12"/>
        <v>2014</v>
      </c>
      <c r="C79" s="1013">
        <f t="shared" si="13"/>
        <v>0</v>
      </c>
      <c r="D79" s="1079"/>
      <c r="E79" s="1081"/>
      <c r="F79" s="1013">
        <f t="shared" si="11"/>
        <v>0</v>
      </c>
      <c r="G79" s="500"/>
      <c r="H79" s="1015">
        <f>IF(H81+H80+F79-G79&lt;$H$83,(F79-G79)/1.0093,$H$83-H81-H80)</f>
        <v>0</v>
      </c>
      <c r="I79" s="1244">
        <v>41640</v>
      </c>
      <c r="J79" s="1008" t="s">
        <v>778</v>
      </c>
    </row>
    <row r="80" spans="1:10" ht="12">
      <c r="A80" s="761">
        <f t="shared" si="12"/>
        <v>1835</v>
      </c>
      <c r="B80" s="1008">
        <f t="shared" si="12"/>
        <v>2015</v>
      </c>
      <c r="C80" s="1013">
        <f t="shared" si="13"/>
        <v>0</v>
      </c>
      <c r="D80" s="1081"/>
      <c r="E80" s="1081"/>
      <c r="F80" s="1013">
        <f t="shared" si="11"/>
        <v>0</v>
      </c>
      <c r="G80" s="500"/>
      <c r="H80" s="1015">
        <f>IF(H81+F80-G80&lt;$H$83,(F80-G80)/1.0093,$H$83-H$81)</f>
        <v>0</v>
      </c>
      <c r="I80" s="1244">
        <v>42005</v>
      </c>
      <c r="J80" s="1008" t="s">
        <v>779</v>
      </c>
    </row>
    <row r="81" spans="1:10" ht="12">
      <c r="A81" s="761">
        <f t="shared" si="12"/>
        <v>1836</v>
      </c>
      <c r="B81" s="1008">
        <f t="shared" si="12"/>
        <v>2016</v>
      </c>
      <c r="C81" s="1013">
        <f t="shared" si="13"/>
        <v>0</v>
      </c>
      <c r="D81" s="1080"/>
      <c r="E81" s="1080"/>
      <c r="F81" s="1013">
        <f t="shared" si="11"/>
        <v>0</v>
      </c>
      <c r="G81" s="500"/>
      <c r="H81" s="1015">
        <f>IF(F81-G81&lt;$H$83,(F81-G81)/1.0093,H83)</f>
        <v>0</v>
      </c>
      <c r="I81" s="1244">
        <v>42370</v>
      </c>
      <c r="J81" s="1008" t="s">
        <v>780</v>
      </c>
    </row>
    <row r="82" spans="1:10" ht="12">
      <c r="A82" s="761">
        <f t="shared" si="12"/>
        <v>1837</v>
      </c>
      <c r="B82" s="1009" t="s">
        <v>968</v>
      </c>
      <c r="C82" s="1014">
        <f aca="true" t="shared" si="14" ref="C82:H82">SUM(C71:C81)</f>
        <v>0</v>
      </c>
      <c r="D82" s="1014">
        <f t="shared" si="14"/>
        <v>0</v>
      </c>
      <c r="E82" s="1014">
        <f t="shared" si="14"/>
        <v>0</v>
      </c>
      <c r="F82" s="1014">
        <f t="shared" si="14"/>
        <v>0</v>
      </c>
      <c r="G82" s="1014">
        <f t="shared" si="14"/>
        <v>0</v>
      </c>
      <c r="H82" s="1014">
        <f t="shared" si="14"/>
        <v>0</v>
      </c>
      <c r="J82" s="453"/>
    </row>
    <row r="83" spans="1:10" ht="12">
      <c r="A83" s="761">
        <f t="shared" si="12"/>
        <v>1838</v>
      </c>
      <c r="B83" s="852" t="str">
        <f>CONCATENATE("De toekomstige inbrengverplichting op prijspeil ",Voorblad!E$3-1," van regel ",A57)</f>
        <v>De toekomstige inbrengverplichting op prijspeil 2004 van regel 1808</v>
      </c>
      <c r="C83" s="893"/>
      <c r="D83" s="893"/>
      <c r="E83" s="893"/>
      <c r="F83" s="893"/>
      <c r="G83" s="893"/>
      <c r="H83" s="1016">
        <f>I57</f>
        <v>0</v>
      </c>
      <c r="J83" s="453"/>
    </row>
    <row r="84" spans="1:10" ht="13.5">
      <c r="A84" s="761">
        <f t="shared" si="12"/>
        <v>1839</v>
      </c>
      <c r="B84" s="997" t="s">
        <v>1343</v>
      </c>
      <c r="C84" s="893"/>
      <c r="D84" s="893"/>
      <c r="E84" s="893"/>
      <c r="F84" s="893"/>
      <c r="G84" s="893"/>
      <c r="H84" s="1017">
        <f>H83-H82</f>
        <v>0</v>
      </c>
      <c r="I84" s="1014">
        <f>IF(M60=" ",0,H84*M60/M61)</f>
        <v>0</v>
      </c>
      <c r="J84" s="453"/>
    </row>
    <row r="85" spans="2:11" ht="12">
      <c r="B85" s="461" t="s">
        <v>1346</v>
      </c>
      <c r="C85" s="467"/>
      <c r="D85" s="467"/>
      <c r="E85" s="467"/>
      <c r="F85" s="467"/>
      <c r="G85" s="467"/>
      <c r="H85" s="1463" t="s">
        <v>1344</v>
      </c>
      <c r="I85" s="1463" t="s">
        <v>1345</v>
      </c>
      <c r="J85" s="467"/>
      <c r="K85" s="467"/>
    </row>
    <row r="86" spans="2:10" ht="12">
      <c r="B86" s="453" t="s">
        <v>1347</v>
      </c>
      <c r="C86" s="461"/>
      <c r="D86" s="461"/>
      <c r="E86" s="461"/>
      <c r="F86" s="461"/>
      <c r="G86" s="461"/>
      <c r="H86" s="461"/>
      <c r="I86" s="461"/>
      <c r="J86" s="461"/>
    </row>
    <row r="87" spans="2:10" ht="13.5">
      <c r="B87" s="1282" t="s">
        <v>919</v>
      </c>
      <c r="C87" s="461"/>
      <c r="D87" s="461"/>
      <c r="E87" s="461"/>
      <c r="F87" s="461"/>
      <c r="G87" s="461"/>
      <c r="H87" s="461"/>
      <c r="I87" s="461"/>
      <c r="J87" s="461"/>
    </row>
    <row r="88" ht="12">
      <c r="B88" s="453" t="s">
        <v>846</v>
      </c>
    </row>
    <row r="89" spans="9:12" ht="12.75">
      <c r="I89"/>
      <c r="J89"/>
      <c r="K89"/>
      <c r="L89"/>
    </row>
    <row r="90" spans="9:12" ht="12.75">
      <c r="I90"/>
      <c r="J90"/>
      <c r="K90"/>
      <c r="L90"/>
    </row>
    <row r="91" spans="9:12" ht="12.75">
      <c r="I91"/>
      <c r="J91"/>
      <c r="K91"/>
      <c r="L91"/>
    </row>
    <row r="92" spans="9:12" ht="12.75">
      <c r="I92"/>
      <c r="J92"/>
      <c r="K92"/>
      <c r="L92"/>
    </row>
    <row r="93" spans="9:12" ht="12.75">
      <c r="I93"/>
      <c r="J93"/>
      <c r="K93"/>
      <c r="L93"/>
    </row>
  </sheetData>
  <sheetProtection password="958F" sheet="1" objects="1" scenarios="1"/>
  <mergeCells count="4">
    <mergeCell ref="B5:D5"/>
    <mergeCell ref="B47:F47"/>
    <mergeCell ref="G47:I47"/>
    <mergeCell ref="F63:F64"/>
  </mergeCells>
  <conditionalFormatting sqref="G71:G81 C65:C67 B7:F26 E32:F34 G50:G55 H7:M26 B50:E55">
    <cfRule type="expression" priority="1" dxfId="2" stopIfTrue="1">
      <formula>$G$2=TRUE</formula>
    </cfRule>
  </conditionalFormatting>
  <dataValidations count="5">
    <dataValidation allowBlank="1" showInputMessage="1" showErrorMessage="1" promptTitle="Meldingsbrieven CBZ" prompt="In dit overzicht alleen de meldingsbrieven vermelden waarop in het nacalculatiejaar investeringen zijn uitgevoerd." sqref="B5:D5"/>
    <dataValidation allowBlank="1" showInputMessage="1" showErrorMessage="1" promptTitle="Kenmerk" prompt="In deze kolom het jaartal vermelden waarop de melding betrekking heeft en het volgnummer. Bijvoorbeeld: 01 M1 of 02 J1. Een regel per meldingsbrief gebruiken.&#10;" sqref="C6:C26"/>
    <dataValidation allowBlank="1" showInputMessage="1" showErrorMessage="1" promptTitle="Index CBZ" prompt="Zie voor de gehanteerde index de berekening van de inbrengverplichting van het CBZ." sqref="G48"/>
    <dataValidation allowBlank="1" showInputMessage="1" showErrorMessage="1" promptTitle="Normatieve vierkante meters" prompt="Meters voor de klassen 1 tot en met 3  overnemen van de algemene gegevens van de rekenstaat." sqref="C65:C67"/>
    <dataValidation allowBlank="1" showInputMessage="1" showErrorMessage="1" promptTitle="Geactiveerd tot en met 2003" prompt="Als dit jaar instandhouding is uitgevoerd m.b.t. een zelfde meldingsbrief als vorig jaar, hier dan het tot en met bedrag vermelden uit het nacalculatieformulier van vorig jaar." sqref="E7:E26"/>
  </dataValidations>
  <printOptions/>
  <pageMargins left="0.3937007874015748" right="0.3937007874015748" top="0.3937007874015748" bottom="0.3937007874015748" header="0.2362204724409449" footer="0.11811023622047245"/>
  <pageSetup horizontalDpi="300" verticalDpi="300" orientation="landscape" paperSize="9" scale="95" r:id="rId2"/>
  <headerFooter alignWithMargins="0">
    <oddHeader xml:space="preserve">&amp;R&amp;9 </oddHeader>
  </headerFooter>
  <rowBreaks count="1" manualBreakCount="1">
    <brk id="42"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Admin95</dc:creator>
  <cp:keywords/>
  <dc:description/>
  <cp:lastModifiedBy>ybas</cp:lastModifiedBy>
  <cp:lastPrinted>2006-01-26T08:06:38Z</cp:lastPrinted>
  <dcterms:created xsi:type="dcterms:W3CDTF">2000-02-23T15:17:24Z</dcterms:created>
  <dcterms:modified xsi:type="dcterms:W3CDTF">2006-02-01T13:08:27Z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THRFR6N5WDQ4-19-11301</vt:lpwstr>
  </property>
  <property fmtid="{D5CDD505-2E9C-101B-9397-08002B2CF9AE}" pid="3" name="_dlc_DocIdItemGuid">
    <vt:lpwstr>da3a9002-d8cf-4a7c-a8a5-7450c64b6697</vt:lpwstr>
  </property>
  <property fmtid="{D5CDD505-2E9C-101B-9397-08002B2CF9AE}" pid="4" name="_dlc_DocIdUrl">
    <vt:lpwstr>http://kennisnet.nza.nl/publicaties/Aanleveren/_layouts/DocIdRedir.aspx?ID=THRFR6N5WDQ4-19-11301, THRFR6N5WDQ4-19-11301</vt:lpwstr>
  </property>
  <property fmtid="{D5CDD505-2E9C-101B-9397-08002B2CF9AE}" pid="5" name="WorkflowChangePath">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6" name="NZa-zoekwoordenMetadata">
    <vt:lpwstr/>
  </property>
  <property fmtid="{D5CDD505-2E9C-101B-9397-08002B2CF9AE}" pid="7" name="Sector(en)Metadata">
    <vt:lpwstr/>
  </property>
  <property fmtid="{D5CDD505-2E9C-101B-9397-08002B2CF9AE}" pid="8" name="VerzondenAanMetadata">
    <vt:lpwstr/>
  </property>
  <property fmtid="{D5CDD505-2E9C-101B-9397-08002B2CF9AE}" pid="9" name="DocumentTypeMetadata">
    <vt:lpwstr>Bijlage|5bf77c6e-b0b2-45e1-a13a-aadc6364942c</vt:lpwstr>
  </property>
  <property fmtid="{D5CDD505-2E9C-101B-9397-08002B2CF9AE}" pid="10" name="ExtraZoekwoordenMetadata">
    <vt:lpwstr/>
  </property>
</Properties>
</file>