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866" yWindow="1425" windowWidth="15360" windowHeight="11130" activeTab="0"/>
  </bookViews>
  <sheets>
    <sheet name="Rentecalc." sheetId="1" r:id="rId1"/>
    <sheet name="Versiebeheer" sheetId="2" r:id="rId2"/>
    <sheet name="Inhoud" sheetId="3" r:id="rId3"/>
    <sheet name="Toelichting" sheetId="4" r:id="rId4"/>
    <sheet name="A-D" sheetId="5" r:id="rId5"/>
    <sheet name="E" sheetId="6" r:id="rId6"/>
    <sheet name="F-G" sheetId="7" r:id="rId7"/>
    <sheet name="H" sheetId="8" r:id="rId8"/>
    <sheet name="GGZ" sheetId="9" r:id="rId9"/>
    <sheet name="GHZ" sheetId="10" r:id="rId10"/>
    <sheet name="V&amp;V" sheetId="11" r:id="rId11"/>
  </sheets>
  <externalReferences>
    <externalReference r:id="rId14"/>
    <externalReference r:id="rId15"/>
    <externalReference r:id="rId16"/>
  </externalReferences>
  <definedNames>
    <definedName name="__123Graph_C" hidden="1">'[1]I_03007'!#REF!</definedName>
    <definedName name="__123Graph_D" hidden="1">'[1]I_03007'!#REF!</definedName>
    <definedName name="__123Graph_E" hidden="1">'[1]I_03007'!#REF!</definedName>
    <definedName name="__123Graph_Z" hidden="1">'[1]I_03007'!#REF!</definedName>
    <definedName name="_Fill" hidden="1">#REF!</definedName>
    <definedName name="_Order1" hidden="1">255</definedName>
    <definedName name="_Order2" hidden="1">255</definedName>
    <definedName name="_xlnm.Print_Area" localSheetId="4">'A-D'!$B$1:$I$92</definedName>
    <definedName name="_xlnm.Print_Area" localSheetId="5">'E'!$B$2:$W$88</definedName>
    <definedName name="_xlnm.Print_Area" localSheetId="6">'F-G'!$B$1:$G$31</definedName>
    <definedName name="_xlnm.Print_Area" localSheetId="8">'GGZ'!$B$2:$I$18</definedName>
    <definedName name="_xlnm.Print_Area" localSheetId="7">'H'!$B$1:$M$37</definedName>
    <definedName name="_xlnm.Print_Area" localSheetId="2">'Inhoud'!$A$1:$J$30</definedName>
    <definedName name="_xlnm.Print_Area" localSheetId="0">'Rentecalc.'!$B$1:$L$38</definedName>
    <definedName name="_xlnm.Print_Area" localSheetId="10">'V&amp;V'!$B$1:$N$73</definedName>
    <definedName name="Afdruktitels_MI">'[1]I_03007'!$1:$5</definedName>
    <definedName name="Expl_">'[1]I_03007'!#REF!</definedName>
    <definedName name="Expl_522">'[1]I_03007'!#REF!</definedName>
    <definedName name="Expl_523">'[1]I_03007'!#REF!</definedName>
    <definedName name="Expl_524">'[1]I_03007'!#REF!</definedName>
    <definedName name="Expl_525">'[1]I_03007'!#REF!</definedName>
    <definedName name="Expl_526">'[1]I_03007'!#REF!</definedName>
    <definedName name="getal_data">#REF!</definedName>
    <definedName name="INGHZbu1">#REF!</definedName>
    <definedName name="INGHZnac1">#REF!</definedName>
    <definedName name="INGHZnac2">#REF!</definedName>
    <definedName name="INGHZzzp1">#REF!</definedName>
    <definedName name="kolom_data">#REF!</definedName>
    <definedName name="naam">#REF!</definedName>
    <definedName name="naamconflict_VPH_01_._Fill" hidden="1">#REF!</definedName>
    <definedName name="naamconflict_VZH_01_._Fill" hidden="1">#REF!</definedName>
    <definedName name="tabblad">#REF!</definedName>
    <definedName name="totaal1996">'[1]I_03007'!$A$4:$D$43</definedName>
    <definedName name="totaal1997">'[1]I_03007'!$A$46:$D$85</definedName>
    <definedName name="totaal1998">'[1]I_03007'!$A$88:$D$127</definedName>
    <definedName name="totaal1999">'[1]I_03007'!$A$130:$D$169</definedName>
    <definedName name="totaal2000">'[1]I_03007'!$A$172:$D$211</definedName>
    <definedName name="waarde" hidden="1">#REF!</definedName>
    <definedName name="Z_60683067_AF12_11D4_9642_08005ACCD915_.wvu.PrintArea" localSheetId="4" hidden="1">'A-D'!$A:$XFD</definedName>
    <definedName name="Z_60683067_AF12_11D4_9642_08005ACCD915_.wvu.PrintArea" localSheetId="5" hidden="1">'E'!$A:$XFD</definedName>
    <definedName name="Z_60683067_AF12_11D4_9642_08005ACCD915_.wvu.PrintArea" localSheetId="6" hidden="1">'F-G'!$A:$XFD</definedName>
    <definedName name="Z_60683067_AF12_11D4_9642_08005ACCD915_.wvu.PrintArea" localSheetId="8" hidden="1">'GGZ'!$A:$XFD</definedName>
    <definedName name="Z_60683067_AF12_11D4_9642_08005ACCD915_.wvu.PrintTitles" localSheetId="0" hidden="1">'Rentecalc.'!#REF!</definedName>
    <definedName name="Z_60683068_AF12_11D4_9642_08005ACCD915_.wvu.PrintTitles" localSheetId="4" hidden="1">'A-D'!#REF!</definedName>
    <definedName name="Z_60683068_AF12_11D4_9642_08005ACCD915_.wvu.PrintTitles" localSheetId="5" hidden="1">'E'!#REF!</definedName>
    <definedName name="Z_60683068_AF12_11D4_9642_08005ACCD915_.wvu.PrintTitles" localSheetId="6" hidden="1">'F-G'!#REF!</definedName>
    <definedName name="Z_60683068_AF12_11D4_9642_08005ACCD915_.wvu.PrintTitles" localSheetId="8" hidden="1">'GGZ'!#REF!</definedName>
    <definedName name="Z_60683068_AF12_11D4_9642_08005ACCD915_.wvu.PrintTitles" localSheetId="2" hidden="1">'Inhoud'!#REF!</definedName>
    <definedName name="Z_60683068_AF12_11D4_9642_08005ACCD915_.wvu.PrintTitles" localSheetId="0" hidden="1">'Rentecalc.'!#REF!</definedName>
    <definedName name="Z_60683068_AF12_11D4_9642_08005ACCD915_.wvu.Rows" localSheetId="2" hidden="1">'Inhoud'!#REF!,'Inhoud'!#REF!,'Inhoud'!#REF!</definedName>
    <definedName name="Z_60683068_AF12_11D4_9642_08005ACCD915_.wvu.Rows" localSheetId="0" hidden="1">'Rentecalc.'!#REF!,'Rentecalc.'!#REF!,'Rentecalc.'!#REF!,'Rentecalc.'!#REF!</definedName>
  </definedNames>
  <calcPr fullCalcOnLoad="1"/>
</workbook>
</file>

<file path=xl/sharedStrings.xml><?xml version="1.0" encoding="utf-8"?>
<sst xmlns="http://schemas.openxmlformats.org/spreadsheetml/2006/main" count="342" uniqueCount="306">
  <si>
    <t>E. Langlopende leningen (incl. langlopende leasecontracten en incl. roll-overleningen met langlopende swap)</t>
  </si>
  <si>
    <t xml:space="preserve">Hier neemt u de langlopende leningen op waarvan de rente nacalculeerbaar is, d.w.z. langlopende leningen ten behoeve van intramurale grootschalige zorg. Dit betekent dat u (gedeelten van) leningen die zijn afgesloten t.b.v. panden waarvan de kapitaallasten zijn genormeerd (b.v. panden voor kleinschalig wonen en extramurale zorg (die ná 1-1-2007 in exploitatie zijn genomen), niet mag meerekenen.  </t>
  </si>
  <si>
    <t xml:space="preserve">In de kolom ‘Datum normrente’ moet voor leningen die in 2010 zijn afgesloten, de datum worden vermeld waarop het berekende normpercentage is vastgesteld. Dit is de datum waarop de leningovereenkomst tot stand is gekomen. Voor roll-over leningen vult u hier de datum in waarop de swap is afgesloten. </t>
  </si>
  <si>
    <t>In de kolom 'Einddatum rentevastperiode' dient de datum te worden opgenomen waarop het huidige rentepercentage expireert. Als een bestaande lening in 2010 vervroegd is afgelost, kunt u bij de vervangende lening in deze kolom de datum vermelden waarop de oorspronkelijke rentefixatieperiode zou aflopen, echter met een maximum van 5 jaar na de datum van afsluiten van de vervangende lening. Gedurende de periode dat de oude lening nog zou zijn doorgelopen heeft de zorgaanbieder recht op een rentevergoeding conform het oude rentepercentage. In de kolom '% werkelijk' dient u in dat geval het werkelijke rentepercentage van de oude lening te vermelden. Bij roll-over leningen vult u hier de datum in waarop de swap eindigt.</t>
  </si>
  <si>
    <r>
      <t xml:space="preserve">In de kolom 'N, W, V of R' moet een 'W' worden vermeld voor bestaande leningen waarvoor de </t>
    </r>
    <r>
      <rPr>
        <u val="single"/>
        <sz val="9"/>
        <rFont val="Verdana"/>
        <family val="2"/>
      </rPr>
      <t>w</t>
    </r>
    <r>
      <rPr>
        <sz val="9"/>
        <rFont val="Verdana"/>
        <family val="2"/>
      </rPr>
      <t xml:space="preserve">erkelijke rentekosten (W) aanvaardbaar zijn. U vermeldt een 'V' als sprake is van een ná 31 december 2000 afgesloten lening waarvoor een normrente is vastgesteld en die in de plaats komt van een vervroegd afgeloste lening. U vermeldt een 'N' wanneer voor de lening een </t>
    </r>
    <r>
      <rPr>
        <u val="single"/>
        <sz val="9"/>
        <rFont val="Verdana"/>
        <family val="2"/>
      </rPr>
      <t>n</t>
    </r>
    <r>
      <rPr>
        <sz val="9"/>
        <rFont val="Verdana"/>
        <family val="2"/>
      </rPr>
      <t>ormatief percentage (N) is vastgesteld en er geen sprake is van vervanging van een vervroegd afgeloste lening. U vermeldt een 'R' wanneer de lening betrekking heeft op een roll-over lening.</t>
    </r>
  </si>
  <si>
    <r>
      <t xml:space="preserve">Op regel 924 kan de boekwaarde van vergunningsplichtige investeringen zonder vergunning die opgeleverd zijn </t>
    </r>
    <r>
      <rPr>
        <u val="single"/>
        <sz val="9"/>
        <rFont val="Verdana"/>
        <family val="2"/>
      </rPr>
      <t>voor</t>
    </r>
    <r>
      <rPr>
        <sz val="9"/>
        <rFont val="Verdana"/>
        <family val="2"/>
      </rPr>
      <t xml:space="preserve"> 1-1-2009, in mindering worden gebracht. Dit betreft investeringen waarvoor, om voor nacalculatie in aanmerking te komen, een vergunning vereist is, maar welke niet is afgegeven. Het kan ook gaan om een overschrijding van een vergunning. De investeringen zijn gedaan ten behoeve van een zorgaanbieder en er is geen titel om de daarmee samenhangende kapitaallasten door te berekenen aan derden. Deze regel is niet bedoeld voor investeringen waarvan de kosten uit andere hoofde moeten worden gedekt. Zoals bijvoorbeeld genormeerde kosten van kleinschalig wonen en extramurale zorg.</t>
    </r>
  </si>
  <si>
    <t>I.3 V&amp;V: Normatieve boekwaarde med. en overige inventarissen en instandhouding</t>
  </si>
  <si>
    <t>In dit tabblad wordt de diverse rentevergoedingen berekend voor zover deze specifiek voor de sector V&amp;V van toepassing zijn. Dit betreft investeringen in medische en overige inventarissen en in computerapparatuur en instandhoudingsinvesteringen. Het bedrag van de instandhouding wordt doorgerekend naar regel 106.</t>
  </si>
  <si>
    <t>Bij het onderdeel instandhouding dient u een onderscheid te maken in gehuurde panden en panden in eigendom. Verwezen wordt naar de Beleidsregel instandhoudingsinvesteringen (CA-448).</t>
  </si>
  <si>
    <t>De vergoeding voor deze leningen is dezelfde als die voor lange leningen (leningen met een rentefixatieperiode van minimaal twee jaar). Voor bepaling van het bijbehorende Waarborgfonds Zorg (WFZ-)percentage wordt uitgegaan van de datum waarop de swap wordt gesloten, in combinatie met de looptijd van de swap (zie verder onderdeel 2.5 a van de Beleidsregel rente (CA-445))</t>
  </si>
  <si>
    <t>G. Rentekosten langlopende leningen</t>
  </si>
  <si>
    <t>H. Toerekening aanvaardbare rentekosten naar zorgaanbieder</t>
  </si>
  <si>
    <t>GHZ: Normatieve boekwaarde medische en overige inventarissen en instandhouding</t>
  </si>
  <si>
    <t xml:space="preserve">I.1 GGZ: Normatieve boekwaarde medische en overige inventarissen </t>
  </si>
  <si>
    <t>I.2 GHZ: Normatieve boekwaarde medische en overige inventarissen en instandhouding</t>
  </si>
  <si>
    <t>Exclusief activa kleinschalig wonen en genormeerde activa van extramurale zorg.</t>
  </si>
  <si>
    <t xml:space="preserve">Normatieve </t>
  </si>
  <si>
    <t xml:space="preserve">boekwaarde </t>
  </si>
  <si>
    <t>Einddatum</t>
  </si>
  <si>
    <t>Werk.</t>
  </si>
  <si>
    <t>Norm.</t>
  </si>
  <si>
    <t>N,W,</t>
  </si>
  <si>
    <t>rentebedrag</t>
  </si>
  <si>
    <t>Aanvaardbaar</t>
  </si>
  <si>
    <t>Berekende</t>
  </si>
  <si>
    <t xml:space="preserve">rente </t>
  </si>
  <si>
    <t>Normatief</t>
  </si>
  <si>
    <t>Rentekosten langlopende leningen</t>
  </si>
  <si>
    <t xml:space="preserve">Gewogen schuld per periode (1 januari-data aflossingen-31 december) </t>
  </si>
  <si>
    <t>schuld</t>
  </si>
  <si>
    <t>Percentages ten behoeve van berekening rentekosten</t>
  </si>
  <si>
    <t>Registratienummer NZa</t>
  </si>
  <si>
    <t>Vrije regel voor annuïteitenleningen conform separate specificatie</t>
  </si>
  <si>
    <t>(Fictief) leningbedrag met betrekking tot huur/leasing van inventarissen</t>
  </si>
  <si>
    <t>Jaar van de nacalculatie</t>
  </si>
  <si>
    <t>Mutaties januari</t>
  </si>
  <si>
    <t>Mutaties februari</t>
  </si>
  <si>
    <t>Mutaties maart</t>
  </si>
  <si>
    <t>Mutaties april</t>
  </si>
  <si>
    <t>Mutaties mei</t>
  </si>
  <si>
    <t>Mutaties juni</t>
  </si>
  <si>
    <t>Mutaties juli</t>
  </si>
  <si>
    <t>Mutaties augustus</t>
  </si>
  <si>
    <t>Mutaties september</t>
  </si>
  <si>
    <t>Mutaties oktober</t>
  </si>
  <si>
    <t>Mutaties november</t>
  </si>
  <si>
    <t>Mutaties december</t>
  </si>
  <si>
    <t>Factor kolom 1</t>
  </si>
  <si>
    <t>Factor kolom 2</t>
  </si>
  <si>
    <t>Gefactureerd in januari</t>
  </si>
  <si>
    <t>Gefactureerd in februari</t>
  </si>
  <si>
    <t>Gefactureerd in maart</t>
  </si>
  <si>
    <t>Gefactureerd in april</t>
  </si>
  <si>
    <t>Gefactureerd in mei</t>
  </si>
  <si>
    <t>Gefactureerd in juni</t>
  </si>
  <si>
    <t>Gefactureerd in juli</t>
  </si>
  <si>
    <t>Gefactureerd in augustus</t>
  </si>
  <si>
    <t>Gefactureerd in september</t>
  </si>
  <si>
    <t>Gefactureerd in oktober</t>
  </si>
  <si>
    <t>Gefactureerd in november</t>
  </si>
  <si>
    <t>Gefactureerd in december</t>
  </si>
  <si>
    <t>Uitgevoerd en gefactureerd in januari</t>
  </si>
  <si>
    <t>Uitgevoerd en gefactureerd in februari</t>
  </si>
  <si>
    <t>Uitgevoerd en gefactureerd in maart</t>
  </si>
  <si>
    <t>Uitgevoerd en gefactureerd in april</t>
  </si>
  <si>
    <t>Uitgevoerd en gefactureerd in mei</t>
  </si>
  <si>
    <t>Uitgevoerd en gefactureerd in juni</t>
  </si>
  <si>
    <t>Uitgevoerd en gefactureerd in juli</t>
  </si>
  <si>
    <t>Uitgevoerd en gefactureerd in augustus</t>
  </si>
  <si>
    <t>Uitgevoerd en gefactureerd in september</t>
  </si>
  <si>
    <t>Uitgevoerd en gefactureerd in oktober</t>
  </si>
  <si>
    <t>Uitgevoerd en gefactureerd in november</t>
  </si>
  <si>
    <t>Uitgevoerd en gefactureerd in december</t>
  </si>
  <si>
    <t>Overig buiten beschouwing gebleven eigen vermogen (reden toelichten)</t>
  </si>
  <si>
    <t>%</t>
  </si>
  <si>
    <t>Gewogen boekwaarde</t>
  </si>
  <si>
    <t>Factor</t>
  </si>
  <si>
    <t>Geldgever</t>
  </si>
  <si>
    <t xml:space="preserve">Saldo </t>
  </si>
  <si>
    <t>Kapitaal</t>
  </si>
  <si>
    <t>Algemene reserves</t>
  </si>
  <si>
    <t>Reserve aanvaardbare kosten</t>
  </si>
  <si>
    <t>Instandhoudingsreserve</t>
  </si>
  <si>
    <t>Reserve inventarissen</t>
  </si>
  <si>
    <t>Overige reserves</t>
  </si>
  <si>
    <t>Vernieuwingsfonds</t>
  </si>
  <si>
    <t>Egalisatievoorzienining  onderhoud</t>
  </si>
  <si>
    <t>Overige voorzieningen</t>
  </si>
  <si>
    <t>Fondsen en fundaties</t>
  </si>
  <si>
    <t>Saldo resultatenrekening</t>
  </si>
  <si>
    <t>Datum</t>
  </si>
  <si>
    <t>Egalisatierekening annuïteitenrente en nog te verrekenen (aanvaardbare) boeterente [(beginbalans + eindbalans) : 2]</t>
  </si>
  <si>
    <t xml:space="preserve">% </t>
  </si>
  <si>
    <t xml:space="preserve">Bedrag </t>
  </si>
  <si>
    <t xml:space="preserve">Gewogen </t>
  </si>
  <si>
    <t xml:space="preserve">Factor </t>
  </si>
  <si>
    <t xml:space="preserve">Boekwaarde </t>
  </si>
  <si>
    <t xml:space="preserve"> </t>
  </si>
  <si>
    <t xml:space="preserve">Totaal </t>
  </si>
  <si>
    <t>Activa</t>
  </si>
  <si>
    <t>Passiva</t>
  </si>
  <si>
    <t xml:space="preserve">Aanschafwaarde </t>
  </si>
  <si>
    <t xml:space="preserve">Afschrijvingen </t>
  </si>
  <si>
    <t>B.</t>
  </si>
  <si>
    <t>Normatief werkkapitaal</t>
  </si>
  <si>
    <t xml:space="preserve">H. </t>
  </si>
  <si>
    <t>Eigen vermogen</t>
  </si>
  <si>
    <t>INHOUDSOPGAVE</t>
  </si>
  <si>
    <t>Eventuele vordering vakantiegeldverplichting (volgens de balans per 1 januari van het jaar van invoering van het budgetsysteem)</t>
  </si>
  <si>
    <t>D.</t>
  </si>
  <si>
    <t>nr.</t>
  </si>
  <si>
    <t>cat.</t>
  </si>
  <si>
    <t>T.b.v. de renteberekening i.v.m. eventuele schrikkeljaren</t>
  </si>
  <si>
    <t xml:space="preserve">Rentedeel gehuurde instandhouding (45% van het kale huurbedrag) </t>
  </si>
  <si>
    <t>a)</t>
  </si>
  <si>
    <t>Normatieve</t>
  </si>
  <si>
    <t>boekwaarde</t>
  </si>
  <si>
    <t>Aantal</t>
  </si>
  <si>
    <t>b)</t>
  </si>
  <si>
    <t>Gewogen</t>
  </si>
  <si>
    <t>plaatsen</t>
  </si>
  <si>
    <t>Geact. invest. in med. en overige invent. waarvoor in 2001 additionele middelen zijn toegekend</t>
  </si>
  <si>
    <t>waarde</t>
  </si>
  <si>
    <t>Geactiveerde investeringen waarvoor in 2001 additionele budgetmiddelen zijn toegekend</t>
  </si>
  <si>
    <t>Instandhouding voorheen VKP</t>
  </si>
  <si>
    <t>Instellingsspecifiek</t>
  </si>
  <si>
    <t>V&amp;V: Totaal investeringen in medische en overige inventarissen en in computerapparatuur en -programmatuur</t>
  </si>
  <si>
    <t>ja</t>
  </si>
  <si>
    <t>NZa-nummer</t>
  </si>
  <si>
    <t>Naam zorgaanbieder</t>
  </si>
  <si>
    <t>Aanvaardbare</t>
  </si>
  <si>
    <t>rentekosten</t>
  </si>
  <si>
    <t>=Rentecalc.!I4</t>
  </si>
  <si>
    <t>Gefactureerde investeringen</t>
  </si>
  <si>
    <t>Ingebruik genomen investeringen</t>
  </si>
  <si>
    <t xml:space="preserve">Onderhanden bouwprojecten </t>
  </si>
  <si>
    <t>A.</t>
  </si>
  <si>
    <t xml:space="preserve">Boekwaarde investeringen vaste activa </t>
  </si>
  <si>
    <t>ALGEMEEN</t>
  </si>
  <si>
    <t xml:space="preserve">CALCULATIEMODEL RENTEKOSTEN         </t>
  </si>
  <si>
    <t xml:space="preserve">B. Onderhanden bouwprojecten </t>
  </si>
  <si>
    <t xml:space="preserve">Nadat de periode, waarin voor de berekening van de aanvaardbare rentekosten werd uitgegaan van het rentepercentage van de oude lening, is verstreken, dient u in de kolom 'Einddatum rentevastperiode' de einddatum van de vervangende lening te vermelden en in de kolom '% werkelijk' het werkelijke rentepercentage van de vervangende lening. In de kolom 'N,W,of V' moet de V worden aangepast in N.        </t>
  </si>
  <si>
    <t>Nieuwe leningen kunt u in dit overzicht opnemen door de storting te verwerken als een negatieve aflossing.  Als op de nieuwe lening in hetzelfde jaar nog wordt afgelost, kunnen deze aflossingen op de volgende regel apart worden verwerkt.</t>
  </si>
  <si>
    <t xml:space="preserve">In deze tabel worden de totale rentekosten die van invloed zijn op de aanvaardbare rentekosten berekend. </t>
  </si>
  <si>
    <t>Indien u één rentenormeringsbalans voor meerdere zorgaanbieders (lees: rekenstaten, NZa-nummers per sector) heeft ingevuld, kunt u hier de verdeling van de rentekosten over de zorgaanbieders aangeven.</t>
  </si>
  <si>
    <t>c)</t>
  </si>
  <si>
    <t>Extra bedrag i.v.m. cap. wijz. / (mutatie) norm. m2 nieuwbouw 2001</t>
  </si>
  <si>
    <t>Extra bedrag i.v.m. cap. wijz. / (mutatie) norm. m2 nieuwbouw 2002</t>
  </si>
  <si>
    <t>Extra bedrag i.v.m. cap. wijz. / (mutatie) norm. m2 nieuwbouw 2003</t>
  </si>
  <si>
    <t>Extra bedrag i.v.m. cap. wijz. / (mutatie) norm. m2 nieuwbouw 2004</t>
  </si>
  <si>
    <t>Extra bedrag i.v.m. cap. wijz. / (mutatie) norm. m2 nieuwbouw 2005</t>
  </si>
  <si>
    <t>Extra bedrag i.v.m. cap. wijz. / (mutatie) norm. m2 nieuwbouw 2006</t>
  </si>
  <si>
    <t>Extra bedrag i.v.m. cap. wijz. / (mutatie) norm. m2 nieuwbouw 2007</t>
  </si>
  <si>
    <t>Extra bedrag i.v.m. cap. wijz. / (mutatie) norm. m2 nieuwbouw 2008</t>
  </si>
  <si>
    <t>Extra bedrag i.v.m. cap. wijz. / (mutatie) norm. m2 nieuwbouw 2009</t>
  </si>
  <si>
    <t xml:space="preserve">Aantal </t>
  </si>
  <si>
    <t xml:space="preserve">normatieve </t>
  </si>
  <si>
    <t>conform</t>
  </si>
  <si>
    <t>per</t>
  </si>
  <si>
    <t>meters</t>
  </si>
  <si>
    <t>meter</t>
  </si>
  <si>
    <t xml:space="preserve">Verstandelijk </t>
  </si>
  <si>
    <t>gehandicapten</t>
  </si>
  <si>
    <t>Jeugdige licht</t>
  </si>
  <si>
    <t xml:space="preserve">verstandelijk </t>
  </si>
  <si>
    <t>(JLVG)</t>
  </si>
  <si>
    <t xml:space="preserve">Voorzieningencentra </t>
  </si>
  <si>
    <t>en Het Dorp</t>
  </si>
  <si>
    <t>Auditief</t>
  </si>
  <si>
    <t>Visueel</t>
  </si>
  <si>
    <t xml:space="preserve">gemiddelde </t>
  </si>
  <si>
    <t>(grootschalig)</t>
  </si>
  <si>
    <t>norm</t>
  </si>
  <si>
    <t>Voorheen dagverblijven voor verstandelijk gehandicapten</t>
  </si>
  <si>
    <t>Voorheen overige dagverblijven</t>
  </si>
  <si>
    <t>GVT VG en ZG hoofdvestiging</t>
  </si>
  <si>
    <t>GVT VG en ZG dependance</t>
  </si>
  <si>
    <t>GVT LG</t>
  </si>
  <si>
    <t>kinder-GVT VG</t>
  </si>
  <si>
    <t>kinder-GVT LG</t>
  </si>
  <si>
    <t>GHZ: Totaal investeringen in medische en overige inventarissen en in computerapparatuur en -programmatuur</t>
  </si>
  <si>
    <t xml:space="preserve">GGZ: Normatieve boekwaarde medische en overige inventarissen </t>
  </si>
  <si>
    <t>Alleen zorgaanbieders met GHZ nummer (600)</t>
  </si>
  <si>
    <t>Alleen instellingen met GGZ nummer (120)</t>
  </si>
  <si>
    <t xml:space="preserve">Aanschaf </t>
  </si>
  <si>
    <t>Werkelijke boekwaarde instandhoudingsinvesteringen</t>
  </si>
  <si>
    <t>In dit werkblad kunt u de werkelijke boekwaarde van de instandhoudingsinvesteringen van de zorgaanbieders met een toelating voor verblijf invullen. Dit wordt doorgerekend naar regel 106.</t>
  </si>
  <si>
    <t>Instellingen voor verblijf en verblijf met behandeling vullen hier de normatieve boekwaarde in van de kosten per plaats.</t>
  </si>
  <si>
    <t xml:space="preserve">U dient hier de afschrijvingen volgens de rekenstaat 2010 in te vullen. De berekening van de normatieve boekwaarde vindt automatisch plaats. Dit is exclusief de plaatsen kleinschalig wonen. Alleen de sector GGZ dient dit sjabloon in vullen. </t>
  </si>
  <si>
    <t>In de kolommen van ‘storting/aflossing 2010’ dient u het aflossingsbedrag, de dag en de maand(en) van aflossing aan te geven. Aan de hand van deze gegevens wordt de gewogen schuld berekend. Als de berekening voor een specifieke situatie niet tot de juiste uitkomst leidt kan het bedrag van de gewogen schuld worden aangepast. Ook de berekende aanvaardbare rentekosten kunnen worden aangepast voor afwijkingen in de werkelijke rentekosten als het gaat om oude leningen.</t>
  </si>
  <si>
    <t>Voor de bepaling van het resultaat 2010, ten behoeve van de stand per 31-12-2010 van regel 920, dient te worden uitgegaan van de totale aanvaardbare kosten, exclusief de mutatie rentekosten. Als het resultaat al is verwerkt in de reserves op de regels 911 t/m 919, dan hoeft regel 920 niet te worden ingevuld.</t>
  </si>
  <si>
    <t>Extra bedrag i.v.m. cap. wijz. / (mutatie) norm. m2 nieuwbouw 2010</t>
  </si>
  <si>
    <t>Investeringen in computerapp. en -programm. m.b.t. 2006 t/m 2010</t>
  </si>
  <si>
    <t>Investeringen in med. en overige invent. m.b.t. de jaren 2001 t/m 2010</t>
  </si>
  <si>
    <t>Investeringen m.b.t. 2001 t/m 2010, indien in eigendom</t>
  </si>
  <si>
    <t>Investeringen m.b.t. 2001 t/m 2010, indien gehuurd</t>
  </si>
  <si>
    <t>Verblijf en behandeling (voorheen verpleeghuizen) medische en overige invent. en in comp. en -progr. vanaf 2001</t>
  </si>
  <si>
    <t>Verblijf en behandeling (voorheen verpleeghuizen) extra investeringsbedragen</t>
  </si>
  <si>
    <t>Aanvaardbare rentekosten</t>
  </si>
  <si>
    <t>c)  Instandhoudingsinvesteringen</t>
  </si>
  <si>
    <t>b) Medische en overige inventarissen (verblijf exclusief behandeling, exclusief Kleinschalig Wonen)</t>
  </si>
  <si>
    <t>Pagina</t>
  </si>
  <si>
    <t>C.</t>
  </si>
  <si>
    <t>F.</t>
  </si>
  <si>
    <t xml:space="preserve">G. </t>
  </si>
  <si>
    <t>I.1</t>
  </si>
  <si>
    <t>I.2</t>
  </si>
  <si>
    <t>I.3</t>
  </si>
  <si>
    <t xml:space="preserve">E. </t>
  </si>
  <si>
    <t>Toerekening aanvaardbare rentekosten naar zorgaanbieder</t>
  </si>
  <si>
    <t>Het renteformulier hoeft u niet mee te sturen met het nacalculatieformulier 2010.</t>
  </si>
  <si>
    <t xml:space="preserve">Op regel 516 dient u in de eerste kolom de gefactureerde investeringen per 31 december 2009 volgens de jaarrekening op te nemen. Op de regels 517 t/m 528 kunt u in de eerste kolom de bedragen vermelden in de maand waarin het uitgevoerde werk is gefactureerd. Middels een factor wordt rekening gehouden met een betalingstermijn van 1 maand. In de tweede kolom vult u de onderhanden investeringen in die in 2010 in gebruik zijn genomen. </t>
  </si>
  <si>
    <t xml:space="preserve">D. Normatief werkkapitaal  </t>
  </si>
  <si>
    <t xml:space="preserve">F. Eigen vermogen    </t>
  </si>
  <si>
    <t xml:space="preserve">C. Werkelijke boekwaarde instandhoudingsinvesteringen verblijf en behandeling (inclusief onderhanden werk) </t>
  </si>
  <si>
    <r>
      <t xml:space="preserve">Normatieve rentepercentage kort krediet </t>
    </r>
    <r>
      <rPr>
        <vertAlign val="superscript"/>
        <sz val="9"/>
        <rFont val="Verdana"/>
        <family val="2"/>
      </rPr>
      <t xml:space="preserve">1) </t>
    </r>
  </si>
  <si>
    <r>
      <t xml:space="preserve">Inflatievergoeding over eigen vermogen </t>
    </r>
    <r>
      <rPr>
        <vertAlign val="superscript"/>
        <sz val="9"/>
        <rFont val="Verdana"/>
        <family val="2"/>
      </rPr>
      <t>2)</t>
    </r>
  </si>
  <si>
    <r>
      <t>1)</t>
    </r>
    <r>
      <rPr>
        <sz val="8"/>
        <rFont val="Verdana"/>
        <family val="2"/>
      </rPr>
      <t xml:space="preserve"> De voor het jaar geldende gemiddelde normatieve rentevoet wordt na afloop van het jaar door de NZa (www.nza.nl) berekend en gepubliceerd. Het rentepercentage is inclusief 0,50% tijdelijke liquiditeitstoeslag. Deze toeslag geldt niet voor situaties van overliquiditeit. De normatieve rentevoet is te vinden op de website van de NZa onder Rentenormering, korte rente.</t>
    </r>
  </si>
  <si>
    <r>
      <t>2)</t>
    </r>
    <r>
      <rPr>
        <sz val="8"/>
        <rFont val="Verdana"/>
        <family val="2"/>
      </rPr>
      <t xml:space="preserve"> Het percentage inflatievergoeding over het eigen vermogen is door de NZa gelijk gesteld aan nul, omdat bij de berekening van de inflatievergoeding over het eigen vermogen geen negatieve materiële kosten index wordt gebruikt.</t>
    </r>
  </si>
  <si>
    <t>Normrente over verschil activa en passiva 1,32% + 0,50% aanvullende liquiditeitstoeslag als regel 112 postief is.</t>
  </si>
  <si>
    <r>
      <t>Afschrijving</t>
    </r>
    <r>
      <rPr>
        <b/>
        <vertAlign val="superscript"/>
        <sz val="9"/>
        <rFont val="Verdana"/>
        <family val="2"/>
      </rPr>
      <t xml:space="preserve"> 1)</t>
    </r>
  </si>
  <si>
    <r>
      <t xml:space="preserve">1) </t>
    </r>
    <r>
      <rPr>
        <sz val="8"/>
        <rFont val="Verdana"/>
        <family val="2"/>
      </rPr>
      <t>Afschrijvingen 2010 exclusief niet-nacalculeerbare afschrijvingen.</t>
    </r>
  </si>
  <si>
    <r>
      <t>Te verklaren verschillen</t>
    </r>
    <r>
      <rPr>
        <b/>
        <vertAlign val="superscript"/>
        <sz val="9"/>
        <rFont val="Verdana"/>
        <family val="2"/>
      </rPr>
      <t xml:space="preserve"> 2)</t>
    </r>
  </si>
  <si>
    <r>
      <t xml:space="preserve">2) </t>
    </r>
    <r>
      <rPr>
        <sz val="8"/>
        <rFont val="Verdana"/>
        <family val="2"/>
      </rPr>
      <t>Het totaal van de ingebruikgenomen investeringen van regel 529 moet gelijk zijn aan het totaal van ingebruikgenomen investeringen van de regels 503 t/m 514 onderdeel A.</t>
    </r>
  </si>
  <si>
    <r>
      <t xml:space="preserve">1) </t>
    </r>
    <r>
      <rPr>
        <sz val="8"/>
        <rFont val="Verdana"/>
        <family val="2"/>
      </rPr>
      <t>Hier neemt u de langlopende leningen op waarvan de rente nacalculeerbaar is inclusief langlopende leasecontracten en afgesloten leningen na 1-1-2009 met een looptijd van 2 jaar</t>
    </r>
  </si>
  <si>
    <t>of meer (in combinatie met een renteswap).</t>
  </si>
  <si>
    <r>
      <t xml:space="preserve">2) </t>
    </r>
    <r>
      <rPr>
        <sz val="8"/>
        <rFont val="Verdana"/>
        <family val="2"/>
      </rPr>
      <t>Bij roll-over leningen met renteswap: datum waarop de swap wordt afgesloten.</t>
    </r>
  </si>
  <si>
    <r>
      <t xml:space="preserve">3) </t>
    </r>
    <r>
      <rPr>
        <sz val="8"/>
        <rFont val="Verdana"/>
        <family val="2"/>
      </rPr>
      <t>Bij roll-over leningen met renteswap: datum waarop de swap eindigt.</t>
    </r>
  </si>
  <si>
    <r>
      <t xml:space="preserve">4) </t>
    </r>
    <r>
      <rPr>
        <sz val="8"/>
        <rFont val="Verdana"/>
        <family val="2"/>
      </rPr>
      <t>Inclusief roll-over leningen met langlopende swap &gt; 2 jaar.</t>
    </r>
  </si>
  <si>
    <r>
      <t xml:space="preserve">normrente </t>
    </r>
    <r>
      <rPr>
        <b/>
        <vertAlign val="superscript"/>
        <sz val="8"/>
        <rFont val="Verdana"/>
        <family val="2"/>
      </rPr>
      <t>2)</t>
    </r>
  </si>
  <si>
    <r>
      <t xml:space="preserve">rentevastper. </t>
    </r>
    <r>
      <rPr>
        <b/>
        <vertAlign val="superscript"/>
        <sz val="8"/>
        <rFont val="Verdana"/>
        <family val="2"/>
      </rPr>
      <t>3)</t>
    </r>
  </si>
  <si>
    <r>
      <t xml:space="preserve">V of R </t>
    </r>
    <r>
      <rPr>
        <b/>
        <vertAlign val="superscript"/>
        <sz val="8"/>
        <rFont val="Verdana"/>
        <family val="2"/>
      </rPr>
      <t>4)</t>
    </r>
  </si>
  <si>
    <t>Dag</t>
  </si>
  <si>
    <t>Ma(a)nd(en)</t>
  </si>
  <si>
    <r>
      <t xml:space="preserve">rentebedrag </t>
    </r>
    <r>
      <rPr>
        <b/>
        <vertAlign val="superscript"/>
        <sz val="8"/>
        <rFont val="Verdana"/>
        <family val="2"/>
      </rPr>
      <t>5)</t>
    </r>
  </si>
  <si>
    <r>
      <t>1)</t>
    </r>
    <r>
      <rPr>
        <sz val="8"/>
        <rFont val="Verdana"/>
        <family val="2"/>
      </rPr>
      <t xml:space="preserve"> Inclusief niet collectief gefinancierd eigen vermogen behorend bij het bedrijfsonderdeel waar deze nacalculatie betrekking op heeft.</t>
    </r>
  </si>
  <si>
    <r>
      <t xml:space="preserve">Boekwaarde vergunningsplichtige investeringen zonder vergunning </t>
    </r>
    <r>
      <rPr>
        <vertAlign val="superscript"/>
        <sz val="9"/>
        <rFont val="Verdana"/>
        <family val="2"/>
      </rPr>
      <t>2)</t>
    </r>
  </si>
  <si>
    <r>
      <t>1)</t>
    </r>
    <r>
      <rPr>
        <sz val="8"/>
        <rFont val="Verdana"/>
        <family val="2"/>
      </rPr>
      <t xml:space="preserve"> Zie onderbouwing rekenstaat GGZ regel 300.</t>
    </r>
  </si>
  <si>
    <t>Aantal m2</t>
  </si>
  <si>
    <t>a) Medische en overige inventarissen vanaf 2001 (verblijf met behandeling, exclusief Kleinschalig Wonen)</t>
  </si>
  <si>
    <t>d)</t>
  </si>
  <si>
    <t xml:space="preserve">e) </t>
  </si>
  <si>
    <t>Verblijf, zonder behandeling (voorheen verzorgingshuizen) computerapparatuur en -programmatuur</t>
  </si>
  <si>
    <t>onderdeel 2.3.1</t>
  </si>
  <si>
    <t>Verblijf, zonder behandeling (voorheen GVT)</t>
  </si>
  <si>
    <r>
      <t>2)</t>
    </r>
    <r>
      <rPr>
        <sz val="8"/>
        <rFont val="Verdana"/>
        <family val="2"/>
      </rPr>
      <t xml:space="preserve"> Dit betreft boekwaarde van niet vergunningsplichtige investeringen die opgeleverd zijn </t>
    </r>
    <r>
      <rPr>
        <u val="single"/>
        <sz val="8"/>
        <rFont val="Verdana"/>
        <family val="2"/>
      </rPr>
      <t>voor</t>
    </r>
    <r>
      <rPr>
        <sz val="8"/>
        <rFont val="Verdana"/>
        <family val="2"/>
      </rPr>
      <t xml:space="preserve"> 1-1-2009.</t>
    </r>
  </si>
  <si>
    <t>Correctiebedrag t.b.v. aansluiting AK conform jaarrekening en AK conform nacalculatieformulier</t>
  </si>
  <si>
    <t>Berekening gewogen schuld en rentekosten (hulptabel bij sjabloon op pagina 7)</t>
  </si>
  <si>
    <t>Langlopende leningen (regel 733 onderdeel E)</t>
  </si>
  <si>
    <t>A. Boekwaarde investeringen vaste activa</t>
  </si>
  <si>
    <t>aangebracht.</t>
  </si>
  <si>
    <t xml:space="preserve">Het formulier is met een wachtwoord beveiligd. Dit betekent dat in het formulier geen veranderingen kunnen/mogen worden </t>
  </si>
  <si>
    <t>V&amp;V: Normatieve boekwaarde med. en overige inventarissen en instandhouding</t>
  </si>
  <si>
    <t>Verblijf en behandeling (inclusief onderhanden werk)</t>
  </si>
  <si>
    <t>Werkelijke boekwaarde instandhoudingsinvesteringen (regel 618 onderdeel C + regel 1320 onderdeel I.2.c + regel 1510 onderdeel I.3.e)</t>
  </si>
  <si>
    <r>
      <t xml:space="preserve">Totaal eigen vermogen </t>
    </r>
    <r>
      <rPr>
        <b/>
        <vertAlign val="superscript"/>
        <sz val="9"/>
        <rFont val="Verdana"/>
        <family val="2"/>
      </rPr>
      <t>1)</t>
    </r>
    <r>
      <rPr>
        <b/>
        <sz val="9"/>
        <rFont val="Verdana"/>
        <family val="2"/>
      </rPr>
      <t xml:space="preserve"> conform jaarrekening (regels 910 t/m 921)</t>
    </r>
  </si>
  <si>
    <t>Genormeerde kosten KSW en extramurale zorg</t>
  </si>
  <si>
    <r>
      <t xml:space="preserve">5) </t>
    </r>
    <r>
      <rPr>
        <sz val="8"/>
        <rFont val="Verdana"/>
        <family val="2"/>
      </rPr>
      <t>Voor oude leningen (W) in de kolom "aanvaardbaar rentebedrag" het werkelijke rentebedrag vermelden.</t>
    </r>
  </si>
  <si>
    <t>Eigen vermogen dat is gevormd door genormeerd kleinschalig wonen en extramurale zorg</t>
  </si>
  <si>
    <t>Totaal aanvaardbare rentekosten (regel 117)</t>
  </si>
  <si>
    <t>Jaar</t>
  </si>
  <si>
    <t>Normatieve investering</t>
  </si>
  <si>
    <t>Normatieve boekwaarde</t>
  </si>
  <si>
    <t>Aantal normatieve m2 vlgs. laatste rekenstaat</t>
  </si>
  <si>
    <t>Norm per normatieve m2</t>
  </si>
  <si>
    <t>Gewogen normatieve boekwaarde</t>
  </si>
  <si>
    <t>Verblijf, zonder behandeling (voorheen verzorgingshuizen) medische en overige inventarissen</t>
  </si>
  <si>
    <t>Aantal te bezetten plaatsen rekenstaat kasbasis</t>
  </si>
  <si>
    <t>Gemiddeld normatief investerings-   bedrag</t>
  </si>
  <si>
    <t>Aanschaf- waarde/     berekende normatieve investering</t>
  </si>
  <si>
    <t>Gewogen (normatieve) boekwaarde</t>
  </si>
  <si>
    <t>Verblijf, zonder behandeling (voorheen verzorgingshuizen) instandhoudingsinvesteringen</t>
  </si>
  <si>
    <t>Aantal plaatsen rekenstaat kasbasis</t>
  </si>
  <si>
    <t>(Gemiddeld) normatief investerings- bedrag</t>
  </si>
  <si>
    <t>Normatieve investering/aanschaf-      waarde</t>
  </si>
  <si>
    <t>Dit calculatiemodel is bedoeld voor de berekening van de nacalculeerbare aanvaardbare rentekosten 2010 van met AWBZ-gelden gefinancierde zorgaanbieders. Bij de invulling van dit formulier dient u de kapitaallasten die kunnen worden toegeschreven aan kleinschalig wonen, niet te betrekken. Dit geldt ook voor de kapitaallasten van extramurale zorgprestaties voor zover deze normatief worden vergoed (en op of na 1 januari 2007 in de exploitatie zijn genomen).</t>
  </si>
  <si>
    <t xml:space="preserve">De externe accountant dient dit formulier te controleren. De NZa kan dit formulier opvragen indien bij de afhandeling van de nacalculatie 2010 onduidelijkheden en/of vragen ontstaan m.b.t. de aanvaardbare rentekosten.            </t>
  </si>
  <si>
    <t>Op dit calculatiemodel rentekosten 2010 zijn van toepassing de beleidsregels van de NZa zoals deze voor het jaar 2010 van kracht zijn. Voor de sectoren GGZ, GHZ en V&amp;V zijn aparte tabbladen toegevoegd voor hun sectorspecifieke onderwerpen.</t>
  </si>
  <si>
    <t xml:space="preserve">U kunt het calculatiemodel op AWBZ-stichtingsniveau invullen mits de verantwoording van de verschillende zorgaanbieders in één jaarrekening plaatsvindt. In werkblad H kunt u de toerekening naar de afzonderlijke zorgaanbieders zelf bepalen en invullen.               </t>
  </si>
  <si>
    <t>U hoeft alleen de blauw gearceerde velden in te vullen; de doorrekeningen vinden automatisch plaats.</t>
  </si>
  <si>
    <r>
      <t xml:space="preserve">Op regel 501 moet de boekwaarde per 31 december 2009 volgens de jaarrekening worden opgenomen. De gegevens in dit onderdeel zijn exclusief de kosten voor onderhanden bouwprojecten. Op de regels 502 t/m 514 vermeldt u in de kolom 'Aanschafwaarde' de (des)investeringen die in 2010 in gebruik zijn genomen c.q. buiten gebruik zijn gesteld. In de kolom 'Afschrijving' dient u de maandelijkse nacalculeerbare afschrijvingskosten te vermelden. Bij de desinvesteringen vermeldt u in de kolom 'Afschrijving' ook de bedragen die tot dan toe in totaal op deze investeringen zijn afgeschreven.   </t>
    </r>
    <r>
      <rPr>
        <sz val="9"/>
        <color indexed="10"/>
        <rFont val="Verdana"/>
        <family val="2"/>
      </rPr>
      <t xml:space="preserve">          </t>
    </r>
  </si>
  <si>
    <r>
      <t>Op regel 601 moet de boekwaarde per 31 december 2009 volgens de jaarrekening worden opgenomen. Voor instandhoudingsinvesteringen in uitvoering zijn twee varianten mogelijk. U kunt ervoor kiezen de investeringskosten aan het eind van het jaar direct te activeren en de afschrijvingen daarop in 2010 te starten. Als u hiervoor kiest, hoeft u de regels 603 en 617 niet in te vullen. U kunt er ook voor kiezen de investeringskosten te boeken op onderhanden werk. Alleen als u kiest voor de laatste variant dienen de regels 603 en 617</t>
    </r>
    <r>
      <rPr>
        <sz val="9"/>
        <color indexed="10"/>
        <rFont val="Verdana"/>
        <family val="2"/>
      </rPr>
      <t xml:space="preserve"> </t>
    </r>
    <r>
      <rPr>
        <sz val="9"/>
        <rFont val="Verdana"/>
        <family val="2"/>
      </rPr>
      <t>wel te worden ingevuld. In dit overzicht dienen tevens de onderhanden bouwprojecten in het kader van de instandhoudingsinvesteringen te worden ingevuld. Evenals in overzicht B wordt ook hier in de toegepaste factoren rekening gehouden met een betalingstermijn van één maand. U kunt alleen investeringen opgeven voor grootschalige zorg. Plaatsen die zijn omgezet naar kleinschalig wonen dienen hier niet te worden opgenomen.</t>
    </r>
  </si>
  <si>
    <t xml:space="preserve">Op regel 619 dient u de aanvaardbare kosten conform de rekenstaat of rekenstaten van alle betrokken zorgaanbieders van de beherende rechtspersoon bij elkaar op te tellen en hier te vermelden. </t>
  </si>
  <si>
    <t xml:space="preserve">Op regel 620 vult u de aanvaardbare kosten in voorzover zij kunnen worden toegerekend aan kleinschalige woonvoorzieningen en genormeerde extramurale zorg.               </t>
  </si>
  <si>
    <t xml:space="preserve">Regel 621 is alleen van toepassing op zorgaanbieders die als bestendige gedragslijn aan het einde van het jaar tegenover (een deel van) de vakantiegeldverplichting een vordering op de AWBZ in de balans opnemen. </t>
  </si>
  <si>
    <r>
      <t>Langlopende leningen</t>
    </r>
    <r>
      <rPr>
        <vertAlign val="superscript"/>
        <sz val="9"/>
        <rFont val="Verdana"/>
        <family val="2"/>
      </rPr>
      <t xml:space="preserve"> 1)</t>
    </r>
  </si>
  <si>
    <r>
      <t>afschrijvingen</t>
    </r>
    <r>
      <rPr>
        <b/>
        <vertAlign val="superscript"/>
        <sz val="9"/>
        <rFont val="Verdana"/>
        <family val="2"/>
      </rPr>
      <t xml:space="preserve"> </t>
    </r>
    <r>
      <rPr>
        <vertAlign val="superscript"/>
        <sz val="9"/>
        <rFont val="Verdana"/>
        <family val="2"/>
      </rPr>
      <t>1)</t>
    </r>
  </si>
  <si>
    <t>GHZ: Normatieve boekwaarde medische en overige inventarissen (regel 1309 onderdeel I)</t>
  </si>
  <si>
    <t>V&amp;V: Normatieve boekwaarde med. en overige inventarissen (regel 1505 onderdeel I)</t>
  </si>
  <si>
    <t>VERSIEBEHEER</t>
  </si>
  <si>
    <t>Hiermee kunt u bepalen of deze mutaties voor u van belang zijn. Neem bij onduidelijkheden contact op met de NZa.</t>
  </si>
  <si>
    <t>Versie</t>
  </si>
  <si>
    <t>Werkblad</t>
  </si>
  <si>
    <t>Regel</t>
  </si>
  <si>
    <t>Fout(melding)</t>
  </si>
  <si>
    <t>Aanpassing</t>
  </si>
  <si>
    <t>Eerste versie 'AWBZ-breed Calculatiemodel rentekosten 2010'.</t>
  </si>
  <si>
    <t>In de onderstaande tabel ziet u welke mutaties er zijn ten opzichte van eerdere versies van het 'AWBZ-breed Calculatiemodel rentekosten 2010'.</t>
  </si>
  <si>
    <t>Toelichting</t>
  </si>
  <si>
    <t>Rente van leningen afgesloten na 1-1-2009 met een looptijd van 2 jaar of meer in combinatie met een renteswap</t>
  </si>
  <si>
    <t>E</t>
  </si>
  <si>
    <t>Grote getallen niet goed leesbaar</t>
  </si>
  <si>
    <t>Lettertype gewijzigd</t>
  </si>
  <si>
    <t>Rentepercentages met 3 decimalen niet in te voeren</t>
  </si>
  <si>
    <t>Validatie is aangepast</t>
  </si>
  <si>
    <t>Versiedatum 04-02-2011</t>
  </si>
</sst>
</file>

<file path=xl/styles.xml><?xml version="1.0" encoding="utf-8"?>
<styleSheet xmlns="http://schemas.openxmlformats.org/spreadsheetml/2006/main">
  <numFmts count="4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quot;fl&quot;\ * #,##0_-;_-&quot;fl&quot;\ * #,##0\-;_-&quot;fl&quot;\ * &quot;-&quot;_-;_-@_-"/>
    <numFmt numFmtId="179" formatCode="_-&quot;fl&quot;\ * #,##0.00_-;_-&quot;fl&quot;\ * #,##0.00\-;_-&quot;fl&quot;\ * &quot;-&quot;??_-;_-@_-"/>
    <numFmt numFmtId="180" formatCode="0.0000"/>
    <numFmt numFmtId="181" formatCode="#,##0.0_-;#,##0.0\-"/>
    <numFmt numFmtId="182" formatCode="0.000"/>
    <numFmt numFmtId="183" formatCode="#,##0.0"/>
    <numFmt numFmtId="184" formatCode="#,##0;\(#,##0\);"/>
    <numFmt numFmtId="185" formatCode="#,##0.0000"/>
    <numFmt numFmtId="186" formatCode="#,##0_ \ ;\(#,##0\)_ ;"/>
    <numFmt numFmtId="187" formatCode="#,##0\ ;\(#,##0\);"/>
    <numFmt numFmtId="188" formatCode="#,##0_ ;\(#,##0\);"/>
    <numFmt numFmtId="189" formatCode="\(#,##0\)_ ;#,##0_ \ ;\ \(* \)_ "/>
    <numFmt numFmtId="190" formatCode="0\ ;"/>
    <numFmt numFmtId="191" formatCode="\ \ƒ* #,##0_ \ ;\ \ƒ* ;\ \ƒ* "/>
    <numFmt numFmtId="192" formatCode="###0_-;###0\-"/>
    <numFmt numFmtId="193" formatCode="0_ ;\-0\ "/>
    <numFmt numFmtId="194" formatCode="#,##0.00_ ;\-#,##0.00\ "/>
    <numFmt numFmtId="195" formatCode="#,##0_ ;\-#,##0\ "/>
    <numFmt numFmtId="196" formatCode="0####"/>
    <numFmt numFmtId="197" formatCode="#,###"/>
    <numFmt numFmtId="198" formatCode="&quot;Ja&quot;;&quot;Ja&quot;;&quot;Nee&quot;"/>
    <numFmt numFmtId="199" formatCode="&quot;Waar&quot;;&quot;Waar&quot;;&quot;Niet waar&quot;"/>
    <numFmt numFmtId="200" formatCode="&quot;Aan&quot;;&quot;Aan&quot;;&quot;Uit&quot;"/>
    <numFmt numFmtId="201" formatCode="[$€-2]\ #.##000_);[Red]\([$€-2]\ #.##000\)"/>
    <numFmt numFmtId="202" formatCode="General_)"/>
    <numFmt numFmtId="203" formatCode="_-* #,##0_-;_-* #,##0\-;_-* &quot;-&quot;??_-;_-@_-"/>
    <numFmt numFmtId="204" formatCode="[$-413]dddd\ d\ mmmm\ yyyy"/>
  </numFmts>
  <fonts count="31">
    <font>
      <sz val="10"/>
      <name val="Arial"/>
      <family val="0"/>
    </font>
    <font>
      <sz val="9"/>
      <name val="Arial"/>
      <family val="2"/>
    </font>
    <font>
      <b/>
      <sz val="9"/>
      <name val="Arial"/>
      <family val="2"/>
    </font>
    <font>
      <sz val="10"/>
      <name val="Helv"/>
      <family val="0"/>
    </font>
    <font>
      <b/>
      <sz val="14"/>
      <name val="Helv"/>
      <family val="0"/>
    </font>
    <font>
      <sz val="24"/>
      <color indexed="13"/>
      <name val="Helv"/>
      <family val="0"/>
    </font>
    <font>
      <sz val="8"/>
      <name val="Tahoma"/>
      <family val="2"/>
    </font>
    <font>
      <u val="single"/>
      <sz val="10"/>
      <color indexed="12"/>
      <name val="Arial"/>
      <family val="0"/>
    </font>
    <font>
      <u val="single"/>
      <sz val="10"/>
      <color indexed="36"/>
      <name val="Arial"/>
      <family val="0"/>
    </font>
    <font>
      <b/>
      <sz val="9"/>
      <name val="Verdana"/>
      <family val="2"/>
    </font>
    <font>
      <sz val="9"/>
      <name val="Verdana"/>
      <family val="2"/>
    </font>
    <font>
      <b/>
      <sz val="9"/>
      <color indexed="9"/>
      <name val="Verdana"/>
      <family val="2"/>
    </font>
    <font>
      <sz val="9"/>
      <color indexed="9"/>
      <name val="Verdana"/>
      <family val="2"/>
    </font>
    <font>
      <vertAlign val="superscript"/>
      <sz val="9"/>
      <name val="Verdana"/>
      <family val="2"/>
    </font>
    <font>
      <b/>
      <sz val="9"/>
      <color indexed="8"/>
      <name val="Verdana"/>
      <family val="2"/>
    </font>
    <font>
      <b/>
      <sz val="8"/>
      <name val="Verdana"/>
      <family val="2"/>
    </font>
    <font>
      <vertAlign val="superscript"/>
      <sz val="8"/>
      <name val="Verdana"/>
      <family val="2"/>
    </font>
    <font>
      <sz val="8"/>
      <name val="Verdana"/>
      <family val="2"/>
    </font>
    <font>
      <b/>
      <vertAlign val="superscript"/>
      <sz val="8"/>
      <name val="Verdana"/>
      <family val="2"/>
    </font>
    <font>
      <b/>
      <sz val="12"/>
      <name val="Verdana"/>
      <family val="2"/>
    </font>
    <font>
      <sz val="8"/>
      <name val="Arial"/>
      <family val="0"/>
    </font>
    <font>
      <sz val="12"/>
      <name val="Arial"/>
      <family val="0"/>
    </font>
    <font>
      <b/>
      <vertAlign val="superscript"/>
      <sz val="9"/>
      <name val="Verdana"/>
      <family val="2"/>
    </font>
    <font>
      <sz val="9"/>
      <color indexed="8"/>
      <name val="Verdana"/>
      <family val="2"/>
    </font>
    <font>
      <u val="single"/>
      <sz val="9"/>
      <name val="Verdana"/>
      <family val="2"/>
    </font>
    <font>
      <b/>
      <sz val="10"/>
      <name val="Arial"/>
      <family val="2"/>
    </font>
    <font>
      <sz val="9"/>
      <color indexed="10"/>
      <name val="Verdana"/>
      <family val="2"/>
    </font>
    <font>
      <sz val="10"/>
      <name val="Verdana"/>
      <family val="2"/>
    </font>
    <font>
      <sz val="10"/>
      <color indexed="9"/>
      <name val="Arial"/>
      <family val="0"/>
    </font>
    <font>
      <u val="single"/>
      <sz val="8"/>
      <name val="Verdana"/>
      <family val="2"/>
    </font>
    <font>
      <b/>
      <sz val="7.5"/>
      <name val="Verdana"/>
      <family val="2"/>
    </font>
  </fonts>
  <fills count="7">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9"/>
        <bgColor indexed="64"/>
      </patternFill>
    </fill>
    <fill>
      <patternFill patternType="solid">
        <fgColor indexed="42"/>
        <bgColor indexed="64"/>
      </patternFill>
    </fill>
  </fills>
  <borders count="30">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style="hair"/>
      <right style="hair"/>
      <top style="hair"/>
      <bottom style="hair"/>
    </border>
    <border>
      <left style="hair"/>
      <right style="hair"/>
      <top style="hair"/>
      <bottom>
        <color indexed="63"/>
      </bottom>
    </border>
    <border>
      <left style="hair"/>
      <right>
        <color indexed="63"/>
      </right>
      <top style="hair"/>
      <bottom style="hair"/>
    </border>
    <border>
      <left style="thin"/>
      <right>
        <color indexed="63"/>
      </right>
      <top style="thin"/>
      <bottom style="thin"/>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style="hair"/>
      <bottom>
        <color indexed="63"/>
      </bottom>
    </border>
    <border>
      <left style="hair"/>
      <right style="hair"/>
      <top>
        <color indexed="63"/>
      </top>
      <bottom>
        <color indexed="63"/>
      </bottom>
    </border>
    <border>
      <left>
        <color indexed="63"/>
      </left>
      <right>
        <color indexed="63"/>
      </right>
      <top style="thin"/>
      <bottom style="hair"/>
    </border>
    <border>
      <left style="hair"/>
      <right>
        <color indexed="63"/>
      </right>
      <top style="thin"/>
      <bottom style="hair"/>
    </border>
    <border>
      <left style="hair"/>
      <right>
        <color indexed="63"/>
      </right>
      <top>
        <color indexed="63"/>
      </top>
      <bottom style="hair"/>
    </border>
    <border>
      <left style="hair"/>
      <right>
        <color indexed="63"/>
      </right>
      <top style="hair"/>
      <bottom style="thin"/>
    </border>
    <border>
      <left>
        <color indexed="63"/>
      </left>
      <right>
        <color indexed="63"/>
      </right>
      <top style="hair"/>
      <bottom style="thin"/>
    </border>
    <border>
      <left>
        <color indexed="63"/>
      </left>
      <right style="hair"/>
      <top style="thin"/>
      <bottom style="hair"/>
    </border>
    <border>
      <left style="hair"/>
      <right style="hair"/>
      <top style="hair"/>
      <bottom style="thin"/>
    </border>
    <border>
      <left style="hair"/>
      <right style="hair"/>
      <top style="thin"/>
      <bottom style="hair"/>
    </border>
    <border>
      <left style="medium"/>
      <right style="medium"/>
      <top style="medium"/>
      <bottom style="medium"/>
    </border>
  </borders>
  <cellStyleXfs count="54">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3" fillId="0" borderId="1">
      <alignment/>
      <protection/>
    </xf>
    <xf numFmtId="44"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Protection="0">
      <alignment/>
    </xf>
    <xf numFmtId="0" fontId="4" fillId="2" borderId="1">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3" fillId="0" borderId="0">
      <alignment/>
      <protection/>
    </xf>
    <xf numFmtId="0" fontId="0" fillId="0" borderId="0" applyFill="0" applyBorder="0">
      <alignment/>
      <protection/>
    </xf>
    <xf numFmtId="0" fontId="0" fillId="0" borderId="0" applyFill="0" applyBorder="0">
      <alignment/>
      <protection/>
    </xf>
    <xf numFmtId="0" fontId="0" fillId="0" borderId="0">
      <alignment/>
      <protection/>
    </xf>
    <xf numFmtId="0" fontId="1" fillId="0" borderId="0">
      <alignment/>
      <protection/>
    </xf>
    <xf numFmtId="0" fontId="0" fillId="0" borderId="0">
      <alignment/>
      <protection/>
    </xf>
    <xf numFmtId="0" fontId="0" fillId="0" borderId="0" applyFill="0" applyBorder="0">
      <alignment/>
      <protection/>
    </xf>
    <xf numFmtId="0" fontId="21" fillId="0" borderId="0">
      <alignment/>
      <protection/>
    </xf>
    <xf numFmtId="186" fontId="1" fillId="0" borderId="2" applyFill="0" applyBorder="0">
      <alignment/>
      <protection/>
    </xf>
    <xf numFmtId="191" fontId="1" fillId="0" borderId="2" applyFill="0" applyBorder="0">
      <alignment/>
      <protection/>
    </xf>
    <xf numFmtId="189" fontId="1" fillId="0" borderId="2" applyFill="0" applyBorder="0">
      <alignment/>
      <protection/>
    </xf>
    <xf numFmtId="186" fontId="2" fillId="3" borderId="3">
      <alignment/>
      <protection/>
    </xf>
    <xf numFmtId="189" fontId="2" fillId="3" borderId="3">
      <alignment/>
      <protection/>
    </xf>
    <xf numFmtId="186" fontId="2" fillId="3" borderId="3">
      <alignment/>
      <protection/>
    </xf>
    <xf numFmtId="186" fontId="1" fillId="0" borderId="2" applyFill="0" applyBorder="0">
      <alignment/>
      <protection/>
    </xf>
    <xf numFmtId="186" fontId="1" fillId="0" borderId="2" applyFill="0" applyBorder="0">
      <alignment/>
      <protection/>
    </xf>
    <xf numFmtId="0" fontId="3" fillId="0" borderId="1">
      <alignment/>
      <protection/>
    </xf>
    <xf numFmtId="0" fontId="5" fillId="4" borderId="0">
      <alignment/>
      <protection/>
    </xf>
    <xf numFmtId="0" fontId="4" fillId="0" borderId="4">
      <alignment/>
      <protection/>
    </xf>
    <xf numFmtId="0" fontId="4" fillId="0" borderId="1">
      <alignment/>
      <protection/>
    </xf>
    <xf numFmtId="179" fontId="0" fillId="0" borderId="0" applyFont="0" applyFill="0" applyBorder="0" applyAlignment="0" applyProtection="0"/>
    <xf numFmtId="178" fontId="0" fillId="0" borderId="0" applyFont="0" applyFill="0" applyBorder="0" applyAlignment="0" applyProtection="0"/>
  </cellStyleXfs>
  <cellXfs count="663">
    <xf numFmtId="0" fontId="0" fillId="0" borderId="0" xfId="0" applyAlignment="1">
      <alignment/>
    </xf>
    <xf numFmtId="0" fontId="9" fillId="0" borderId="0" xfId="0" applyNumberFormat="1" applyFont="1" applyAlignment="1" applyProtection="1">
      <alignment/>
      <protection/>
    </xf>
    <xf numFmtId="0" fontId="10" fillId="0" borderId="0" xfId="0" applyFont="1" applyAlignment="1" applyProtection="1">
      <alignment horizontal="left"/>
      <protection/>
    </xf>
    <xf numFmtId="0" fontId="10" fillId="0" borderId="0" xfId="0" applyFont="1" applyAlignment="1" applyProtection="1">
      <alignment/>
      <protection/>
    </xf>
    <xf numFmtId="0" fontId="9" fillId="0" borderId="0" xfId="0" applyFont="1" applyBorder="1" applyAlignment="1" applyProtection="1">
      <alignment/>
      <protection/>
    </xf>
    <xf numFmtId="0" fontId="10" fillId="0" borderId="0" xfId="0" applyFont="1" applyAlignment="1" applyProtection="1">
      <alignment/>
      <protection/>
    </xf>
    <xf numFmtId="0" fontId="10" fillId="0" borderId="0" xfId="0" applyFont="1" applyBorder="1" applyAlignment="1" applyProtection="1">
      <alignment/>
      <protection/>
    </xf>
    <xf numFmtId="0" fontId="10" fillId="0" borderId="0" xfId="0" applyFont="1" applyAlignment="1" applyProtection="1">
      <alignment vertical="center"/>
      <protection/>
    </xf>
    <xf numFmtId="0" fontId="9" fillId="0" borderId="0" xfId="0" applyNumberFormat="1" applyFont="1" applyAlignment="1" applyProtection="1">
      <alignment horizontal="justify"/>
      <protection/>
    </xf>
    <xf numFmtId="0" fontId="10" fillId="0" borderId="0" xfId="0" applyFont="1" applyAlignment="1" applyProtection="1">
      <alignment horizontal="justify"/>
      <protection/>
    </xf>
    <xf numFmtId="0" fontId="9" fillId="0" borderId="0" xfId="0" applyFont="1" applyBorder="1" applyAlignment="1" applyProtection="1">
      <alignment horizontal="justify"/>
      <protection/>
    </xf>
    <xf numFmtId="183" fontId="10" fillId="0" borderId="0" xfId="0" applyNumberFormat="1" applyFont="1" applyAlignment="1" applyProtection="1">
      <alignment/>
      <protection/>
    </xf>
    <xf numFmtId="49" fontId="10" fillId="0" borderId="0" xfId="0" applyNumberFormat="1" applyFont="1" applyAlignment="1" applyProtection="1">
      <alignment horizontal="right"/>
      <protection/>
    </xf>
    <xf numFmtId="49" fontId="9" fillId="0" borderId="0" xfId="0" applyNumberFormat="1" applyFont="1" applyAlignment="1" applyProtection="1">
      <alignment horizontal="right"/>
      <protection/>
    </xf>
    <xf numFmtId="0" fontId="9" fillId="0" borderId="0" xfId="0" applyFont="1" applyAlignment="1" applyProtection="1">
      <alignment/>
      <protection/>
    </xf>
    <xf numFmtId="0" fontId="9" fillId="0" borderId="0" xfId="0" applyNumberFormat="1" applyFont="1" applyBorder="1" applyAlignment="1" applyProtection="1">
      <alignment horizontal="left"/>
      <protection/>
    </xf>
    <xf numFmtId="0" fontId="10" fillId="0" borderId="0" xfId="0" applyFont="1" applyBorder="1" applyAlignment="1" applyProtection="1">
      <alignment horizontal="justify"/>
      <protection/>
    </xf>
    <xf numFmtId="0" fontId="10" fillId="0" borderId="0" xfId="0" applyNumberFormat="1" applyFont="1" applyAlignment="1" applyProtection="1">
      <alignment/>
      <protection/>
    </xf>
    <xf numFmtId="37" fontId="10" fillId="0" borderId="0" xfId="0" applyNumberFormat="1" applyFont="1" applyAlignment="1" applyProtection="1">
      <alignment horizontal="justify"/>
      <protection/>
    </xf>
    <xf numFmtId="37" fontId="9" fillId="0" borderId="0" xfId="0" applyNumberFormat="1" applyFont="1" applyAlignment="1" applyProtection="1">
      <alignment/>
      <protection/>
    </xf>
    <xf numFmtId="0" fontId="10" fillId="0" borderId="0" xfId="0" applyFont="1" applyAlignment="1" applyProtection="1">
      <alignment wrapText="1"/>
      <protection/>
    </xf>
    <xf numFmtId="0" fontId="10" fillId="0" borderId="0" xfId="0" applyFont="1" applyAlignment="1" applyProtection="1">
      <alignment/>
      <protection hidden="1"/>
    </xf>
    <xf numFmtId="183" fontId="10" fillId="0" borderId="0" xfId="0" applyNumberFormat="1" applyFont="1" applyAlignment="1" applyProtection="1">
      <alignment horizontal="justify"/>
      <protection/>
    </xf>
    <xf numFmtId="0" fontId="10" fillId="0" borderId="0" xfId="0" applyFont="1" applyBorder="1" applyAlignment="1" applyProtection="1">
      <alignment/>
      <protection/>
    </xf>
    <xf numFmtId="0" fontId="9" fillId="0" borderId="0" xfId="0" applyFont="1" applyAlignment="1" applyProtection="1">
      <alignment/>
      <protection/>
    </xf>
    <xf numFmtId="0" fontId="9" fillId="0" borderId="5" xfId="37" applyFont="1" applyFill="1" applyBorder="1" applyAlignment="1" applyProtection="1">
      <alignment horizontal="center" vertical="center"/>
      <protection/>
    </xf>
    <xf numFmtId="0" fontId="9" fillId="0" borderId="6" xfId="37" applyFont="1" applyFill="1" applyBorder="1" applyAlignment="1" applyProtection="1">
      <alignment horizontal="center" vertical="center"/>
      <protection/>
    </xf>
    <xf numFmtId="0" fontId="10" fillId="0" borderId="7" xfId="37" applyFont="1" applyFill="1" applyBorder="1" applyAlignment="1" applyProtection="1">
      <alignment vertical="center"/>
      <protection/>
    </xf>
    <xf numFmtId="0" fontId="9" fillId="0" borderId="8" xfId="0" applyFont="1" applyBorder="1" applyAlignment="1" applyProtection="1">
      <alignment vertical="top"/>
      <protection/>
    </xf>
    <xf numFmtId="0" fontId="10" fillId="0" borderId="0" xfId="0" applyFont="1" applyFill="1" applyAlignment="1" applyProtection="1">
      <alignment/>
      <protection/>
    </xf>
    <xf numFmtId="186" fontId="9" fillId="3" borderId="5" xfId="43" applyFont="1" applyBorder="1" applyProtection="1">
      <alignment/>
      <protection/>
    </xf>
    <xf numFmtId="0" fontId="10" fillId="0" borderId="9" xfId="0" applyFont="1" applyFill="1" applyBorder="1" applyAlignment="1" applyProtection="1">
      <alignment/>
      <protection/>
    </xf>
    <xf numFmtId="0" fontId="10" fillId="0" borderId="0" xfId="0" applyFont="1" applyFill="1" applyAlignment="1" applyProtection="1">
      <alignment/>
      <protection/>
    </xf>
    <xf numFmtId="0" fontId="9" fillId="0" borderId="0" xfId="0" applyNumberFormat="1" applyFont="1" applyAlignment="1" applyProtection="1">
      <alignment/>
      <protection/>
    </xf>
    <xf numFmtId="184" fontId="9" fillId="3" borderId="5" xfId="43" applyNumberFormat="1" applyFont="1" applyBorder="1" applyProtection="1">
      <alignment/>
      <protection/>
    </xf>
    <xf numFmtId="0" fontId="10" fillId="0" borderId="0" xfId="0" applyFont="1" applyFill="1" applyAlignment="1" applyProtection="1">
      <alignment vertical="center"/>
      <protection/>
    </xf>
    <xf numFmtId="0" fontId="10" fillId="3" borderId="9" xfId="0" applyFont="1" applyFill="1" applyBorder="1" applyAlignment="1" applyProtection="1">
      <alignment/>
      <protection/>
    </xf>
    <xf numFmtId="0" fontId="10" fillId="3" borderId="10" xfId="0" applyFont="1" applyFill="1" applyBorder="1" applyAlignment="1" applyProtection="1">
      <alignment/>
      <protection/>
    </xf>
    <xf numFmtId="184" fontId="9" fillId="5" borderId="0" xfId="43" applyNumberFormat="1" applyFont="1" applyFill="1" applyBorder="1" applyAlignment="1" applyProtection="1">
      <alignment/>
      <protection/>
    </xf>
    <xf numFmtId="186" fontId="10" fillId="0" borderId="5" xfId="40" applyFont="1" applyBorder="1" applyProtection="1">
      <alignment/>
      <protection/>
    </xf>
    <xf numFmtId="0" fontId="9" fillId="3" borderId="9" xfId="0" applyFont="1" applyFill="1" applyBorder="1" applyAlignment="1" applyProtection="1">
      <alignment/>
      <protection/>
    </xf>
    <xf numFmtId="0" fontId="9" fillId="3" borderId="10" xfId="0" applyFont="1" applyFill="1" applyBorder="1" applyAlignment="1" applyProtection="1">
      <alignment/>
      <protection/>
    </xf>
    <xf numFmtId="186" fontId="10" fillId="0" borderId="10" xfId="40" applyFont="1" applyFill="1" applyBorder="1" applyProtection="1">
      <alignment/>
      <protection locked="0"/>
    </xf>
    <xf numFmtId="0" fontId="10" fillId="0" borderId="9" xfId="0" applyFont="1" applyBorder="1" applyAlignment="1" applyProtection="1">
      <alignment/>
      <protection/>
    </xf>
    <xf numFmtId="49" fontId="10" fillId="0" borderId="0" xfId="0" applyNumberFormat="1" applyFont="1" applyBorder="1" applyAlignment="1" applyProtection="1">
      <alignment horizontal="center"/>
      <protection/>
    </xf>
    <xf numFmtId="37" fontId="10" fillId="0" borderId="0" xfId="0" applyNumberFormat="1" applyFont="1" applyBorder="1" applyAlignment="1" applyProtection="1">
      <alignment/>
      <protection/>
    </xf>
    <xf numFmtId="0" fontId="10" fillId="0" borderId="0" xfId="0" applyFont="1" applyFill="1" applyBorder="1" applyAlignment="1" applyProtection="1">
      <alignment/>
      <protection/>
    </xf>
    <xf numFmtId="0" fontId="9" fillId="0" borderId="0" xfId="0" applyFont="1" applyFill="1" applyBorder="1" applyAlignment="1" applyProtection="1">
      <alignment/>
      <protection/>
    </xf>
    <xf numFmtId="49" fontId="10" fillId="0" borderId="11" xfId="0" applyNumberFormat="1" applyFont="1" applyBorder="1" applyAlignment="1" applyProtection="1">
      <alignment horizontal="center"/>
      <protection/>
    </xf>
    <xf numFmtId="0" fontId="10" fillId="0" borderId="12" xfId="0" applyFont="1" applyBorder="1" applyAlignment="1" applyProtection="1">
      <alignment/>
      <protection/>
    </xf>
    <xf numFmtId="10" fontId="10" fillId="0" borderId="5" xfId="0" applyNumberFormat="1" applyFont="1" applyBorder="1" applyAlignment="1" applyProtection="1">
      <alignment horizontal="center"/>
      <protection/>
    </xf>
    <xf numFmtId="0" fontId="10" fillId="0" borderId="7" xfId="0" applyFont="1" applyBorder="1" applyAlignment="1" applyProtection="1">
      <alignment/>
      <protection/>
    </xf>
    <xf numFmtId="49" fontId="10" fillId="0" borderId="9" xfId="0" applyNumberFormat="1" applyFont="1" applyBorder="1" applyAlignment="1" applyProtection="1">
      <alignment horizontal="center"/>
      <protection/>
    </xf>
    <xf numFmtId="0" fontId="10" fillId="0" borderId="10" xfId="0" applyFont="1" applyBorder="1" applyAlignment="1" applyProtection="1">
      <alignment/>
      <protection/>
    </xf>
    <xf numFmtId="180" fontId="10" fillId="0" borderId="5" xfId="0" applyNumberFormat="1" applyFont="1" applyBorder="1" applyAlignment="1" applyProtection="1">
      <alignment horizontal="center"/>
      <protection/>
    </xf>
    <xf numFmtId="186" fontId="9" fillId="5" borderId="5" xfId="43" applyFont="1" applyFill="1" applyBorder="1" applyProtection="1">
      <alignment/>
      <protection/>
    </xf>
    <xf numFmtId="184" fontId="14" fillId="5" borderId="5" xfId="43" applyNumberFormat="1" applyFont="1" applyFill="1" applyBorder="1" applyAlignment="1" applyProtection="1">
      <alignment/>
      <protection/>
    </xf>
    <xf numFmtId="181" fontId="10" fillId="0" borderId="5" xfId="0" applyNumberFormat="1" applyFont="1" applyFill="1" applyBorder="1" applyAlignment="1" applyProtection="1">
      <alignment horizontal="center"/>
      <protection/>
    </xf>
    <xf numFmtId="181" fontId="10" fillId="0" borderId="6" xfId="0" applyNumberFormat="1" applyFont="1" applyFill="1" applyBorder="1" applyAlignment="1" applyProtection="1">
      <alignment horizontal="center"/>
      <protection/>
    </xf>
    <xf numFmtId="37" fontId="9" fillId="0" borderId="0" xfId="0" applyNumberFormat="1" applyFont="1" applyBorder="1" applyAlignment="1" applyProtection="1">
      <alignment horizontal="right" vertical="top"/>
      <protection/>
    </xf>
    <xf numFmtId="0" fontId="10" fillId="0" borderId="0" xfId="0" applyFont="1" applyAlignment="1" applyProtection="1">
      <alignment horizontal="center" vertical="center"/>
      <protection/>
    </xf>
    <xf numFmtId="0" fontId="10" fillId="0" borderId="0" xfId="0" applyFont="1" applyAlignment="1" applyProtection="1">
      <alignment horizontal="right" vertical="center"/>
      <protection/>
    </xf>
    <xf numFmtId="3" fontId="10" fillId="0" borderId="5" xfId="40" applyNumberFormat="1" applyFont="1" applyFill="1" applyBorder="1" applyProtection="1">
      <alignment/>
      <protection locked="0"/>
    </xf>
    <xf numFmtId="184" fontId="10" fillId="0" borderId="0" xfId="0" applyNumberFormat="1" applyFont="1" applyAlignment="1" applyProtection="1">
      <alignment/>
      <protection/>
    </xf>
    <xf numFmtId="0" fontId="9" fillId="3" borderId="9" xfId="0" applyFont="1" applyFill="1" applyBorder="1" applyAlignment="1" applyProtection="1">
      <alignment horizontal="left"/>
      <protection/>
    </xf>
    <xf numFmtId="184" fontId="9" fillId="0" borderId="0" xfId="0" applyNumberFormat="1" applyFont="1" applyAlignment="1" applyProtection="1">
      <alignment/>
      <protection/>
    </xf>
    <xf numFmtId="186" fontId="10" fillId="0" borderId="11" xfId="40" applyFont="1" applyFill="1" applyBorder="1" applyAlignment="1" applyProtection="1">
      <alignment horizontal="right"/>
      <protection/>
    </xf>
    <xf numFmtId="186" fontId="10" fillId="0" borderId="12" xfId="40" applyFont="1" applyFill="1" applyBorder="1" applyAlignment="1" applyProtection="1">
      <alignment horizontal="right"/>
      <protection/>
    </xf>
    <xf numFmtId="184" fontId="10" fillId="0" borderId="12" xfId="40" applyNumberFormat="1" applyFont="1" applyFill="1" applyBorder="1" applyAlignment="1" applyProtection="1">
      <alignment horizontal="right"/>
      <protection/>
    </xf>
    <xf numFmtId="184" fontId="10" fillId="0" borderId="13" xfId="40" applyNumberFormat="1" applyFont="1" applyFill="1" applyBorder="1" applyProtection="1">
      <alignment/>
      <protection/>
    </xf>
    <xf numFmtId="186" fontId="10" fillId="3" borderId="7" xfId="40" applyFont="1" applyFill="1" applyBorder="1" applyAlignment="1" applyProtection="1">
      <alignment horizontal="right"/>
      <protection/>
    </xf>
    <xf numFmtId="186" fontId="10" fillId="3" borderId="9" xfId="40" applyFont="1" applyFill="1" applyBorder="1" applyAlignment="1" applyProtection="1">
      <alignment horizontal="right"/>
      <protection/>
    </xf>
    <xf numFmtId="186" fontId="10" fillId="3" borderId="10" xfId="40" applyFont="1" applyFill="1" applyBorder="1" applyAlignment="1" applyProtection="1">
      <alignment horizontal="right"/>
      <protection/>
    </xf>
    <xf numFmtId="0" fontId="10" fillId="0" borderId="7" xfId="0" applyFont="1" applyFill="1" applyBorder="1" applyAlignment="1" applyProtection="1">
      <alignment/>
      <protection/>
    </xf>
    <xf numFmtId="0" fontId="10" fillId="0" borderId="9" xfId="0" applyFont="1" applyFill="1" applyBorder="1" applyAlignment="1" applyProtection="1">
      <alignment/>
      <protection/>
    </xf>
    <xf numFmtId="0" fontId="10" fillId="0" borderId="9" xfId="0" applyFont="1" applyFill="1" applyBorder="1" applyAlignment="1" applyProtection="1">
      <alignment horizontal="left"/>
      <protection/>
    </xf>
    <xf numFmtId="3" fontId="10" fillId="0" borderId="5" xfId="0" applyNumberFormat="1" applyFont="1" applyFill="1" applyBorder="1" applyAlignment="1" applyProtection="1">
      <alignment/>
      <protection/>
    </xf>
    <xf numFmtId="37" fontId="10" fillId="0" borderId="0" xfId="0" applyNumberFormat="1" applyFont="1" applyAlignment="1" applyProtection="1">
      <alignment/>
      <protection/>
    </xf>
    <xf numFmtId="37" fontId="10" fillId="0" borderId="0" xfId="0" applyNumberFormat="1" applyFont="1" applyFill="1" applyAlignment="1" applyProtection="1">
      <alignment vertical="center"/>
      <protection/>
    </xf>
    <xf numFmtId="0" fontId="10" fillId="0" borderId="11" xfId="0" applyFont="1" applyFill="1" applyBorder="1" applyAlignment="1" applyProtection="1">
      <alignment/>
      <protection/>
    </xf>
    <xf numFmtId="0" fontId="10" fillId="0" borderId="12" xfId="0" applyFont="1" applyFill="1" applyBorder="1" applyAlignment="1" applyProtection="1">
      <alignment/>
      <protection/>
    </xf>
    <xf numFmtId="0" fontId="10" fillId="0" borderId="14" xfId="0" applyFont="1" applyFill="1" applyBorder="1" applyAlignment="1" applyProtection="1">
      <alignment/>
      <protection/>
    </xf>
    <xf numFmtId="0" fontId="10" fillId="0" borderId="15" xfId="0" applyFont="1" applyFill="1" applyBorder="1" applyAlignment="1" applyProtection="1">
      <alignment/>
      <protection/>
    </xf>
    <xf numFmtId="0" fontId="15" fillId="5" borderId="0" xfId="0" applyFont="1" applyFill="1" applyBorder="1" applyAlignment="1" applyProtection="1">
      <alignment horizontal="left"/>
      <protection/>
    </xf>
    <xf numFmtId="184" fontId="15" fillId="5" borderId="0" xfId="0" applyNumberFormat="1" applyFont="1" applyFill="1" applyBorder="1" applyAlignment="1" applyProtection="1">
      <alignment horizontal="left"/>
      <protection/>
    </xf>
    <xf numFmtId="184" fontId="15" fillId="5" borderId="0" xfId="43" applyNumberFormat="1" applyFont="1" applyFill="1" applyBorder="1" applyProtection="1">
      <alignment/>
      <protection/>
    </xf>
    <xf numFmtId="0" fontId="10" fillId="0" borderId="11" xfId="0" applyFont="1" applyBorder="1" applyAlignment="1" applyProtection="1">
      <alignment/>
      <protection/>
    </xf>
    <xf numFmtId="0" fontId="10" fillId="0" borderId="16" xfId="0" applyFont="1" applyFill="1" applyBorder="1" applyAlignment="1" applyProtection="1">
      <alignment/>
      <protection/>
    </xf>
    <xf numFmtId="0" fontId="9" fillId="0" borderId="0" xfId="37" applyFont="1" applyFill="1" applyBorder="1" applyAlignment="1" applyProtection="1">
      <alignment horizontal="center" vertical="center"/>
      <protection/>
    </xf>
    <xf numFmtId="37" fontId="10" fillId="0" borderId="9" xfId="0" applyNumberFormat="1" applyFont="1" applyFill="1" applyBorder="1" applyAlignment="1" applyProtection="1">
      <alignment horizontal="left" vertical="center"/>
      <protection/>
    </xf>
    <xf numFmtId="0" fontId="9" fillId="0" borderId="0" xfId="0" applyNumberFormat="1" applyFont="1" applyAlignment="1" applyProtection="1">
      <alignment horizontal="center"/>
      <protection/>
    </xf>
    <xf numFmtId="0" fontId="10" fillId="0" borderId="0" xfId="0" applyFont="1" applyAlignment="1" applyProtection="1">
      <alignment horizontal="center"/>
      <protection/>
    </xf>
    <xf numFmtId="49" fontId="12" fillId="0" borderId="0" xfId="0" applyNumberFormat="1" applyFont="1" applyFill="1" applyBorder="1" applyAlignment="1" applyProtection="1">
      <alignment horizontal="center"/>
      <protection locked="0"/>
    </xf>
    <xf numFmtId="0" fontId="17" fillId="0" borderId="0" xfId="0" applyFont="1" applyFill="1" applyBorder="1" applyAlignment="1" applyProtection="1">
      <alignment horizontal="right"/>
      <protection/>
    </xf>
    <xf numFmtId="0" fontId="9" fillId="0" borderId="0" xfId="0" applyFont="1" applyFill="1" applyAlignment="1" applyProtection="1">
      <alignment horizontal="left"/>
      <protection/>
    </xf>
    <xf numFmtId="0" fontId="9" fillId="0" borderId="0" xfId="0" applyFont="1" applyFill="1" applyBorder="1" applyAlignment="1" applyProtection="1">
      <alignment horizontal="left" vertical="center"/>
      <protection/>
    </xf>
    <xf numFmtId="3" fontId="9" fillId="0" borderId="0" xfId="34" applyNumberFormat="1" applyFont="1" applyFill="1" applyBorder="1" applyAlignment="1" applyProtection="1">
      <alignment horizontal="center" vertical="center"/>
      <protection/>
    </xf>
    <xf numFmtId="194" fontId="10" fillId="0" borderId="5" xfId="0" applyNumberFormat="1" applyFont="1" applyFill="1" applyBorder="1" applyAlignment="1" applyProtection="1">
      <alignment vertical="center"/>
      <protection/>
    </xf>
    <xf numFmtId="0" fontId="10" fillId="0" borderId="0" xfId="0" applyFont="1" applyFill="1" applyBorder="1" applyAlignment="1" applyProtection="1" quotePrefix="1">
      <alignment horizontal="left" vertical="center"/>
      <protection/>
    </xf>
    <xf numFmtId="0" fontId="10" fillId="0" borderId="0" xfId="0" applyFont="1" applyFill="1" applyBorder="1" applyAlignment="1" applyProtection="1">
      <alignment horizontal="left" vertical="center"/>
      <protection/>
    </xf>
    <xf numFmtId="0" fontId="10"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left"/>
      <protection/>
    </xf>
    <xf numFmtId="0" fontId="10" fillId="0" borderId="9" xfId="0" applyFont="1" applyFill="1" applyBorder="1" applyAlignment="1" applyProtection="1">
      <alignment vertical="center"/>
      <protection/>
    </xf>
    <xf numFmtId="0" fontId="10" fillId="2" borderId="0" xfId="33" applyFont="1" applyFill="1" applyProtection="1">
      <alignment/>
      <protection/>
    </xf>
    <xf numFmtId="0" fontId="10" fillId="2" borderId="0" xfId="33" applyFont="1" applyFill="1" applyAlignment="1" applyProtection="1">
      <alignment/>
      <protection/>
    </xf>
    <xf numFmtId="44" fontId="10" fillId="0" borderId="0" xfId="0" applyNumberFormat="1" applyFont="1" applyFill="1" applyBorder="1" applyAlignment="1" applyProtection="1">
      <alignment/>
      <protection/>
    </xf>
    <xf numFmtId="0" fontId="10" fillId="0" borderId="10" xfId="0" applyFont="1" applyFill="1" applyBorder="1" applyAlignment="1" applyProtection="1">
      <alignment/>
      <protection/>
    </xf>
    <xf numFmtId="195" fontId="9" fillId="0" borderId="0" xfId="0" applyNumberFormat="1" applyFont="1" applyFill="1" applyBorder="1" applyAlignment="1" applyProtection="1">
      <alignment horizontal="right" vertical="center"/>
      <protection/>
    </xf>
    <xf numFmtId="196" fontId="9" fillId="0" borderId="0" xfId="34" applyNumberFormat="1" applyFont="1" applyFill="1" applyBorder="1" applyAlignment="1" applyProtection="1">
      <alignment horizontal="center" vertical="center"/>
      <protection/>
    </xf>
    <xf numFmtId="0" fontId="9" fillId="0" borderId="0" xfId="34" applyFont="1" applyFill="1" applyBorder="1" applyAlignment="1" applyProtection="1">
      <alignment horizontal="center" vertical="center"/>
      <protection/>
    </xf>
    <xf numFmtId="3" fontId="10" fillId="0" borderId="0" xfId="34" applyNumberFormat="1" applyFont="1" applyFill="1" applyBorder="1" applyAlignment="1" applyProtection="1">
      <alignment horizontal="center" vertical="center"/>
      <protection/>
    </xf>
    <xf numFmtId="0" fontId="9" fillId="0" borderId="0" xfId="34" applyFont="1" applyFill="1" applyAlignment="1" applyProtection="1">
      <alignment horizontal="left" vertical="center"/>
      <protection/>
    </xf>
    <xf numFmtId="0" fontId="10" fillId="0" borderId="0" xfId="34" applyFont="1" applyFill="1" applyAlignment="1" applyProtection="1">
      <alignment horizontal="center" vertical="center"/>
      <protection/>
    </xf>
    <xf numFmtId="194" fontId="23" fillId="0" borderId="5" xfId="0" applyNumberFormat="1" applyFont="1" applyFill="1" applyBorder="1" applyAlignment="1" applyProtection="1">
      <alignment vertical="center"/>
      <protection/>
    </xf>
    <xf numFmtId="0" fontId="10" fillId="0" borderId="11" xfId="0" applyFont="1" applyFill="1" applyBorder="1" applyAlignment="1" applyProtection="1">
      <alignment/>
      <protection/>
    </xf>
    <xf numFmtId="0" fontId="9" fillId="0" borderId="17" xfId="0" applyFont="1" applyFill="1" applyBorder="1" applyAlignment="1" applyProtection="1">
      <alignment horizontal="center" vertical="center"/>
      <protection/>
    </xf>
    <xf numFmtId="0" fontId="9" fillId="0" borderId="0" xfId="0" applyFont="1" applyFill="1" applyBorder="1" applyAlignment="1" applyProtection="1">
      <alignment vertical="center"/>
      <protection/>
    </xf>
    <xf numFmtId="0" fontId="10" fillId="0" borderId="7" xfId="0" applyFont="1" applyFill="1" applyBorder="1" applyAlignment="1" applyProtection="1">
      <alignment vertical="center"/>
      <protection/>
    </xf>
    <xf numFmtId="194" fontId="10" fillId="0" borderId="5" xfId="52" applyNumberFormat="1" applyFont="1" applyFill="1" applyBorder="1" applyAlignment="1" applyProtection="1">
      <alignment horizontal="center" vertical="center"/>
      <protection/>
    </xf>
    <xf numFmtId="197" fontId="9" fillId="0" borderId="0" xfId="34" applyNumberFormat="1" applyFont="1" applyFill="1" applyBorder="1" applyAlignment="1" applyProtection="1">
      <alignment horizontal="center" vertical="center"/>
      <protection/>
    </xf>
    <xf numFmtId="169" fontId="10" fillId="0" borderId="6" xfId="0" applyNumberFormat="1" applyFont="1" applyFill="1" applyBorder="1" applyAlignment="1" applyProtection="1">
      <alignment/>
      <protection/>
    </xf>
    <xf numFmtId="0" fontId="23" fillId="0" borderId="7" xfId="0" applyFont="1" applyFill="1" applyBorder="1" applyAlignment="1" applyProtection="1">
      <alignment horizontal="left" vertical="center"/>
      <protection/>
    </xf>
    <xf numFmtId="4" fontId="10" fillId="0" borderId="5" xfId="47" applyNumberFormat="1" applyFont="1" applyFill="1" applyBorder="1" applyAlignment="1" applyProtection="1">
      <alignment horizontal="center"/>
      <protection/>
    </xf>
    <xf numFmtId="3" fontId="10" fillId="0" borderId="9" xfId="0" applyNumberFormat="1" applyFont="1" applyFill="1" applyBorder="1" applyAlignment="1" applyProtection="1">
      <alignment vertical="center"/>
      <protection/>
    </xf>
    <xf numFmtId="0" fontId="10" fillId="0" borderId="0" xfId="0" applyFont="1" applyFill="1" applyBorder="1" applyAlignment="1" applyProtection="1">
      <alignment horizontal="center"/>
      <protection/>
    </xf>
    <xf numFmtId="3" fontId="10" fillId="0" borderId="0" xfId="0" applyNumberFormat="1" applyFont="1" applyFill="1" applyBorder="1" applyAlignment="1" applyProtection="1">
      <alignment/>
      <protection/>
    </xf>
    <xf numFmtId="3" fontId="10" fillId="0" borderId="0" xfId="20" applyNumberFormat="1" applyFont="1" applyFill="1" applyBorder="1" applyAlignment="1" applyProtection="1">
      <alignment/>
      <protection/>
    </xf>
    <xf numFmtId="43" fontId="10" fillId="0" borderId="0" xfId="20" applyNumberFormat="1" applyFont="1" applyFill="1" applyBorder="1" applyAlignment="1" applyProtection="1">
      <alignment/>
      <protection/>
    </xf>
    <xf numFmtId="188" fontId="10" fillId="0" borderId="0" xfId="0" applyNumberFormat="1" applyFont="1" applyFill="1" applyBorder="1" applyAlignment="1" applyProtection="1">
      <alignment/>
      <protection/>
    </xf>
    <xf numFmtId="0" fontId="9" fillId="0" borderId="0" xfId="0" applyFont="1" applyFill="1" applyBorder="1" applyAlignment="1" applyProtection="1">
      <alignment horizontal="center"/>
      <protection/>
    </xf>
    <xf numFmtId="3" fontId="10" fillId="0" borderId="0" xfId="0" applyNumberFormat="1" applyFont="1" applyFill="1" applyBorder="1" applyAlignment="1" applyProtection="1">
      <alignment/>
      <protection/>
    </xf>
    <xf numFmtId="41" fontId="9" fillId="0" borderId="0" xfId="0" applyNumberFormat="1" applyFont="1" applyFill="1" applyBorder="1" applyAlignment="1" applyProtection="1">
      <alignment/>
      <protection/>
    </xf>
    <xf numFmtId="0" fontId="11" fillId="0" borderId="0" xfId="0" applyFont="1" applyFill="1" applyBorder="1" applyAlignment="1" applyProtection="1">
      <alignment horizontal="center"/>
      <protection/>
    </xf>
    <xf numFmtId="0" fontId="10" fillId="0" borderId="0" xfId="0" applyFont="1" applyFill="1" applyBorder="1" applyAlignment="1" applyProtection="1">
      <alignment/>
      <protection/>
    </xf>
    <xf numFmtId="0" fontId="10" fillId="0" borderId="0" xfId="0" applyFont="1" applyFill="1" applyAlignment="1" applyProtection="1">
      <alignment horizontal="left"/>
      <protection/>
    </xf>
    <xf numFmtId="0" fontId="9" fillId="0" borderId="0" xfId="0" applyFont="1" applyAlignment="1" applyProtection="1">
      <alignment horizontal="justify"/>
      <protection/>
    </xf>
    <xf numFmtId="37" fontId="10" fillId="2" borderId="5" xfId="33" applyNumberFormat="1" applyFont="1" applyFill="1" applyBorder="1" applyAlignment="1" applyProtection="1">
      <alignment horizontal="center"/>
      <protection/>
    </xf>
    <xf numFmtId="0" fontId="9" fillId="0" borderId="0" xfId="36" applyFont="1" applyAlignment="1" applyProtection="1">
      <alignment horizontal="left" vertical="center"/>
      <protection/>
    </xf>
    <xf numFmtId="0" fontId="10" fillId="0" borderId="0" xfId="36" applyFont="1" applyFill="1" applyBorder="1" applyProtection="1">
      <alignment/>
      <protection/>
    </xf>
    <xf numFmtId="0" fontId="17" fillId="0" borderId="0" xfId="36" applyFont="1" applyFill="1" applyBorder="1" applyAlignment="1" applyProtection="1">
      <alignment horizontal="left"/>
      <protection/>
    </xf>
    <xf numFmtId="0" fontId="10" fillId="0" borderId="0" xfId="36" applyFont="1" applyAlignment="1" applyProtection="1">
      <alignment vertical="center"/>
      <protection/>
    </xf>
    <xf numFmtId="0" fontId="1" fillId="0" borderId="0" xfId="36" applyFont="1" applyAlignment="1" applyProtection="1">
      <alignment vertical="center"/>
      <protection/>
    </xf>
    <xf numFmtId="0" fontId="9" fillId="0" borderId="17" xfId="36" applyFont="1" applyFill="1" applyBorder="1" applyAlignment="1" applyProtection="1" quotePrefix="1">
      <alignment horizontal="left" vertical="center"/>
      <protection/>
    </xf>
    <xf numFmtId="0" fontId="2" fillId="0" borderId="18" xfId="36" applyFont="1" applyFill="1" applyBorder="1" applyAlignment="1" applyProtection="1">
      <alignment horizontal="center" vertical="center"/>
      <protection/>
    </xf>
    <xf numFmtId="0" fontId="9" fillId="0" borderId="12" xfId="36" applyFont="1" applyFill="1" applyBorder="1" applyAlignment="1" applyProtection="1" quotePrefix="1">
      <alignment horizontal="left" vertical="center"/>
      <protection/>
    </xf>
    <xf numFmtId="49" fontId="1" fillId="0" borderId="18" xfId="36" applyNumberFormat="1" applyFont="1" applyFill="1" applyBorder="1" applyAlignment="1" applyProtection="1">
      <alignment horizontal="left" vertical="center"/>
      <protection/>
    </xf>
    <xf numFmtId="195" fontId="2" fillId="0" borderId="0" xfId="36" applyNumberFormat="1" applyFont="1" applyFill="1" applyBorder="1" applyAlignment="1" applyProtection="1">
      <alignment horizontal="left" vertical="center"/>
      <protection/>
    </xf>
    <xf numFmtId="0" fontId="10" fillId="0" borderId="11" xfId="36" applyFont="1" applyBorder="1" applyAlignment="1" applyProtection="1">
      <alignment vertical="center"/>
      <protection/>
    </xf>
    <xf numFmtId="49" fontId="12" fillId="0" borderId="0" xfId="36" applyNumberFormat="1" applyFont="1" applyFill="1" applyBorder="1" applyProtection="1">
      <alignment/>
      <protection/>
    </xf>
    <xf numFmtId="0" fontId="1" fillId="0" borderId="0" xfId="36" applyProtection="1">
      <alignment/>
      <protection/>
    </xf>
    <xf numFmtId="49" fontId="11" fillId="0" borderId="0" xfId="0" applyNumberFormat="1" applyFont="1" applyBorder="1" applyAlignment="1" applyProtection="1">
      <alignment vertical="center"/>
      <protection/>
    </xf>
    <xf numFmtId="0" fontId="10" fillId="0" borderId="0" xfId="0" applyFont="1" applyAlignment="1" applyProtection="1">
      <alignment horizontal="right"/>
      <protection/>
    </xf>
    <xf numFmtId="0" fontId="23" fillId="0" borderId="0" xfId="0" applyFont="1" applyFill="1" applyAlignment="1" applyProtection="1">
      <alignment horizontal="right" vertical="center"/>
      <protection/>
    </xf>
    <xf numFmtId="0" fontId="23" fillId="0" borderId="0" xfId="0" applyFont="1" applyFill="1" applyAlignment="1" applyProtection="1">
      <alignment vertical="center"/>
      <protection/>
    </xf>
    <xf numFmtId="0" fontId="23" fillId="0" borderId="0" xfId="0" applyFont="1" applyFill="1" applyAlignment="1" applyProtection="1">
      <alignment/>
      <protection/>
    </xf>
    <xf numFmtId="184" fontId="23" fillId="0" borderId="0" xfId="0" applyNumberFormat="1" applyFont="1" applyFill="1" applyBorder="1" applyAlignment="1" applyProtection="1">
      <alignment/>
      <protection/>
    </xf>
    <xf numFmtId="184" fontId="23" fillId="0" borderId="0" xfId="0" applyNumberFormat="1" applyFont="1" applyFill="1" applyAlignment="1" applyProtection="1">
      <alignment/>
      <protection/>
    </xf>
    <xf numFmtId="184" fontId="14" fillId="0" borderId="0" xfId="0" applyNumberFormat="1" applyFont="1" applyFill="1" applyAlignment="1" applyProtection="1">
      <alignment/>
      <protection/>
    </xf>
    <xf numFmtId="0" fontId="23" fillId="0" borderId="0" xfId="0" applyFont="1" applyFill="1" applyBorder="1" applyAlignment="1" applyProtection="1">
      <alignment/>
      <protection/>
    </xf>
    <xf numFmtId="186" fontId="23" fillId="0" borderId="0" xfId="0" applyNumberFormat="1" applyFont="1" applyFill="1" applyBorder="1" applyAlignment="1" applyProtection="1">
      <alignment/>
      <protection/>
    </xf>
    <xf numFmtId="0" fontId="17" fillId="0" borderId="0" xfId="0" applyNumberFormat="1" applyFont="1" applyBorder="1" applyAlignment="1" applyProtection="1">
      <alignment horizontal="left" vertical="top"/>
      <protection/>
    </xf>
    <xf numFmtId="0" fontId="10" fillId="0" borderId="0" xfId="0" applyFont="1" applyFill="1" applyAlignment="1" applyProtection="1" quotePrefix="1">
      <alignment/>
      <protection/>
    </xf>
    <xf numFmtId="0" fontId="9" fillId="0" borderId="0" xfId="37" applyFont="1" applyFill="1" applyBorder="1" applyAlignment="1" applyProtection="1">
      <alignment vertical="center"/>
      <protection/>
    </xf>
    <xf numFmtId="0" fontId="12" fillId="5" borderId="0" xfId="0" applyFont="1" applyFill="1" applyAlignment="1" applyProtection="1">
      <alignment/>
      <protection/>
    </xf>
    <xf numFmtId="0" fontId="10" fillId="0" borderId="7" xfId="39" applyFont="1" applyBorder="1" applyAlignment="1" applyProtection="1">
      <alignment horizontal="left"/>
      <protection/>
    </xf>
    <xf numFmtId="0" fontId="10" fillId="0" borderId="14" xfId="0" applyFont="1" applyFill="1" applyBorder="1" applyAlignment="1" applyProtection="1">
      <alignment/>
      <protection/>
    </xf>
    <xf numFmtId="4" fontId="23" fillId="0" borderId="7" xfId="47" applyNumberFormat="1" applyFont="1" applyFill="1" applyBorder="1" applyAlignment="1" applyProtection="1">
      <alignment horizontal="center"/>
      <protection/>
    </xf>
    <xf numFmtId="0" fontId="19" fillId="0" borderId="0" xfId="0" applyNumberFormat="1" applyFont="1" applyBorder="1" applyAlignment="1" applyProtection="1">
      <alignment horizontal="left"/>
      <protection/>
    </xf>
    <xf numFmtId="0" fontId="10" fillId="0" borderId="10" xfId="0" applyFont="1" applyBorder="1" applyAlignment="1" applyProtection="1">
      <alignment/>
      <protection/>
    </xf>
    <xf numFmtId="0" fontId="9" fillId="0" borderId="0" xfId="0" applyNumberFormat="1" applyFont="1" applyBorder="1" applyAlignment="1" applyProtection="1">
      <alignment/>
      <protection/>
    </xf>
    <xf numFmtId="37" fontId="9" fillId="0" borderId="0" xfId="0" applyNumberFormat="1" applyFont="1" applyFill="1" applyBorder="1" applyAlignment="1" applyProtection="1">
      <alignment/>
      <protection/>
    </xf>
    <xf numFmtId="0" fontId="9" fillId="3" borderId="5" xfId="0" applyNumberFormat="1" applyFont="1" applyFill="1" applyBorder="1" applyAlignment="1" applyProtection="1">
      <alignment horizontal="center"/>
      <protection/>
    </xf>
    <xf numFmtId="0" fontId="10" fillId="0" borderId="11" xfId="0" applyFont="1" applyFill="1" applyBorder="1" applyAlignment="1" applyProtection="1" quotePrefix="1">
      <alignment/>
      <protection/>
    </xf>
    <xf numFmtId="186" fontId="9" fillId="0" borderId="11" xfId="40" applyFont="1" applyFill="1" applyBorder="1" applyAlignment="1" applyProtection="1">
      <alignment horizontal="right"/>
      <protection/>
    </xf>
    <xf numFmtId="0" fontId="10" fillId="0" borderId="15" xfId="0" applyFont="1" applyFill="1" applyBorder="1" applyAlignment="1" applyProtection="1">
      <alignment/>
      <protection/>
    </xf>
    <xf numFmtId="37" fontId="10" fillId="0" borderId="14" xfId="0" applyNumberFormat="1" applyFont="1" applyFill="1" applyBorder="1" applyAlignment="1" applyProtection="1">
      <alignment/>
      <protection/>
    </xf>
    <xf numFmtId="186" fontId="10" fillId="0" borderId="14" xfId="40" applyFont="1" applyFill="1" applyBorder="1" applyProtection="1">
      <alignment/>
      <protection/>
    </xf>
    <xf numFmtId="186" fontId="10" fillId="0" borderId="15" xfId="40" applyFont="1" applyFill="1" applyBorder="1" applyProtection="1">
      <alignment/>
      <protection/>
    </xf>
    <xf numFmtId="0" fontId="9" fillId="3" borderId="5" xfId="35" applyFont="1" applyFill="1" applyBorder="1" applyProtection="1">
      <alignment/>
      <protection/>
    </xf>
    <xf numFmtId="0" fontId="9" fillId="3" borderId="7" xfId="35" applyFont="1" applyFill="1" applyBorder="1" applyProtection="1">
      <alignment/>
      <protection/>
    </xf>
    <xf numFmtId="0" fontId="9" fillId="3" borderId="9" xfId="35" applyFont="1" applyFill="1" applyBorder="1" applyProtection="1">
      <alignment/>
      <protection/>
    </xf>
    <xf numFmtId="37" fontId="9" fillId="3" borderId="9" xfId="0" applyNumberFormat="1" applyFont="1" applyFill="1" applyBorder="1" applyAlignment="1" applyProtection="1">
      <alignment/>
      <protection/>
    </xf>
    <xf numFmtId="37" fontId="9" fillId="3" borderId="10" xfId="0" applyNumberFormat="1" applyFont="1" applyFill="1" applyBorder="1" applyAlignment="1" applyProtection="1">
      <alignment/>
      <protection/>
    </xf>
    <xf numFmtId="0" fontId="10" fillId="0" borderId="0" xfId="0" applyFont="1" applyBorder="1" applyAlignment="1" applyProtection="1">
      <alignment horizontal="center"/>
      <protection/>
    </xf>
    <xf numFmtId="0" fontId="9" fillId="3" borderId="5" xfId="0" applyFont="1" applyFill="1" applyBorder="1" applyAlignment="1" applyProtection="1">
      <alignment horizontal="center"/>
      <protection/>
    </xf>
    <xf numFmtId="186" fontId="9" fillId="0" borderId="9" xfId="40" applyFont="1" applyFill="1" applyBorder="1" applyAlignment="1" applyProtection="1">
      <alignment horizontal="right"/>
      <protection/>
    </xf>
    <xf numFmtId="186" fontId="9" fillId="0" borderId="10" xfId="40" applyFont="1" applyFill="1" applyBorder="1" applyAlignment="1" applyProtection="1">
      <alignment horizontal="right"/>
      <protection/>
    </xf>
    <xf numFmtId="0" fontId="10" fillId="0" borderId="14" xfId="0" applyFont="1" applyFill="1" applyBorder="1" applyAlignment="1" applyProtection="1" quotePrefix="1">
      <alignment/>
      <protection/>
    </xf>
    <xf numFmtId="0" fontId="9" fillId="3" borderId="7" xfId="0" applyFont="1" applyFill="1" applyBorder="1" applyAlignment="1" applyProtection="1">
      <alignment/>
      <protection/>
    </xf>
    <xf numFmtId="0" fontId="9" fillId="3" borderId="9" xfId="0" applyFont="1" applyFill="1" applyBorder="1" applyAlignment="1" applyProtection="1">
      <alignment/>
      <protection/>
    </xf>
    <xf numFmtId="0" fontId="9" fillId="0" borderId="0" xfId="0" applyFont="1" applyAlignment="1" applyProtection="1">
      <alignment/>
      <protection hidden="1"/>
    </xf>
    <xf numFmtId="0" fontId="10" fillId="0" borderId="0" xfId="0" applyFont="1" applyAlignment="1" applyProtection="1">
      <alignment vertical="top" wrapText="1"/>
      <protection hidden="1"/>
    </xf>
    <xf numFmtId="0" fontId="10" fillId="0" borderId="0" xfId="0" applyFont="1" applyAlignment="1" applyProtection="1">
      <alignment vertical="top"/>
      <protection hidden="1"/>
    </xf>
    <xf numFmtId="0" fontId="0" fillId="0" borderId="0" xfId="0" applyAlignment="1" applyProtection="1">
      <alignment wrapText="1"/>
      <protection hidden="1"/>
    </xf>
    <xf numFmtId="0" fontId="9" fillId="0" borderId="0" xfId="0" applyNumberFormat="1" applyFont="1" applyBorder="1" applyAlignment="1" applyProtection="1">
      <alignment horizontal="center"/>
      <protection/>
    </xf>
    <xf numFmtId="37" fontId="9" fillId="0" borderId="0" xfId="0" applyNumberFormat="1" applyFont="1" applyAlignment="1" applyProtection="1">
      <alignment/>
      <protection/>
    </xf>
    <xf numFmtId="0" fontId="9" fillId="0" borderId="0" xfId="0" applyNumberFormat="1" applyFont="1" applyBorder="1" applyAlignment="1" applyProtection="1">
      <alignment horizontal="center" vertical="center"/>
      <protection/>
    </xf>
    <xf numFmtId="37" fontId="10" fillId="0" borderId="12" xfId="0" applyNumberFormat="1" applyFont="1" applyFill="1" applyBorder="1" applyAlignment="1" applyProtection="1">
      <alignment/>
      <protection/>
    </xf>
    <xf numFmtId="185" fontId="10" fillId="0" borderId="7" xfId="40" applyNumberFormat="1" applyFont="1" applyBorder="1" applyAlignment="1" applyProtection="1">
      <alignment horizontal="center"/>
      <protection/>
    </xf>
    <xf numFmtId="37" fontId="10" fillId="0" borderId="10" xfId="0" applyNumberFormat="1" applyFont="1" applyFill="1" applyBorder="1" applyAlignment="1" applyProtection="1">
      <alignment/>
      <protection/>
    </xf>
    <xf numFmtId="183" fontId="10" fillId="0" borderId="7" xfId="40" applyNumberFormat="1" applyFont="1" applyBorder="1" applyAlignment="1" applyProtection="1">
      <alignment horizontal="center"/>
      <protection/>
    </xf>
    <xf numFmtId="37" fontId="10" fillId="0" borderId="15" xfId="0" applyNumberFormat="1" applyFont="1" applyFill="1" applyBorder="1" applyAlignment="1" applyProtection="1">
      <alignment/>
      <protection/>
    </xf>
    <xf numFmtId="185" fontId="10" fillId="0" borderId="19" xfId="40" applyNumberFormat="1" applyFont="1" applyBorder="1" applyAlignment="1" applyProtection="1">
      <alignment horizontal="center"/>
      <protection/>
    </xf>
    <xf numFmtId="37" fontId="9" fillId="3" borderId="5" xfId="0" applyNumberFormat="1" applyFont="1" applyFill="1" applyBorder="1" applyAlignment="1" applyProtection="1">
      <alignment/>
      <protection/>
    </xf>
    <xf numFmtId="0" fontId="17" fillId="0" borderId="0" xfId="0" applyFont="1" applyAlignment="1" applyProtection="1">
      <alignment/>
      <protection/>
    </xf>
    <xf numFmtId="37" fontId="9" fillId="0" borderId="0" xfId="0" applyNumberFormat="1" applyFont="1" applyBorder="1" applyAlignment="1" applyProtection="1">
      <alignment/>
      <protection/>
    </xf>
    <xf numFmtId="185" fontId="10" fillId="0" borderId="7" xfId="40" applyNumberFormat="1" applyFont="1" applyFill="1" applyBorder="1" applyAlignment="1" applyProtection="1">
      <alignment horizontal="center"/>
      <protection/>
    </xf>
    <xf numFmtId="0" fontId="9" fillId="0" borderId="0" xfId="0" applyFont="1" applyFill="1" applyAlignment="1" applyProtection="1">
      <alignment/>
      <protection/>
    </xf>
    <xf numFmtId="0" fontId="10" fillId="0" borderId="11" xfId="0" applyNumberFormat="1" applyFont="1" applyFill="1" applyBorder="1" applyAlignment="1" applyProtection="1">
      <alignment horizontal="left"/>
      <protection/>
    </xf>
    <xf numFmtId="0" fontId="10" fillId="0" borderId="9" xfId="0" applyNumberFormat="1" applyFont="1" applyFill="1" applyBorder="1" applyAlignment="1" applyProtection="1">
      <alignment horizontal="left"/>
      <protection/>
    </xf>
    <xf numFmtId="0" fontId="10" fillId="0" borderId="14" xfId="0" applyNumberFormat="1" applyFont="1" applyFill="1" applyBorder="1" applyAlignment="1" applyProtection="1">
      <alignment horizontal="left"/>
      <protection/>
    </xf>
    <xf numFmtId="0" fontId="17" fillId="5" borderId="0" xfId="0" applyNumberFormat="1" applyFont="1" applyFill="1" applyBorder="1" applyAlignment="1" applyProtection="1">
      <alignment/>
      <protection/>
    </xf>
    <xf numFmtId="185" fontId="10" fillId="0" borderId="5" xfId="40" applyNumberFormat="1" applyFont="1" applyFill="1" applyBorder="1" applyAlignment="1" applyProtection="1">
      <alignment horizontal="center"/>
      <protection/>
    </xf>
    <xf numFmtId="37" fontId="9" fillId="0" borderId="0" xfId="0" applyNumberFormat="1" applyFont="1" applyBorder="1" applyAlignment="1" applyProtection="1">
      <alignment/>
      <protection/>
    </xf>
    <xf numFmtId="37" fontId="10" fillId="0" borderId="0" xfId="0" applyNumberFormat="1" applyFont="1" applyBorder="1" applyAlignment="1" applyProtection="1">
      <alignment horizontal="center"/>
      <protection/>
    </xf>
    <xf numFmtId="37" fontId="10" fillId="0" borderId="0" xfId="0" applyNumberFormat="1" applyFont="1" applyBorder="1" applyAlignment="1" applyProtection="1">
      <alignment/>
      <protection/>
    </xf>
    <xf numFmtId="0" fontId="10" fillId="0" borderId="9" xfId="0" applyFont="1" applyFill="1" applyBorder="1" applyAlignment="1" applyProtection="1">
      <alignment wrapText="1"/>
      <protection/>
    </xf>
    <xf numFmtId="0" fontId="10" fillId="0" borderId="9" xfId="0" applyFont="1" applyBorder="1" applyAlignment="1" applyProtection="1">
      <alignment/>
      <protection/>
    </xf>
    <xf numFmtId="0" fontId="9" fillId="3" borderId="5" xfId="0" applyNumberFormat="1" applyFont="1" applyFill="1" applyBorder="1" applyAlignment="1" applyProtection="1">
      <alignment horizontal="center" wrapText="1"/>
      <protection/>
    </xf>
    <xf numFmtId="0" fontId="10" fillId="0" borderId="14" xfId="0" applyFont="1" applyFill="1" applyBorder="1" applyAlignment="1" applyProtection="1">
      <alignment wrapText="1"/>
      <protection/>
    </xf>
    <xf numFmtId="0" fontId="10" fillId="0" borderId="14" xfId="0" applyFont="1" applyBorder="1" applyAlignment="1" applyProtection="1">
      <alignment/>
      <protection/>
    </xf>
    <xf numFmtId="0" fontId="10" fillId="0" borderId="15" xfId="0" applyFont="1" applyBorder="1" applyAlignment="1" applyProtection="1">
      <alignment/>
      <protection/>
    </xf>
    <xf numFmtId="0" fontId="10" fillId="0" borderId="0" xfId="0" applyNumberFormat="1" applyFont="1" applyAlignment="1" applyProtection="1">
      <alignment/>
      <protection/>
    </xf>
    <xf numFmtId="3" fontId="9" fillId="0" borderId="0" xfId="0" applyNumberFormat="1" applyFont="1" applyAlignment="1" applyProtection="1">
      <alignment/>
      <protection/>
    </xf>
    <xf numFmtId="37" fontId="9" fillId="3" borderId="7" xfId="0" applyNumberFormat="1" applyFont="1" applyFill="1" applyBorder="1" applyAlignment="1" applyProtection="1">
      <alignment/>
      <protection/>
    </xf>
    <xf numFmtId="37" fontId="15" fillId="5" borderId="0" xfId="0" applyNumberFormat="1" applyFont="1" applyFill="1" applyBorder="1" applyAlignment="1" applyProtection="1">
      <alignment/>
      <protection/>
    </xf>
    <xf numFmtId="0" fontId="0" fillId="0" borderId="0" xfId="0" applyAlignment="1" applyProtection="1">
      <alignment horizontal="justify" vertical="top"/>
      <protection/>
    </xf>
    <xf numFmtId="0" fontId="9" fillId="0" borderId="0" xfId="0" applyNumberFormat="1" applyFont="1" applyBorder="1" applyAlignment="1" applyProtection="1">
      <alignment/>
      <protection/>
    </xf>
    <xf numFmtId="0" fontId="9" fillId="0" borderId="0" xfId="0" applyNumberFormat="1" applyFont="1" applyFill="1" applyBorder="1" applyAlignment="1" applyProtection="1">
      <alignment horizontal="left"/>
      <protection/>
    </xf>
    <xf numFmtId="0" fontId="9" fillId="0" borderId="11" xfId="0" applyFont="1" applyFill="1" applyBorder="1" applyAlignment="1" applyProtection="1">
      <alignment/>
      <protection/>
    </xf>
    <xf numFmtId="0" fontId="9" fillId="0" borderId="0" xfId="0" applyFont="1" applyAlignment="1" applyProtection="1">
      <alignment horizontal="center"/>
      <protection/>
    </xf>
    <xf numFmtId="3" fontId="10" fillId="0" borderId="0" xfId="0" applyNumberFormat="1" applyFont="1" applyBorder="1" applyAlignment="1" applyProtection="1">
      <alignment horizontal="center"/>
      <protection/>
    </xf>
    <xf numFmtId="0" fontId="10" fillId="0" borderId="12" xfId="0" applyFont="1" applyFill="1" applyBorder="1" applyAlignment="1" applyProtection="1">
      <alignment horizontal="left"/>
      <protection/>
    </xf>
    <xf numFmtId="0" fontId="10" fillId="0" borderId="10" xfId="0" applyFont="1" applyFill="1" applyBorder="1" applyAlignment="1" applyProtection="1">
      <alignment horizontal="left"/>
      <protection/>
    </xf>
    <xf numFmtId="3" fontId="10" fillId="0" borderId="11" xfId="0" applyNumberFormat="1" applyFont="1" applyFill="1" applyBorder="1" applyAlignment="1" applyProtection="1" quotePrefix="1">
      <alignment horizontal="left"/>
      <protection/>
    </xf>
    <xf numFmtId="3" fontId="10" fillId="0" borderId="14" xfId="0" applyNumberFormat="1" applyFont="1" applyFill="1" applyBorder="1" applyAlignment="1" applyProtection="1">
      <alignment horizontal="left"/>
      <protection/>
    </xf>
    <xf numFmtId="0" fontId="25" fillId="0" borderId="0" xfId="0" applyFont="1" applyAlignment="1" applyProtection="1">
      <alignment/>
      <protection/>
    </xf>
    <xf numFmtId="0" fontId="0" fillId="0" borderId="0" xfId="0" applyAlignment="1" applyProtection="1">
      <alignment/>
      <protection/>
    </xf>
    <xf numFmtId="0" fontId="9" fillId="3" borderId="7" xfId="0" applyNumberFormat="1" applyFont="1" applyFill="1" applyBorder="1" applyAlignment="1" applyProtection="1">
      <alignment horizontal="center"/>
      <protection/>
    </xf>
    <xf numFmtId="0" fontId="9" fillId="3" borderId="5" xfId="0" applyNumberFormat="1" applyFont="1" applyFill="1" applyBorder="1" applyAlignment="1" applyProtection="1">
      <alignment horizontal="left"/>
      <protection/>
    </xf>
    <xf numFmtId="0" fontId="9" fillId="0" borderId="0" xfId="0" applyNumberFormat="1" applyFont="1" applyFill="1" applyBorder="1" applyAlignment="1" applyProtection="1">
      <alignment horizontal="center"/>
      <protection/>
    </xf>
    <xf numFmtId="0" fontId="10" fillId="0" borderId="7" xfId="34" applyNumberFormat="1" applyFont="1" applyFill="1" applyBorder="1" applyAlignment="1" applyProtection="1">
      <alignment horizontal="left" vertical="center"/>
      <protection/>
    </xf>
    <xf numFmtId="0" fontId="10" fillId="0" borderId="9" xfId="34" applyNumberFormat="1" applyFont="1" applyFill="1" applyBorder="1" applyAlignment="1" applyProtection="1">
      <alignment horizontal="left" vertical="center"/>
      <protection/>
    </xf>
    <xf numFmtId="2" fontId="10" fillId="0" borderId="5" xfId="34" applyNumberFormat="1" applyFont="1" applyFill="1" applyBorder="1" applyAlignment="1" applyProtection="1">
      <alignment horizontal="center" vertical="center"/>
      <protection/>
    </xf>
    <xf numFmtId="0" fontId="23" fillId="0" borderId="7" xfId="34" applyNumberFormat="1" applyFont="1" applyFill="1" applyBorder="1" applyAlignment="1" applyProtection="1">
      <alignment horizontal="left" vertical="center"/>
      <protection/>
    </xf>
    <xf numFmtId="0" fontId="26" fillId="0" borderId="9" xfId="34" applyNumberFormat="1" applyFont="1" applyFill="1" applyBorder="1" applyAlignment="1" applyProtection="1">
      <alignment horizontal="left" vertical="center"/>
      <protection/>
    </xf>
    <xf numFmtId="0" fontId="26" fillId="0" borderId="9" xfId="0" applyFont="1" applyFill="1" applyBorder="1" applyAlignment="1" applyProtection="1">
      <alignment/>
      <protection/>
    </xf>
    <xf numFmtId="3" fontId="9" fillId="0" borderId="0" xfId="34" applyNumberFormat="1" applyFont="1" applyFill="1" applyBorder="1" applyAlignment="1" applyProtection="1">
      <alignment horizontal="center"/>
      <protection/>
    </xf>
    <xf numFmtId="0" fontId="9" fillId="0" borderId="0" xfId="34" applyFont="1" applyFill="1" applyBorder="1" applyProtection="1">
      <alignment/>
      <protection/>
    </xf>
    <xf numFmtId="0" fontId="9" fillId="0" borderId="0" xfId="34" applyFont="1" applyFill="1" applyBorder="1" applyAlignment="1" applyProtection="1">
      <alignment horizontal="center"/>
      <protection/>
    </xf>
    <xf numFmtId="2" fontId="10" fillId="0" borderId="6" xfId="34" applyNumberFormat="1" applyFont="1" applyFill="1" applyBorder="1" applyAlignment="1" applyProtection="1">
      <alignment horizontal="center" vertical="center"/>
      <protection/>
    </xf>
    <xf numFmtId="195" fontId="10" fillId="0" borderId="15" xfId="0" applyNumberFormat="1" applyFont="1" applyFill="1" applyBorder="1" applyAlignment="1" applyProtection="1">
      <alignment vertical="center"/>
      <protection/>
    </xf>
    <xf numFmtId="2" fontId="10" fillId="0" borderId="20" xfId="34" applyNumberFormat="1" applyFont="1" applyFill="1" applyBorder="1" applyAlignment="1" applyProtection="1">
      <alignment horizontal="center" vertical="center"/>
      <protection/>
    </xf>
    <xf numFmtId="195" fontId="10" fillId="0" borderId="17" xfId="0" applyNumberFormat="1" applyFont="1" applyFill="1" applyBorder="1" applyAlignment="1" applyProtection="1">
      <alignment vertical="center"/>
      <protection/>
    </xf>
    <xf numFmtId="194" fontId="10" fillId="0" borderId="9" xfId="0" applyNumberFormat="1" applyFont="1" applyFill="1" applyBorder="1" applyAlignment="1" applyProtection="1">
      <alignment vertical="center"/>
      <protection/>
    </xf>
    <xf numFmtId="2" fontId="10" fillId="0" borderId="0" xfId="34" applyNumberFormat="1" applyFont="1" applyFill="1" applyBorder="1" applyAlignment="1" applyProtection="1">
      <alignment horizontal="center" vertical="center"/>
      <protection/>
    </xf>
    <xf numFmtId="0" fontId="9" fillId="3" borderId="6" xfId="0" applyFont="1" applyFill="1" applyBorder="1" applyAlignment="1" applyProtection="1">
      <alignment horizontal="center" vertical="center"/>
      <protection/>
    </xf>
    <xf numFmtId="0" fontId="9" fillId="3" borderId="20" xfId="0" applyFont="1" applyFill="1" applyBorder="1" applyAlignment="1" applyProtection="1">
      <alignment horizontal="center" vertical="center"/>
      <protection/>
    </xf>
    <xf numFmtId="0" fontId="9" fillId="3" borderId="7" xfId="0" applyFont="1" applyFill="1" applyBorder="1" applyAlignment="1" applyProtection="1">
      <alignment horizontal="left" vertical="center"/>
      <protection/>
    </xf>
    <xf numFmtId="3" fontId="9" fillId="3" borderId="9" xfId="34" applyNumberFormat="1" applyFont="1" applyFill="1" applyBorder="1" applyAlignment="1" applyProtection="1">
      <alignment horizontal="center"/>
      <protection/>
    </xf>
    <xf numFmtId="0" fontId="9" fillId="3" borderId="9" xfId="34" applyFont="1" applyFill="1" applyBorder="1" applyProtection="1">
      <alignment/>
      <protection/>
    </xf>
    <xf numFmtId="0" fontId="9" fillId="3" borderId="9" xfId="34" applyFont="1" applyFill="1" applyBorder="1" applyAlignment="1" applyProtection="1">
      <alignment horizontal="center"/>
      <protection/>
    </xf>
    <xf numFmtId="0" fontId="9" fillId="3" borderId="13" xfId="0" applyFont="1" applyFill="1" applyBorder="1" applyAlignment="1" applyProtection="1">
      <alignment horizontal="center" vertical="center"/>
      <protection/>
    </xf>
    <xf numFmtId="195" fontId="10" fillId="0" borderId="20" xfId="0" applyNumberFormat="1" applyFont="1" applyFill="1" applyBorder="1" applyAlignment="1" applyProtection="1">
      <alignment vertical="center"/>
      <protection/>
    </xf>
    <xf numFmtId="0" fontId="10" fillId="0" borderId="21" xfId="39" applyFont="1" applyBorder="1" applyProtection="1">
      <alignment/>
      <protection/>
    </xf>
    <xf numFmtId="0" fontId="10" fillId="0" borderId="9" xfId="39" applyFont="1" applyBorder="1" applyProtection="1">
      <alignment/>
      <protection/>
    </xf>
    <xf numFmtId="0" fontId="10" fillId="0" borderId="22" xfId="39" applyFont="1" applyBorder="1" applyAlignment="1" applyProtection="1">
      <alignment horizontal="left"/>
      <protection/>
    </xf>
    <xf numFmtId="0" fontId="9" fillId="3" borderId="7" xfId="0" applyFont="1" applyFill="1" applyBorder="1" applyAlignment="1" applyProtection="1">
      <alignment horizontal="center" vertical="center"/>
      <protection/>
    </xf>
    <xf numFmtId="0" fontId="14" fillId="3" borderId="7" xfId="0" applyFont="1" applyFill="1" applyBorder="1" applyAlignment="1" applyProtection="1">
      <alignment horizontal="center" vertical="center"/>
      <protection/>
    </xf>
    <xf numFmtId="0" fontId="9" fillId="2" borderId="5" xfId="33" applyFont="1" applyFill="1" applyBorder="1" applyProtection="1">
      <alignment/>
      <protection/>
    </xf>
    <xf numFmtId="0" fontId="9" fillId="2" borderId="0" xfId="33" applyFont="1" applyFill="1" applyProtection="1">
      <alignment/>
      <protection/>
    </xf>
    <xf numFmtId="0" fontId="9" fillId="0" borderId="0" xfId="36" applyFont="1" applyFill="1" applyBorder="1" applyProtection="1">
      <alignment/>
      <protection/>
    </xf>
    <xf numFmtId="0" fontId="2" fillId="0" borderId="0" xfId="36" applyFont="1" applyProtection="1">
      <alignment/>
      <protection/>
    </xf>
    <xf numFmtId="49" fontId="28" fillId="5" borderId="0" xfId="0" applyNumberFormat="1" applyFont="1" applyFill="1" applyAlignment="1" applyProtection="1">
      <alignment/>
      <protection/>
    </xf>
    <xf numFmtId="0" fontId="10" fillId="0" borderId="0" xfId="0" applyFont="1" applyAlignment="1" applyProtection="1">
      <alignment/>
      <protection locked="0"/>
    </xf>
    <xf numFmtId="183" fontId="9" fillId="0" borderId="0" xfId="0" applyNumberFormat="1" applyFont="1" applyAlignment="1" applyProtection="1">
      <alignment/>
      <protection/>
    </xf>
    <xf numFmtId="0" fontId="10" fillId="0" borderId="0" xfId="0" applyNumberFormat="1" applyFont="1" applyAlignment="1" applyProtection="1">
      <alignment horizontal="right"/>
      <protection/>
    </xf>
    <xf numFmtId="0" fontId="10" fillId="0" borderId="0" xfId="0" applyNumberFormat="1" applyFont="1" applyAlignment="1" applyProtection="1">
      <alignment horizontal="right" wrapText="1"/>
      <protection/>
    </xf>
    <xf numFmtId="37" fontId="10" fillId="0" borderId="0" xfId="0" applyNumberFormat="1" applyFont="1" applyAlignment="1" applyProtection="1">
      <alignment vertical="center"/>
      <protection/>
    </xf>
    <xf numFmtId="0" fontId="10" fillId="0" borderId="0" xfId="0" applyNumberFormat="1" applyFont="1" applyAlignment="1" applyProtection="1">
      <alignment vertical="center"/>
      <protection/>
    </xf>
    <xf numFmtId="0" fontId="10" fillId="0" borderId="0" xfId="0" applyNumberFormat="1" applyFont="1" applyAlignment="1" applyProtection="1">
      <alignment wrapText="1"/>
      <protection/>
    </xf>
    <xf numFmtId="3" fontId="10" fillId="0" borderId="0" xfId="0" applyNumberFormat="1" applyFont="1" applyAlignment="1" applyProtection="1">
      <alignment wrapText="1"/>
      <protection/>
    </xf>
    <xf numFmtId="49" fontId="10" fillId="0" borderId="0" xfId="0" applyNumberFormat="1" applyFont="1" applyAlignment="1" applyProtection="1">
      <alignment horizontal="justify"/>
      <protection/>
    </xf>
    <xf numFmtId="49" fontId="10" fillId="0" borderId="0" xfId="0" applyNumberFormat="1" applyFont="1" applyAlignment="1" applyProtection="1">
      <alignment/>
      <protection/>
    </xf>
    <xf numFmtId="49" fontId="10" fillId="0" borderId="0" xfId="0" applyNumberFormat="1" applyFont="1" applyAlignment="1" applyProtection="1">
      <alignment wrapText="1"/>
      <protection/>
    </xf>
    <xf numFmtId="0" fontId="9" fillId="3" borderId="9" xfId="0" applyNumberFormat="1" applyFont="1" applyFill="1" applyBorder="1" applyAlignment="1" applyProtection="1">
      <alignment horizontal="center"/>
      <protection/>
    </xf>
    <xf numFmtId="0" fontId="9" fillId="0" borderId="9" xfId="0" applyNumberFormat="1" applyFont="1" applyFill="1" applyBorder="1" applyAlignment="1" applyProtection="1">
      <alignment horizontal="center"/>
      <protection/>
    </xf>
    <xf numFmtId="0" fontId="9" fillId="3" borderId="9" xfId="0" applyNumberFormat="1" applyFont="1" applyFill="1" applyBorder="1" applyAlignment="1" applyProtection="1">
      <alignment horizontal="left"/>
      <protection/>
    </xf>
    <xf numFmtId="0" fontId="9" fillId="3" borderId="10" xfId="0" applyNumberFormat="1" applyFont="1" applyFill="1" applyBorder="1" applyAlignment="1" applyProtection="1">
      <alignment horizontal="center"/>
      <protection/>
    </xf>
    <xf numFmtId="0" fontId="10" fillId="0" borderId="0" xfId="39" applyFont="1" applyBorder="1" applyAlignment="1" applyProtection="1">
      <alignment vertical="top"/>
      <protection/>
    </xf>
    <xf numFmtId="37" fontId="10" fillId="0" borderId="0" xfId="39" applyNumberFormat="1" applyFont="1" applyBorder="1" applyAlignment="1" applyProtection="1">
      <alignment/>
      <protection/>
    </xf>
    <xf numFmtId="202" fontId="9" fillId="0" borderId="0" xfId="39" applyNumberFormat="1" applyFont="1" applyAlignment="1" applyProtection="1">
      <alignment horizontal="left"/>
      <protection/>
    </xf>
    <xf numFmtId="202" fontId="10" fillId="0" borderId="9" xfId="39" applyNumberFormat="1" applyFont="1" applyBorder="1" applyAlignment="1" applyProtection="1" quotePrefix="1">
      <alignment horizontal="left"/>
      <protection/>
    </xf>
    <xf numFmtId="37" fontId="10" fillId="0" borderId="9" xfId="39" applyNumberFormat="1" applyFont="1" applyBorder="1" applyAlignment="1" applyProtection="1">
      <alignment/>
      <protection/>
    </xf>
    <xf numFmtId="4" fontId="10" fillId="0" borderId="13" xfId="47" applyNumberFormat="1" applyFont="1" applyFill="1" applyBorder="1" applyAlignment="1" applyProtection="1">
      <alignment horizontal="center"/>
      <protection/>
    </xf>
    <xf numFmtId="202" fontId="10" fillId="0" borderId="7" xfId="39" applyNumberFormat="1" applyFont="1" applyBorder="1" applyAlignment="1" applyProtection="1" quotePrefix="1">
      <alignment horizontal="left"/>
      <protection/>
    </xf>
    <xf numFmtId="202" fontId="10" fillId="0" borderId="19" xfId="39" applyNumberFormat="1" applyFont="1" applyBorder="1" applyAlignment="1" applyProtection="1" quotePrefix="1">
      <alignment horizontal="left"/>
      <protection/>
    </xf>
    <xf numFmtId="37" fontId="10" fillId="0" borderId="14" xfId="39" applyNumberFormat="1" applyFont="1" applyBorder="1" applyAlignment="1" applyProtection="1">
      <alignment/>
      <protection/>
    </xf>
    <xf numFmtId="0" fontId="9" fillId="0" borderId="0" xfId="0" applyFont="1" applyAlignment="1" applyProtection="1">
      <alignment horizontal="left"/>
      <protection/>
    </xf>
    <xf numFmtId="10" fontId="12" fillId="5" borderId="0" xfId="0" applyNumberFormat="1" applyFont="1" applyFill="1" applyAlignment="1" applyProtection="1">
      <alignment/>
      <protection/>
    </xf>
    <xf numFmtId="0" fontId="9" fillId="0" borderId="0" xfId="34" applyFont="1" applyFill="1" applyAlignment="1" applyProtection="1">
      <alignment horizontal="left" vertical="top"/>
      <protection/>
    </xf>
    <xf numFmtId="4" fontId="23" fillId="0" borderId="5" xfId="47" applyNumberFormat="1" applyFont="1" applyFill="1" applyBorder="1" applyAlignment="1" applyProtection="1">
      <alignment horizontal="center"/>
      <protection/>
    </xf>
    <xf numFmtId="0" fontId="10" fillId="0" borderId="23" xfId="39" applyFont="1" applyBorder="1" applyAlignment="1" applyProtection="1">
      <alignment horizontal="left"/>
      <protection/>
    </xf>
    <xf numFmtId="0" fontId="10" fillId="0" borderId="11" xfId="39" applyFont="1" applyBorder="1" applyProtection="1">
      <alignment/>
      <protection/>
    </xf>
    <xf numFmtId="0" fontId="10" fillId="0" borderId="24" xfId="39" applyFont="1" applyBorder="1" applyAlignment="1" applyProtection="1">
      <alignment horizontal="left"/>
      <protection/>
    </xf>
    <xf numFmtId="0" fontId="10" fillId="0" borderId="25" xfId="39" applyFont="1" applyBorder="1" applyProtection="1">
      <alignment/>
      <protection/>
    </xf>
    <xf numFmtId="0" fontId="9" fillId="3" borderId="23" xfId="0" applyNumberFormat="1" applyFont="1" applyFill="1" applyBorder="1" applyAlignment="1" applyProtection="1">
      <alignment horizontal="left"/>
      <protection/>
    </xf>
    <xf numFmtId="0" fontId="9" fillId="3" borderId="11" xfId="0" applyNumberFormat="1" applyFont="1" applyFill="1" applyBorder="1" applyAlignment="1" applyProtection="1">
      <alignment horizontal="center"/>
      <protection/>
    </xf>
    <xf numFmtId="0" fontId="9" fillId="3" borderId="13" xfId="0" applyNumberFormat="1" applyFont="1" applyFill="1" applyBorder="1" applyAlignment="1" applyProtection="1">
      <alignment horizontal="center"/>
      <protection/>
    </xf>
    <xf numFmtId="0" fontId="9" fillId="3" borderId="5" xfId="36" applyFont="1" applyFill="1" applyBorder="1" applyAlignment="1" applyProtection="1">
      <alignment horizontal="center" vertical="center"/>
      <protection/>
    </xf>
    <xf numFmtId="0" fontId="9" fillId="3" borderId="6" xfId="36" applyFont="1" applyFill="1" applyBorder="1" applyAlignment="1" applyProtection="1">
      <alignment horizontal="center" vertical="center"/>
      <protection/>
    </xf>
    <xf numFmtId="195" fontId="1" fillId="0" borderId="0" xfId="36" applyNumberFormat="1" applyFont="1" applyFill="1" applyBorder="1" applyAlignment="1" applyProtection="1">
      <alignment horizontal="left" vertical="center"/>
      <protection/>
    </xf>
    <xf numFmtId="49" fontId="9" fillId="3" borderId="9" xfId="36" applyNumberFormat="1" applyFont="1" applyFill="1" applyBorder="1" applyAlignment="1" applyProtection="1">
      <alignment horizontal="left" vertical="center"/>
      <protection/>
    </xf>
    <xf numFmtId="0" fontId="10" fillId="0" borderId="7" xfId="36" applyFont="1" applyFill="1" applyBorder="1" applyAlignment="1" applyProtection="1">
      <alignment horizontal="left" vertical="center"/>
      <protection/>
    </xf>
    <xf numFmtId="49" fontId="10" fillId="0" borderId="9" xfId="36" applyNumberFormat="1" applyFont="1" applyFill="1" applyBorder="1" applyAlignment="1" applyProtection="1">
      <alignment horizontal="left" vertical="center"/>
      <protection/>
    </xf>
    <xf numFmtId="0" fontId="9" fillId="3" borderId="7" xfId="36" applyFont="1" applyFill="1" applyBorder="1" applyAlignment="1" applyProtection="1">
      <alignment horizontal="center" vertical="center"/>
      <protection/>
    </xf>
    <xf numFmtId="0" fontId="9" fillId="3" borderId="7" xfId="36" applyFont="1" applyFill="1" applyBorder="1" applyAlignment="1" applyProtection="1">
      <alignment horizontal="left" vertical="center"/>
      <protection/>
    </xf>
    <xf numFmtId="49" fontId="9" fillId="3" borderId="10" xfId="36" applyNumberFormat="1" applyFont="1" applyFill="1" applyBorder="1" applyAlignment="1" applyProtection="1">
      <alignment horizontal="left" vertical="center"/>
      <protection/>
    </xf>
    <xf numFmtId="49" fontId="10" fillId="0" borderId="10" xfId="36" applyNumberFormat="1" applyFont="1" applyFill="1" applyBorder="1" applyAlignment="1" applyProtection="1">
      <alignment horizontal="left" vertical="center"/>
      <protection/>
    </xf>
    <xf numFmtId="4" fontId="10" fillId="0" borderId="6" xfId="47" applyNumberFormat="1" applyFont="1" applyFill="1" applyBorder="1" applyAlignment="1" applyProtection="1">
      <alignment horizontal="center"/>
      <protection/>
    </xf>
    <xf numFmtId="0" fontId="9" fillId="3" borderId="5" xfId="0" applyFont="1" applyFill="1" applyBorder="1" applyAlignment="1" applyProtection="1">
      <alignment horizontal="center" vertical="center"/>
      <protection/>
    </xf>
    <xf numFmtId="37" fontId="9" fillId="3" borderId="7" xfId="38" applyNumberFormat="1" applyFont="1" applyFill="1" applyBorder="1" applyProtection="1">
      <alignment/>
      <protection/>
    </xf>
    <xf numFmtId="37" fontId="9" fillId="3" borderId="9" xfId="38" applyNumberFormat="1" applyFont="1" applyFill="1" applyBorder="1" applyProtection="1">
      <alignment/>
      <protection/>
    </xf>
    <xf numFmtId="0" fontId="9" fillId="0" borderId="0" xfId="35" applyFont="1" applyFill="1" applyBorder="1" applyProtection="1">
      <alignment/>
      <protection/>
    </xf>
    <xf numFmtId="37" fontId="9" fillId="0" borderId="0" xfId="0" applyNumberFormat="1" applyFont="1" applyFill="1" applyBorder="1" applyAlignment="1" applyProtection="1">
      <alignment/>
      <protection/>
    </xf>
    <xf numFmtId="186" fontId="9" fillId="0" borderId="0" xfId="43" applyFont="1" applyFill="1" applyBorder="1" applyProtection="1">
      <alignment/>
      <protection/>
    </xf>
    <xf numFmtId="186" fontId="9" fillId="0" borderId="10" xfId="40" applyFont="1" applyFill="1" applyBorder="1" applyAlignment="1" applyProtection="1">
      <alignment horizontal="left"/>
      <protection/>
    </xf>
    <xf numFmtId="37" fontId="9" fillId="3" borderId="5" xfId="0" applyNumberFormat="1" applyFont="1" applyFill="1" applyBorder="1" applyAlignment="1" applyProtection="1">
      <alignment horizontal="center"/>
      <protection/>
    </xf>
    <xf numFmtId="186" fontId="9" fillId="0" borderId="11" xfId="40" applyFont="1" applyFill="1" applyBorder="1" applyAlignment="1" applyProtection="1">
      <alignment horizontal="left"/>
      <protection/>
    </xf>
    <xf numFmtId="0" fontId="9" fillId="3" borderId="5" xfId="0" applyFont="1" applyFill="1" applyBorder="1" applyAlignment="1" applyProtection="1" quotePrefix="1">
      <alignment horizontal="center"/>
      <protection/>
    </xf>
    <xf numFmtId="49" fontId="10" fillId="0" borderId="11" xfId="0" applyNumberFormat="1" applyFont="1" applyFill="1" applyBorder="1" applyAlignment="1" applyProtection="1">
      <alignment horizontal="center"/>
      <protection/>
    </xf>
    <xf numFmtId="0" fontId="9" fillId="3" borderId="15" xfId="0" applyFont="1" applyFill="1" applyBorder="1" applyAlignment="1" applyProtection="1">
      <alignment horizontal="center" vertical="center"/>
      <protection/>
    </xf>
    <xf numFmtId="0" fontId="9" fillId="3" borderId="12" xfId="0" applyFont="1" applyFill="1" applyBorder="1" applyAlignment="1" applyProtection="1">
      <alignment horizontal="center" vertical="center"/>
      <protection/>
    </xf>
    <xf numFmtId="186" fontId="10" fillId="0" borderId="13" xfId="40" applyFont="1" applyBorder="1" applyProtection="1">
      <alignment/>
      <protection/>
    </xf>
    <xf numFmtId="14" fontId="9" fillId="3" borderId="5" xfId="0" applyNumberFormat="1" applyFont="1" applyFill="1" applyBorder="1" applyAlignment="1" applyProtection="1">
      <alignment horizontal="right" vertical="center"/>
      <protection/>
    </xf>
    <xf numFmtId="185" fontId="10" fillId="0" borderId="23" xfId="40" applyNumberFormat="1" applyFont="1" applyBorder="1" applyAlignment="1" applyProtection="1">
      <alignment horizontal="center"/>
      <protection/>
    </xf>
    <xf numFmtId="37" fontId="9" fillId="3" borderId="5" xfId="0" applyNumberFormat="1" applyFont="1" applyFill="1" applyBorder="1" applyAlignment="1" applyProtection="1">
      <alignment horizontal="center" vertical="center"/>
      <protection/>
    </xf>
    <xf numFmtId="37" fontId="9" fillId="3" borderId="6" xfId="0" applyNumberFormat="1" applyFont="1" applyFill="1" applyBorder="1" applyAlignment="1" applyProtection="1">
      <alignment horizontal="right" vertical="center"/>
      <protection/>
    </xf>
    <xf numFmtId="37" fontId="9" fillId="3" borderId="6" xfId="0" applyNumberFormat="1" applyFont="1" applyFill="1" applyBorder="1" applyAlignment="1" applyProtection="1">
      <alignment horizontal="center" vertical="center" wrapText="1"/>
      <protection/>
    </xf>
    <xf numFmtId="37" fontId="9" fillId="3" borderId="6" xfId="0" applyNumberFormat="1" applyFont="1" applyFill="1" applyBorder="1" applyAlignment="1" applyProtection="1">
      <alignment horizontal="center" vertical="center"/>
      <protection/>
    </xf>
    <xf numFmtId="0" fontId="9" fillId="3" borderId="13" xfId="0" applyFont="1" applyFill="1" applyBorder="1" applyAlignment="1" applyProtection="1">
      <alignment horizontal="right" vertical="center"/>
      <protection/>
    </xf>
    <xf numFmtId="185" fontId="10" fillId="0" borderId="23" xfId="40" applyNumberFormat="1" applyFont="1" applyFill="1" applyBorder="1" applyAlignment="1" applyProtection="1">
      <alignment horizontal="center"/>
      <protection/>
    </xf>
    <xf numFmtId="4" fontId="10" fillId="0" borderId="23" xfId="40" applyNumberFormat="1" applyFont="1" applyFill="1" applyBorder="1" applyAlignment="1" applyProtection="1">
      <alignment horizontal="center"/>
      <protection/>
    </xf>
    <xf numFmtId="0" fontId="11" fillId="0" borderId="0" xfId="37" applyFont="1" applyFill="1" applyBorder="1" applyAlignment="1" applyProtection="1">
      <alignment vertical="center"/>
      <protection/>
    </xf>
    <xf numFmtId="181" fontId="10" fillId="0" borderId="13" xfId="0" applyNumberFormat="1" applyFont="1" applyFill="1" applyBorder="1" applyAlignment="1" applyProtection="1">
      <alignment horizontal="center"/>
      <protection/>
    </xf>
    <xf numFmtId="37" fontId="9" fillId="3" borderId="13" xfId="0" applyNumberFormat="1" applyFont="1" applyFill="1" applyBorder="1" applyAlignment="1" applyProtection="1">
      <alignment horizontal="center" vertical="center"/>
      <protection/>
    </xf>
    <xf numFmtId="185" fontId="10" fillId="0" borderId="13" xfId="40" applyNumberFormat="1" applyFont="1" applyFill="1" applyBorder="1" applyAlignment="1" applyProtection="1">
      <alignment horizontal="center"/>
      <protection/>
    </xf>
    <xf numFmtId="3" fontId="10" fillId="0" borderId="13" xfId="40" applyNumberFormat="1" applyFont="1" applyFill="1" applyBorder="1" applyProtection="1">
      <alignment/>
      <protection locked="0"/>
    </xf>
    <xf numFmtId="3" fontId="15" fillId="3" borderId="6" xfId="0" applyNumberFormat="1" applyFont="1" applyFill="1" applyBorder="1" applyAlignment="1" applyProtection="1">
      <alignment horizontal="center" vertical="center"/>
      <protection/>
    </xf>
    <xf numFmtId="0" fontId="15" fillId="3" borderId="6" xfId="0" applyFont="1" applyFill="1" applyBorder="1" applyAlignment="1" applyProtection="1">
      <alignment horizontal="center" vertical="center"/>
      <protection/>
    </xf>
    <xf numFmtId="3" fontId="15" fillId="3" borderId="13" xfId="0" applyNumberFormat="1" applyFont="1" applyFill="1" applyBorder="1" applyAlignment="1" applyProtection="1">
      <alignment horizontal="left" vertical="center"/>
      <protection/>
    </xf>
    <xf numFmtId="3" fontId="15" fillId="3" borderId="13" xfId="0" applyNumberFormat="1" applyFont="1" applyFill="1" applyBorder="1" applyAlignment="1" applyProtection="1">
      <alignment horizontal="center" vertical="center"/>
      <protection/>
    </xf>
    <xf numFmtId="2" fontId="15" fillId="3" borderId="13" xfId="0" applyNumberFormat="1" applyFont="1" applyFill="1" applyBorder="1" applyAlignment="1" applyProtection="1">
      <alignment horizontal="center" vertical="center"/>
      <protection/>
    </xf>
    <xf numFmtId="0" fontId="15" fillId="3" borderId="13" xfId="0" applyFont="1" applyFill="1" applyBorder="1" applyAlignment="1" applyProtection="1">
      <alignment horizontal="center" vertical="center"/>
      <protection/>
    </xf>
    <xf numFmtId="2" fontId="10" fillId="3" borderId="7" xfId="34" applyNumberFormat="1" applyFont="1" applyFill="1" applyBorder="1" applyAlignment="1" applyProtection="1">
      <alignment horizontal="center" vertical="center"/>
      <protection/>
    </xf>
    <xf numFmtId="195" fontId="10" fillId="0" borderId="0" xfId="0" applyNumberFormat="1" applyFont="1" applyFill="1" applyBorder="1" applyAlignment="1" applyProtection="1">
      <alignment horizontal="right" vertical="center"/>
      <protection/>
    </xf>
    <xf numFmtId="0" fontId="10" fillId="2" borderId="0" xfId="33" applyFont="1" applyFill="1" applyAlignment="1" applyProtection="1">
      <alignment horizontal="right"/>
      <protection/>
    </xf>
    <xf numFmtId="0" fontId="13" fillId="0" borderId="0" xfId="0" applyFont="1" applyAlignment="1" applyProtection="1">
      <alignment horizontal="left" vertical="center"/>
      <protection/>
    </xf>
    <xf numFmtId="0" fontId="0" fillId="0" borderId="0" xfId="0" applyFont="1" applyAlignment="1" applyProtection="1">
      <alignment vertical="top" wrapText="1"/>
      <protection/>
    </xf>
    <xf numFmtId="0" fontId="0" fillId="0" borderId="0" xfId="0" applyAlignment="1" applyProtection="1">
      <alignment vertical="top" wrapText="1"/>
      <protection hidden="1"/>
    </xf>
    <xf numFmtId="49" fontId="10" fillId="0" borderId="0" xfId="0" applyNumberFormat="1" applyFont="1" applyAlignment="1" applyProtection="1">
      <alignment horizontal="center"/>
      <protection/>
    </xf>
    <xf numFmtId="0" fontId="0" fillId="0" borderId="0" xfId="0" applyAlignment="1">
      <alignment/>
    </xf>
    <xf numFmtId="0" fontId="9" fillId="0" borderId="14" xfId="0" applyFont="1" applyFill="1" applyBorder="1" applyAlignment="1" applyProtection="1">
      <alignment horizontal="center"/>
      <protection/>
    </xf>
    <xf numFmtId="49" fontId="10" fillId="0" borderId="14" xfId="0" applyNumberFormat="1" applyFont="1" applyFill="1" applyBorder="1" applyAlignment="1" applyProtection="1">
      <alignment horizontal="center"/>
      <protection/>
    </xf>
    <xf numFmtId="10" fontId="10" fillId="0" borderId="14" xfId="0" applyNumberFormat="1" applyFont="1" applyFill="1" applyBorder="1" applyAlignment="1" applyProtection="1">
      <alignment horizontal="center"/>
      <protection/>
    </xf>
    <xf numFmtId="10" fontId="10" fillId="0" borderId="13" xfId="0" applyNumberFormat="1" applyFont="1" applyFill="1" applyBorder="1" applyAlignment="1" applyProtection="1">
      <alignment horizontal="center"/>
      <protection/>
    </xf>
    <xf numFmtId="37" fontId="9" fillId="0" borderId="17" xfId="0" applyNumberFormat="1" applyFont="1" applyFill="1" applyBorder="1" applyAlignment="1" applyProtection="1">
      <alignment vertical="center"/>
      <protection/>
    </xf>
    <xf numFmtId="37" fontId="9" fillId="0" borderId="12" xfId="0" applyNumberFormat="1" applyFont="1" applyFill="1" applyBorder="1" applyAlignment="1" applyProtection="1">
      <alignment/>
      <protection/>
    </xf>
    <xf numFmtId="0" fontId="17" fillId="0" borderId="0" xfId="0" applyFont="1" applyAlignment="1" applyProtection="1">
      <alignment horizontal="right"/>
      <protection/>
    </xf>
    <xf numFmtId="37" fontId="9" fillId="0" borderId="17" xfId="0" applyNumberFormat="1" applyFont="1" applyFill="1" applyBorder="1" applyAlignment="1" applyProtection="1">
      <alignment/>
      <protection/>
    </xf>
    <xf numFmtId="0" fontId="16" fillId="0" borderId="0" xfId="0" applyFont="1" applyAlignment="1" applyProtection="1">
      <alignment/>
      <protection/>
    </xf>
    <xf numFmtId="180" fontId="9" fillId="0" borderId="6" xfId="0" applyNumberFormat="1" applyFont="1" applyFill="1" applyBorder="1" applyAlignment="1" applyProtection="1">
      <alignment horizontal="center"/>
      <protection/>
    </xf>
    <xf numFmtId="0" fontId="10" fillId="0" borderId="17" xfId="0" applyFont="1" applyFill="1" applyBorder="1" applyAlignment="1" applyProtection="1">
      <alignment/>
      <protection/>
    </xf>
    <xf numFmtId="0" fontId="10" fillId="0" borderId="12" xfId="0" applyFont="1" applyFill="1" applyBorder="1" applyAlignment="1" applyProtection="1">
      <alignment/>
      <protection/>
    </xf>
    <xf numFmtId="0" fontId="17" fillId="0" borderId="0" xfId="0" applyFont="1" applyAlignment="1" applyProtection="1">
      <alignment horizontal="center" vertical="center"/>
      <protection/>
    </xf>
    <xf numFmtId="0" fontId="16" fillId="0" borderId="0" xfId="0" applyNumberFormat="1" applyFont="1" applyBorder="1" applyAlignment="1" applyProtection="1">
      <alignment horizontal="left" vertical="top"/>
      <protection/>
    </xf>
    <xf numFmtId="0" fontId="16" fillId="0" borderId="0" xfId="0" applyNumberFormat="1" applyFont="1" applyBorder="1" applyAlignment="1" applyProtection="1">
      <alignment/>
      <protection/>
    </xf>
    <xf numFmtId="0" fontId="10" fillId="0" borderId="0" xfId="0" applyFont="1" applyFill="1" applyAlignment="1" applyProtection="1">
      <alignment horizontal="center" vertical="center"/>
      <protection/>
    </xf>
    <xf numFmtId="0" fontId="9" fillId="0" borderId="0" xfId="0" applyFont="1" applyFill="1" applyAlignment="1" applyProtection="1">
      <alignment/>
      <protection/>
    </xf>
    <xf numFmtId="0" fontId="17" fillId="0" borderId="0" xfId="0" applyFont="1" applyAlignment="1" applyProtection="1">
      <alignment horizontal="right" vertical="center"/>
      <protection/>
    </xf>
    <xf numFmtId="0" fontId="9" fillId="0" borderId="5" xfId="0" applyFont="1" applyFill="1" applyBorder="1" applyAlignment="1" applyProtection="1">
      <alignment horizontal="center"/>
      <protection/>
    </xf>
    <xf numFmtId="14" fontId="9" fillId="3" borderId="5" xfId="0" applyNumberFormat="1" applyFont="1" applyFill="1" applyBorder="1" applyAlignment="1" applyProtection="1">
      <alignment horizontal="center" vertical="center"/>
      <protection/>
    </xf>
    <xf numFmtId="0" fontId="10" fillId="3" borderId="11" xfId="0" applyFont="1" applyFill="1" applyBorder="1" applyAlignment="1" applyProtection="1">
      <alignment/>
      <protection/>
    </xf>
    <xf numFmtId="37" fontId="10" fillId="0" borderId="11" xfId="0" applyNumberFormat="1" applyFont="1" applyFill="1" applyBorder="1" applyAlignment="1" applyProtection="1">
      <alignment/>
      <protection/>
    </xf>
    <xf numFmtId="0" fontId="17" fillId="0" borderId="0" xfId="36" applyFont="1" applyFill="1" applyBorder="1" applyAlignment="1" applyProtection="1">
      <alignment horizontal="right"/>
      <protection/>
    </xf>
    <xf numFmtId="0" fontId="10" fillId="0" borderId="0" xfId="36" applyFont="1" applyProtection="1">
      <alignment/>
      <protection/>
    </xf>
    <xf numFmtId="0" fontId="9" fillId="0" borderId="0" xfId="36" applyFont="1" applyAlignment="1" applyProtection="1">
      <alignment horizontal="center" vertical="center"/>
      <protection/>
    </xf>
    <xf numFmtId="0" fontId="1" fillId="0" borderId="0" xfId="36" applyFill="1" applyProtection="1">
      <alignment/>
      <protection/>
    </xf>
    <xf numFmtId="0" fontId="9" fillId="0" borderId="0" xfId="33" applyFont="1" applyFill="1" applyProtection="1">
      <alignment/>
      <protection/>
    </xf>
    <xf numFmtId="0" fontId="10" fillId="0" borderId="0" xfId="33" applyFont="1" applyFill="1" applyAlignment="1" applyProtection="1">
      <alignment/>
      <protection/>
    </xf>
    <xf numFmtId="0" fontId="10" fillId="0" borderId="0" xfId="33" applyFont="1" applyFill="1" applyProtection="1">
      <alignment/>
      <protection/>
    </xf>
    <xf numFmtId="0" fontId="16" fillId="5" borderId="0" xfId="0" applyNumberFormat="1" applyFont="1" applyFill="1" applyBorder="1" applyAlignment="1" applyProtection="1">
      <alignment/>
      <protection/>
    </xf>
    <xf numFmtId="49" fontId="12" fillId="5" borderId="0" xfId="0" applyNumberFormat="1" applyFont="1" applyFill="1" applyAlignment="1" applyProtection="1">
      <alignment/>
      <protection/>
    </xf>
    <xf numFmtId="0" fontId="10" fillId="0" borderId="25" xfId="0" applyFont="1" applyBorder="1" applyAlignment="1" applyProtection="1">
      <alignment/>
      <protection/>
    </xf>
    <xf numFmtId="0" fontId="10" fillId="0" borderId="12" xfId="0" applyFont="1" applyBorder="1" applyAlignment="1" applyProtection="1">
      <alignment/>
      <protection/>
    </xf>
    <xf numFmtId="0" fontId="10" fillId="0" borderId="21" xfId="0" applyFont="1" applyBorder="1" applyAlignment="1" applyProtection="1">
      <alignment/>
      <protection/>
    </xf>
    <xf numFmtId="0" fontId="10" fillId="0" borderId="26" xfId="0" applyFont="1" applyBorder="1" applyAlignment="1" applyProtection="1">
      <alignment/>
      <protection/>
    </xf>
    <xf numFmtId="0" fontId="10" fillId="5" borderId="0" xfId="0" applyFont="1" applyFill="1" applyBorder="1" applyAlignment="1" applyProtection="1">
      <alignment/>
      <protection/>
    </xf>
    <xf numFmtId="0" fontId="10" fillId="5" borderId="7" xfId="0" applyFont="1" applyFill="1" applyBorder="1" applyAlignment="1" applyProtection="1">
      <alignment/>
      <protection/>
    </xf>
    <xf numFmtId="0" fontId="10" fillId="5" borderId="9" xfId="0" applyFont="1" applyFill="1" applyBorder="1" applyAlignment="1" applyProtection="1">
      <alignment/>
      <protection/>
    </xf>
    <xf numFmtId="0" fontId="10" fillId="5" borderId="19" xfId="0" applyFont="1" applyFill="1" applyBorder="1" applyAlignment="1" applyProtection="1">
      <alignment/>
      <protection/>
    </xf>
    <xf numFmtId="0" fontId="10" fillId="5" borderId="14" xfId="0" applyFont="1" applyFill="1" applyBorder="1" applyAlignment="1" applyProtection="1">
      <alignment/>
      <protection/>
    </xf>
    <xf numFmtId="169" fontId="9" fillId="0" borderId="0" xfId="0" applyNumberFormat="1" applyFont="1" applyFill="1" applyBorder="1" applyAlignment="1" applyProtection="1">
      <alignment horizontal="center"/>
      <protection/>
    </xf>
    <xf numFmtId="0" fontId="10" fillId="2" borderId="0" xfId="33" applyFont="1" applyFill="1" applyAlignment="1" applyProtection="1">
      <alignment horizontal="center"/>
      <protection/>
    </xf>
    <xf numFmtId="49" fontId="11" fillId="0" borderId="0" xfId="0" applyNumberFormat="1" applyFont="1" applyBorder="1" applyAlignment="1" applyProtection="1">
      <alignment horizontal="center" vertical="center"/>
      <protection/>
    </xf>
    <xf numFmtId="193" fontId="10" fillId="0" borderId="5" xfId="0" applyNumberFormat="1" applyFont="1" applyFill="1" applyBorder="1" applyAlignment="1" applyProtection="1">
      <alignment horizontal="center" vertical="center"/>
      <protection/>
    </xf>
    <xf numFmtId="193" fontId="10" fillId="0" borderId="27" xfId="0" applyNumberFormat="1" applyFont="1" applyFill="1" applyBorder="1" applyAlignment="1" applyProtection="1">
      <alignment horizontal="center" vertical="center"/>
      <protection/>
    </xf>
    <xf numFmtId="193" fontId="10" fillId="0" borderId="13" xfId="0" applyNumberFormat="1" applyFont="1" applyFill="1" applyBorder="1" applyAlignment="1" applyProtection="1">
      <alignment horizontal="center" vertical="center"/>
      <protection/>
    </xf>
    <xf numFmtId="193" fontId="10" fillId="0" borderId="28" xfId="0" applyNumberFormat="1"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9"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xf>
    <xf numFmtId="0" fontId="10" fillId="0" borderId="9" xfId="0" applyFont="1" applyFill="1" applyBorder="1" applyAlignment="1" applyProtection="1">
      <alignment horizontal="center"/>
      <protection/>
    </xf>
    <xf numFmtId="0" fontId="10" fillId="0" borderId="14" xfId="0" applyFont="1" applyFill="1" applyBorder="1" applyAlignment="1" applyProtection="1">
      <alignment horizontal="center"/>
      <protection/>
    </xf>
    <xf numFmtId="0" fontId="9" fillId="3" borderId="9" xfId="0" applyFont="1" applyFill="1" applyBorder="1" applyAlignment="1" applyProtection="1">
      <alignment horizontal="center"/>
      <protection/>
    </xf>
    <xf numFmtId="0" fontId="10" fillId="3" borderId="14" xfId="0" applyFont="1" applyFill="1" applyBorder="1" applyAlignment="1" applyProtection="1">
      <alignment/>
      <protection/>
    </xf>
    <xf numFmtId="0" fontId="10" fillId="3" borderId="0" xfId="0" applyFont="1" applyFill="1" applyBorder="1" applyAlignment="1" applyProtection="1">
      <alignment/>
      <protection/>
    </xf>
    <xf numFmtId="0" fontId="9" fillId="3" borderId="13" xfId="0" applyFont="1" applyFill="1" applyBorder="1" applyAlignment="1" applyProtection="1">
      <alignment horizontal="center" vertical="center" wrapText="1"/>
      <protection/>
    </xf>
    <xf numFmtId="194" fontId="10" fillId="0" borderId="5" xfId="0" applyNumberFormat="1" applyFont="1" applyFill="1" applyBorder="1" applyAlignment="1" applyProtection="1">
      <alignment horizontal="center" vertical="center"/>
      <protection/>
    </xf>
    <xf numFmtId="194" fontId="10" fillId="0" borderId="27" xfId="0" applyNumberFormat="1" applyFont="1" applyFill="1" applyBorder="1" applyAlignment="1" applyProtection="1">
      <alignment horizontal="center" vertical="center"/>
      <protection/>
    </xf>
    <xf numFmtId="194" fontId="10" fillId="0" borderId="13" xfId="0" applyNumberFormat="1" applyFont="1" applyFill="1" applyBorder="1" applyAlignment="1" applyProtection="1">
      <alignment horizontal="center" vertical="center"/>
      <protection/>
    </xf>
    <xf numFmtId="4" fontId="10" fillId="5" borderId="5" xfId="0" applyNumberFormat="1" applyFont="1" applyFill="1" applyBorder="1" applyAlignment="1" applyProtection="1">
      <alignment horizontal="center"/>
      <protection/>
    </xf>
    <xf numFmtId="4" fontId="10" fillId="5" borderId="0" xfId="0" applyNumberFormat="1" applyFont="1" applyFill="1" applyBorder="1" applyAlignment="1" applyProtection="1">
      <alignment horizontal="center"/>
      <protection/>
    </xf>
    <xf numFmtId="4" fontId="10" fillId="5" borderId="6" xfId="0" applyNumberFormat="1" applyFont="1" applyFill="1" applyBorder="1" applyAlignment="1" applyProtection="1">
      <alignment horizontal="center"/>
      <protection/>
    </xf>
    <xf numFmtId="195" fontId="9" fillId="3" borderId="5" xfId="0" applyNumberFormat="1" applyFont="1" applyFill="1" applyBorder="1" applyAlignment="1" applyProtection="1">
      <alignment horizontal="center" vertical="center"/>
      <protection/>
    </xf>
    <xf numFmtId="0" fontId="9" fillId="3" borderId="27" xfId="0" applyNumberFormat="1" applyFont="1" applyFill="1" applyBorder="1" applyAlignment="1" applyProtection="1">
      <alignment horizontal="center"/>
      <protection/>
    </xf>
    <xf numFmtId="0" fontId="9" fillId="3" borderId="23" xfId="0" applyNumberFormat="1" applyFont="1" applyFill="1" applyBorder="1" applyAlignment="1" applyProtection="1">
      <alignment horizontal="center"/>
      <protection/>
    </xf>
    <xf numFmtId="0" fontId="25" fillId="0" borderId="0" xfId="0" applyFont="1" applyAlignment="1" applyProtection="1">
      <alignment horizontal="center"/>
      <protection/>
    </xf>
    <xf numFmtId="0" fontId="10" fillId="0" borderId="0" xfId="33" applyFont="1" applyFill="1" applyAlignment="1" applyProtection="1">
      <alignment horizontal="center"/>
      <protection/>
    </xf>
    <xf numFmtId="0" fontId="10" fillId="0" borderId="0" xfId="36" applyFont="1" applyFill="1" applyProtection="1">
      <alignment/>
      <protection/>
    </xf>
    <xf numFmtId="37" fontId="9" fillId="0" borderId="11" xfId="0" applyNumberFormat="1" applyFont="1" applyFill="1" applyBorder="1" applyAlignment="1" applyProtection="1">
      <alignment/>
      <protection/>
    </xf>
    <xf numFmtId="37" fontId="10" fillId="0" borderId="0" xfId="0" applyNumberFormat="1" applyFont="1" applyAlignment="1" applyProtection="1">
      <alignment/>
      <protection/>
    </xf>
    <xf numFmtId="0" fontId="9" fillId="3" borderId="7" xfId="0" applyFont="1" applyFill="1" applyBorder="1" applyAlignment="1" applyProtection="1">
      <alignment/>
      <protection/>
    </xf>
    <xf numFmtId="0" fontId="9" fillId="3" borderId="9" xfId="0" applyFont="1" applyFill="1" applyBorder="1" applyAlignment="1" applyProtection="1">
      <alignment wrapText="1"/>
      <protection/>
    </xf>
    <xf numFmtId="184" fontId="23" fillId="0" borderId="5" xfId="0" applyNumberFormat="1" applyFont="1" applyFill="1" applyBorder="1" applyAlignment="1" applyProtection="1">
      <alignment/>
      <protection/>
    </xf>
    <xf numFmtId="184" fontId="14" fillId="0" borderId="5" xfId="43" applyNumberFormat="1" applyFont="1" applyFill="1" applyBorder="1" applyProtection="1">
      <alignment/>
      <protection/>
    </xf>
    <xf numFmtId="0" fontId="0" fillId="0" borderId="0" xfId="0" applyBorder="1" applyAlignment="1">
      <alignment/>
    </xf>
    <xf numFmtId="0" fontId="17" fillId="0" borderId="0" xfId="0" applyFont="1" applyFill="1" applyBorder="1" applyAlignment="1" applyProtection="1">
      <alignment horizontal="right" vertical="center"/>
      <protection/>
    </xf>
    <xf numFmtId="0" fontId="17"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184" fontId="9" fillId="0" borderId="0" xfId="43" applyNumberFormat="1" applyFont="1" applyFill="1" applyBorder="1" applyProtection="1">
      <alignment/>
      <protection/>
    </xf>
    <xf numFmtId="184" fontId="10" fillId="0" borderId="0" xfId="0" applyNumberFormat="1" applyFont="1" applyFill="1" applyBorder="1" applyAlignment="1" applyProtection="1">
      <alignment/>
      <protection/>
    </xf>
    <xf numFmtId="184" fontId="15" fillId="0" borderId="0" xfId="43" applyNumberFormat="1" applyFont="1" applyFill="1" applyBorder="1" applyProtection="1">
      <alignment/>
      <protection/>
    </xf>
    <xf numFmtId="0" fontId="0" fillId="0" borderId="0" xfId="0" applyFill="1" applyBorder="1" applyAlignment="1">
      <alignment/>
    </xf>
    <xf numFmtId="0" fontId="0" fillId="0" borderId="0" xfId="0" applyFill="1" applyBorder="1" applyAlignment="1" applyProtection="1">
      <alignment horizontal="justify" vertical="top"/>
      <protection/>
    </xf>
    <xf numFmtId="184" fontId="10" fillId="0" borderId="20" xfId="40" applyNumberFormat="1" applyFont="1" applyFill="1" applyBorder="1" applyProtection="1">
      <alignment/>
      <protection locked="0"/>
    </xf>
    <xf numFmtId="184" fontId="9" fillId="0" borderId="18" xfId="43" applyNumberFormat="1" applyFont="1" applyFill="1" applyBorder="1" applyProtection="1">
      <alignment/>
      <protection/>
    </xf>
    <xf numFmtId="184" fontId="23" fillId="0" borderId="14" xfId="0" applyNumberFormat="1" applyFont="1" applyFill="1" applyBorder="1" applyAlignment="1" applyProtection="1">
      <alignment/>
      <protection/>
    </xf>
    <xf numFmtId="184" fontId="23" fillId="0" borderId="15" xfId="0" applyNumberFormat="1" applyFont="1" applyFill="1" applyBorder="1" applyAlignment="1" applyProtection="1">
      <alignment/>
      <protection/>
    </xf>
    <xf numFmtId="0" fontId="9" fillId="3" borderId="19" xfId="36" applyFont="1" applyFill="1" applyBorder="1" applyAlignment="1" applyProtection="1">
      <alignment horizontal="center" vertical="center"/>
      <protection/>
    </xf>
    <xf numFmtId="0" fontId="9" fillId="3" borderId="23" xfId="36" applyFont="1" applyFill="1" applyBorder="1" applyAlignment="1" applyProtection="1">
      <alignment horizontal="center" vertical="center"/>
      <protection/>
    </xf>
    <xf numFmtId="0" fontId="10" fillId="0" borderId="5" xfId="0" applyFont="1" applyBorder="1" applyAlignment="1" applyProtection="1">
      <alignment/>
      <protection/>
    </xf>
    <xf numFmtId="194" fontId="10" fillId="0" borderId="6" xfId="0" applyNumberFormat="1" applyFont="1" applyFill="1" applyBorder="1" applyAlignment="1" applyProtection="1">
      <alignment horizontal="center" vertical="center"/>
      <protection/>
    </xf>
    <xf numFmtId="0" fontId="10" fillId="0" borderId="10" xfId="0" applyFont="1" applyBorder="1" applyAlignment="1" applyProtection="1">
      <alignment horizontal="center"/>
      <protection/>
    </xf>
    <xf numFmtId="0" fontId="10" fillId="0" borderId="10" xfId="0" applyFont="1" applyFill="1" applyBorder="1" applyAlignment="1" applyProtection="1">
      <alignment horizontal="center"/>
      <protection/>
    </xf>
    <xf numFmtId="0" fontId="10" fillId="0" borderId="15" xfId="0" applyFont="1" applyFill="1" applyBorder="1" applyAlignment="1" applyProtection="1">
      <alignment horizontal="center"/>
      <protection/>
    </xf>
    <xf numFmtId="0" fontId="9" fillId="3" borderId="10" xfId="0" applyFont="1" applyFill="1" applyBorder="1" applyAlignment="1" applyProtection="1">
      <alignment horizontal="center"/>
      <protection/>
    </xf>
    <xf numFmtId="169" fontId="9" fillId="0" borderId="0" xfId="0" applyNumberFormat="1" applyFont="1" applyFill="1" applyBorder="1" applyAlignment="1" applyProtection="1">
      <alignment horizontal="left" vertical="center"/>
      <protection/>
    </xf>
    <xf numFmtId="0" fontId="9" fillId="0" borderId="0" xfId="34" applyFont="1" applyFill="1" applyBorder="1" applyAlignment="1" applyProtection="1">
      <alignment horizontal="left" vertical="center"/>
      <protection/>
    </xf>
    <xf numFmtId="0" fontId="0" fillId="0" borderId="0" xfId="0" applyFill="1" applyBorder="1" applyAlignment="1">
      <alignment vertical="center"/>
    </xf>
    <xf numFmtId="0" fontId="0" fillId="0" borderId="11" xfId="0" applyBorder="1" applyAlignment="1">
      <alignment vertical="center"/>
    </xf>
    <xf numFmtId="41" fontId="10" fillId="0" borderId="13" xfId="40" applyNumberFormat="1" applyFont="1" applyFill="1" applyBorder="1" applyProtection="1">
      <alignment/>
      <protection/>
    </xf>
    <xf numFmtId="41" fontId="10" fillId="0" borderId="5" xfId="40" applyNumberFormat="1" applyFont="1" applyFill="1" applyBorder="1" applyProtection="1">
      <alignment/>
      <protection/>
    </xf>
    <xf numFmtId="41" fontId="10" fillId="0" borderId="6" xfId="40" applyNumberFormat="1" applyFont="1" applyFill="1" applyBorder="1" applyProtection="1">
      <alignment/>
      <protection/>
    </xf>
    <xf numFmtId="41" fontId="9" fillId="3" borderId="29" xfId="43" applyNumberFormat="1" applyFont="1" applyBorder="1" applyProtection="1">
      <alignment/>
      <protection/>
    </xf>
    <xf numFmtId="41" fontId="10" fillId="0" borderId="6" xfId="40" applyNumberFormat="1" applyFont="1" applyFill="1" applyBorder="1" applyProtection="1" quotePrefix="1">
      <alignment/>
      <protection/>
    </xf>
    <xf numFmtId="3" fontId="10" fillId="0" borderId="6" xfId="40" applyNumberFormat="1" applyFont="1" applyFill="1" applyBorder="1" applyProtection="1" quotePrefix="1">
      <alignment/>
      <protection locked="0"/>
    </xf>
    <xf numFmtId="3" fontId="10" fillId="0" borderId="12" xfId="40" applyNumberFormat="1" applyFont="1" applyFill="1" applyBorder="1" applyProtection="1">
      <alignment/>
      <protection locked="0"/>
    </xf>
    <xf numFmtId="3" fontId="10" fillId="0" borderId="23" xfId="42" applyNumberFormat="1" applyFont="1" applyFill="1" applyBorder="1" applyProtection="1">
      <alignment/>
      <protection locked="0"/>
    </xf>
    <xf numFmtId="3" fontId="10" fillId="0" borderId="5" xfId="42" applyNumberFormat="1" applyFont="1" applyFill="1" applyBorder="1" applyProtection="1">
      <alignment/>
      <protection locked="0"/>
    </xf>
    <xf numFmtId="3" fontId="10" fillId="0" borderId="10" xfId="40" applyNumberFormat="1" applyFont="1" applyFill="1" applyBorder="1" applyProtection="1">
      <alignment/>
      <protection locked="0"/>
    </xf>
    <xf numFmtId="3" fontId="10" fillId="0" borderId="7" xfId="42" applyNumberFormat="1" applyFont="1" applyFill="1" applyBorder="1" applyProtection="1">
      <alignment/>
      <protection locked="0"/>
    </xf>
    <xf numFmtId="3" fontId="10" fillId="0" borderId="15" xfId="40" applyNumberFormat="1" applyFont="1" applyFill="1" applyBorder="1" applyProtection="1">
      <alignment/>
      <protection locked="0"/>
    </xf>
    <xf numFmtId="3" fontId="10" fillId="0" borderId="19" xfId="42" applyNumberFormat="1" applyFont="1" applyFill="1" applyBorder="1" applyProtection="1">
      <alignment/>
      <protection locked="0"/>
    </xf>
    <xf numFmtId="41" fontId="10" fillId="0" borderId="23" xfId="40" applyNumberFormat="1" applyFont="1" applyBorder="1" applyAlignment="1" applyProtection="1">
      <alignment/>
      <protection/>
    </xf>
    <xf numFmtId="41" fontId="10" fillId="0" borderId="7" xfId="40" applyNumberFormat="1" applyFont="1" applyBorder="1" applyAlignment="1" applyProtection="1">
      <alignment/>
      <protection/>
    </xf>
    <xf numFmtId="41" fontId="10" fillId="0" borderId="19" xfId="40" applyNumberFormat="1" applyFont="1" applyBorder="1" applyAlignment="1" applyProtection="1">
      <alignment/>
      <protection/>
    </xf>
    <xf numFmtId="41" fontId="9" fillId="3" borderId="5" xfId="43" applyNumberFormat="1" applyFont="1" applyFill="1" applyBorder="1" applyAlignment="1" applyProtection="1">
      <alignment/>
      <protection/>
    </xf>
    <xf numFmtId="41" fontId="10" fillId="0" borderId="13" xfId="40" applyNumberFormat="1" applyFont="1" applyBorder="1" applyProtection="1">
      <alignment/>
      <protection/>
    </xf>
    <xf numFmtId="41" fontId="10" fillId="0" borderId="5" xfId="40" applyNumberFormat="1" applyFont="1" applyBorder="1" applyProtection="1">
      <alignment/>
      <protection/>
    </xf>
    <xf numFmtId="41" fontId="10" fillId="0" borderId="6" xfId="40" applyNumberFormat="1" applyFont="1" applyBorder="1" applyProtection="1">
      <alignment/>
      <protection/>
    </xf>
    <xf numFmtId="41" fontId="9" fillId="3" borderId="5" xfId="43" applyNumberFormat="1" applyFont="1" applyFill="1" applyBorder="1" applyProtection="1">
      <alignment/>
      <protection/>
    </xf>
    <xf numFmtId="41" fontId="9" fillId="3" borderId="5" xfId="40" applyNumberFormat="1" applyFont="1" applyFill="1" applyBorder="1" applyProtection="1">
      <alignment/>
      <protection/>
    </xf>
    <xf numFmtId="41" fontId="9" fillId="3" borderId="5" xfId="43" applyNumberFormat="1" applyFont="1" applyBorder="1" applyProtection="1">
      <alignment/>
      <protection/>
    </xf>
    <xf numFmtId="41" fontId="14" fillId="3" borderId="5" xfId="43" applyNumberFormat="1" applyFont="1" applyBorder="1" applyAlignment="1" applyProtection="1">
      <alignment/>
      <protection/>
    </xf>
    <xf numFmtId="3" fontId="10" fillId="0" borderId="13" xfId="42" applyNumberFormat="1" applyFont="1" applyFill="1" applyBorder="1" applyProtection="1">
      <alignment/>
      <protection locked="0"/>
    </xf>
    <xf numFmtId="41" fontId="10" fillId="0" borderId="23" xfId="40" applyNumberFormat="1" applyFont="1" applyBorder="1" applyProtection="1">
      <alignment/>
      <protection/>
    </xf>
    <xf numFmtId="41" fontId="10" fillId="0" borderId="7" xfId="40" applyNumberFormat="1" applyFont="1" applyBorder="1" applyProtection="1">
      <alignment/>
      <protection/>
    </xf>
    <xf numFmtId="41" fontId="10" fillId="0" borderId="5" xfId="42" applyNumberFormat="1" applyFont="1" applyFill="1" applyBorder="1" applyProtection="1">
      <alignment/>
      <protection/>
    </xf>
    <xf numFmtId="41" fontId="9" fillId="3" borderId="5" xfId="44" applyNumberFormat="1" applyFont="1" applyBorder="1" applyProtection="1">
      <alignment/>
      <protection/>
    </xf>
    <xf numFmtId="3" fontId="10" fillId="0" borderId="6" xfId="40" applyNumberFormat="1" applyFont="1" applyFill="1" applyBorder="1" applyProtection="1">
      <alignment/>
      <protection locked="0"/>
    </xf>
    <xf numFmtId="41" fontId="9" fillId="3" borderId="5" xfId="43" applyNumberFormat="1" applyFont="1" applyBorder="1" applyAlignment="1" applyProtection="1">
      <alignment/>
      <protection/>
    </xf>
    <xf numFmtId="41" fontId="9" fillId="3" borderId="5" xfId="43" applyNumberFormat="1" applyFont="1" applyBorder="1" applyProtection="1" quotePrefix="1">
      <alignment/>
      <protection/>
    </xf>
    <xf numFmtId="3" fontId="10" fillId="0" borderId="10" xfId="40" applyNumberFormat="1" applyFont="1" applyBorder="1" applyProtection="1">
      <alignment/>
      <protection/>
    </xf>
    <xf numFmtId="3" fontId="10" fillId="0" borderId="6" xfId="42" applyNumberFormat="1" applyFont="1" applyFill="1" applyBorder="1" applyProtection="1">
      <alignment/>
      <protection locked="0"/>
    </xf>
    <xf numFmtId="41" fontId="10" fillId="0" borderId="6" xfId="42" applyNumberFormat="1" applyFont="1" applyFill="1" applyBorder="1" applyProtection="1">
      <alignment/>
      <protection/>
    </xf>
    <xf numFmtId="1" fontId="10" fillId="0" borderId="5" xfId="40" applyNumberFormat="1" applyFont="1" applyFill="1" applyBorder="1" applyProtection="1">
      <alignment/>
      <protection locked="0"/>
    </xf>
    <xf numFmtId="1" fontId="10" fillId="0" borderId="6" xfId="40" applyNumberFormat="1" applyFont="1" applyFill="1" applyBorder="1" applyProtection="1">
      <alignment/>
      <protection locked="0"/>
    </xf>
    <xf numFmtId="49" fontId="10" fillId="0" borderId="7" xfId="40" applyNumberFormat="1" applyFont="1" applyFill="1" applyBorder="1" applyProtection="1">
      <alignment/>
      <protection locked="0"/>
    </xf>
    <xf numFmtId="49" fontId="10" fillId="0" borderId="9" xfId="40" applyNumberFormat="1" applyFont="1" applyFill="1" applyBorder="1" applyProtection="1">
      <alignment/>
      <protection locked="0"/>
    </xf>
    <xf numFmtId="49" fontId="10" fillId="0" borderId="10" xfId="40" applyNumberFormat="1" applyFont="1" applyFill="1" applyBorder="1" applyProtection="1">
      <alignment/>
      <protection locked="0"/>
    </xf>
    <xf numFmtId="49" fontId="10" fillId="0" borderId="19" xfId="40" applyNumberFormat="1" applyFont="1" applyFill="1" applyBorder="1" applyProtection="1">
      <alignment/>
      <protection locked="0"/>
    </xf>
    <xf numFmtId="49" fontId="10" fillId="0" borderId="14" xfId="40" applyNumberFormat="1" applyFont="1" applyFill="1" applyBorder="1" applyProtection="1">
      <alignment/>
      <protection locked="0"/>
    </xf>
    <xf numFmtId="49" fontId="10" fillId="0" borderId="15" xfId="40" applyNumberFormat="1" applyFont="1" applyFill="1" applyBorder="1" applyProtection="1">
      <alignment/>
      <protection locked="0"/>
    </xf>
    <xf numFmtId="41" fontId="9" fillId="3" borderId="10" xfId="36" applyNumberFormat="1" applyFont="1" applyFill="1" applyBorder="1" applyAlignment="1" applyProtection="1">
      <alignment horizontal="right" vertical="center"/>
      <protection/>
    </xf>
    <xf numFmtId="41" fontId="10" fillId="0" borderId="10" xfId="36" applyNumberFormat="1" applyFont="1" applyFill="1" applyBorder="1" applyAlignment="1" applyProtection="1">
      <alignment vertical="center"/>
      <protection/>
    </xf>
    <xf numFmtId="3" fontId="10" fillId="0" borderId="27" xfId="40" applyNumberFormat="1" applyFont="1" applyFill="1" applyBorder="1" applyProtection="1">
      <alignment/>
      <protection locked="0"/>
    </xf>
    <xf numFmtId="41" fontId="10" fillId="0" borderId="5" xfId="34" applyNumberFormat="1" applyFont="1" applyFill="1" applyBorder="1" applyAlignment="1" applyProtection="1">
      <alignment horizontal="center" vertical="center"/>
      <protection/>
    </xf>
    <xf numFmtId="41" fontId="10" fillId="0" borderId="27" xfId="34" applyNumberFormat="1" applyFont="1" applyFill="1" applyBorder="1" applyAlignment="1" applyProtection="1">
      <alignment horizontal="center" vertical="center"/>
      <protection/>
    </xf>
    <xf numFmtId="41" fontId="10" fillId="0" borderId="13" xfId="34" applyNumberFormat="1" applyFont="1" applyFill="1" applyBorder="1" applyAlignment="1" applyProtection="1">
      <alignment horizontal="center" vertical="center"/>
      <protection/>
    </xf>
    <xf numFmtId="41" fontId="9" fillId="3" borderId="9" xfId="0" applyNumberFormat="1" applyFont="1" applyFill="1" applyBorder="1" applyAlignment="1" applyProtection="1">
      <alignment horizontal="center"/>
      <protection/>
    </xf>
    <xf numFmtId="41" fontId="10" fillId="0" borderId="5" xfId="34" applyNumberFormat="1" applyFont="1" applyFill="1" applyBorder="1" applyAlignment="1" applyProtection="1">
      <alignment horizontal="right" vertical="center"/>
      <protection/>
    </xf>
    <xf numFmtId="41" fontId="10" fillId="0" borderId="27" xfId="34" applyNumberFormat="1" applyFont="1" applyFill="1" applyBorder="1" applyAlignment="1" applyProtection="1">
      <alignment horizontal="right" vertical="center"/>
      <protection/>
    </xf>
    <xf numFmtId="41" fontId="10" fillId="0" borderId="13" xfId="34" applyNumberFormat="1" applyFont="1" applyFill="1" applyBorder="1" applyAlignment="1" applyProtection="1">
      <alignment horizontal="right" vertical="center"/>
      <protection/>
    </xf>
    <xf numFmtId="41" fontId="9" fillId="3" borderId="5" xfId="0" applyNumberFormat="1" applyFont="1" applyFill="1" applyBorder="1" applyAlignment="1" applyProtection="1">
      <alignment horizontal="center"/>
      <protection/>
    </xf>
    <xf numFmtId="3" fontId="10" fillId="0" borderId="9" xfId="40" applyNumberFormat="1" applyFont="1" applyFill="1" applyBorder="1" applyProtection="1">
      <alignment/>
      <protection locked="0"/>
    </xf>
    <xf numFmtId="41" fontId="10" fillId="0" borderId="6" xfId="34" applyNumberFormat="1" applyFont="1" applyFill="1" applyBorder="1" applyAlignment="1" applyProtection="1">
      <alignment horizontal="right" vertical="center"/>
      <protection/>
    </xf>
    <xf numFmtId="3" fontId="10" fillId="0" borderId="11" xfId="40" applyNumberFormat="1" applyFont="1" applyFill="1" applyBorder="1" applyProtection="1">
      <alignment/>
      <protection locked="0"/>
    </xf>
    <xf numFmtId="41" fontId="9" fillId="3" borderId="10" xfId="0" applyNumberFormat="1" applyFont="1" applyFill="1" applyBorder="1" applyAlignment="1" applyProtection="1">
      <alignment horizontal="center"/>
      <protection/>
    </xf>
    <xf numFmtId="3" fontId="10" fillId="0" borderId="5" xfId="0" applyNumberFormat="1" applyFont="1" applyFill="1" applyBorder="1" applyAlignment="1" applyProtection="1">
      <alignment/>
      <protection locked="0"/>
    </xf>
    <xf numFmtId="41" fontId="10" fillId="0" borderId="5" xfId="0" applyNumberFormat="1" applyFont="1" applyFill="1" applyBorder="1" applyAlignment="1" applyProtection="1">
      <alignment/>
      <protection/>
    </xf>
    <xf numFmtId="41" fontId="23" fillId="0" borderId="5" xfId="0" applyNumberFormat="1" applyFont="1" applyFill="1" applyBorder="1" applyAlignment="1" applyProtection="1">
      <alignment/>
      <protection/>
    </xf>
    <xf numFmtId="41" fontId="10" fillId="0" borderId="6" xfId="0" applyNumberFormat="1" applyFont="1" applyFill="1" applyBorder="1" applyAlignment="1" applyProtection="1">
      <alignment/>
      <protection/>
    </xf>
    <xf numFmtId="41" fontId="9" fillId="3" borderId="5" xfId="0" applyNumberFormat="1" applyFont="1" applyFill="1" applyBorder="1" applyAlignment="1" applyProtection="1">
      <alignment horizontal="left" vertical="center"/>
      <protection/>
    </xf>
    <xf numFmtId="41" fontId="9" fillId="3" borderId="5" xfId="0" applyNumberFormat="1" applyFont="1" applyFill="1" applyBorder="1" applyAlignment="1" applyProtection="1">
      <alignment vertical="center"/>
      <protection/>
    </xf>
    <xf numFmtId="1" fontId="10" fillId="0" borderId="5" xfId="0"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vertical="center"/>
      <protection/>
    </xf>
    <xf numFmtId="37" fontId="10" fillId="0" borderId="0" xfId="0" applyNumberFormat="1" applyFont="1" applyFill="1" applyAlignment="1" applyProtection="1">
      <alignment/>
      <protection/>
    </xf>
    <xf numFmtId="0" fontId="27" fillId="5" borderId="0" xfId="0" applyFont="1" applyFill="1" applyAlignment="1">
      <alignment/>
    </xf>
    <xf numFmtId="0" fontId="27" fillId="5" borderId="0" xfId="0" applyFont="1" applyFill="1" applyAlignment="1">
      <alignment horizontal="left"/>
    </xf>
    <xf numFmtId="0" fontId="27" fillId="5" borderId="0" xfId="0" applyFont="1" applyFill="1" applyAlignment="1">
      <alignment wrapText="1"/>
    </xf>
    <xf numFmtId="0" fontId="9" fillId="5" borderId="0" xfId="0" applyFont="1" applyFill="1" applyAlignment="1">
      <alignment horizontal="left"/>
    </xf>
    <xf numFmtId="0" fontId="10" fillId="5" borderId="0" xfId="0" applyFont="1" applyFill="1" applyAlignment="1">
      <alignment horizontal="left"/>
    </xf>
    <xf numFmtId="0" fontId="27" fillId="5" borderId="0" xfId="0" applyFont="1" applyFill="1" applyAlignment="1">
      <alignment horizontal="center"/>
    </xf>
    <xf numFmtId="0" fontId="27" fillId="5" borderId="0" xfId="0" applyFont="1" applyFill="1" applyBorder="1" applyAlignment="1">
      <alignment horizontal="center"/>
    </xf>
    <xf numFmtId="14" fontId="10" fillId="0" borderId="5" xfId="0" applyNumberFormat="1" applyFont="1" applyFill="1" applyBorder="1" applyAlignment="1">
      <alignment horizontal="center" vertical="center"/>
    </xf>
    <xf numFmtId="0" fontId="10" fillId="5" borderId="5" xfId="0" applyFont="1" applyFill="1" applyBorder="1" applyAlignment="1">
      <alignment vertical="center"/>
    </xf>
    <xf numFmtId="0" fontId="10" fillId="5" borderId="5" xfId="0" applyFont="1" applyFill="1" applyBorder="1" applyAlignment="1">
      <alignment horizontal="left" vertical="center" wrapText="1"/>
    </xf>
    <xf numFmtId="0" fontId="10" fillId="5" borderId="5" xfId="0" applyFont="1" applyFill="1" applyBorder="1" applyAlignment="1">
      <alignment horizontal="left" vertical="center"/>
    </xf>
    <xf numFmtId="0" fontId="10" fillId="5" borderId="5" xfId="0" applyFont="1" applyFill="1" applyBorder="1" applyAlignment="1">
      <alignment vertical="center" wrapText="1"/>
    </xf>
    <xf numFmtId="0" fontId="27" fillId="5" borderId="0" xfId="0" applyFont="1" applyFill="1" applyBorder="1" applyAlignment="1">
      <alignment/>
    </xf>
    <xf numFmtId="0" fontId="9" fillId="3" borderId="5" xfId="0" applyFont="1" applyFill="1" applyBorder="1" applyAlignment="1">
      <alignment horizontal="center"/>
    </xf>
    <xf numFmtId="0" fontId="9" fillId="3" borderId="5" xfId="0" applyFont="1" applyFill="1" applyBorder="1" applyAlignment="1">
      <alignment horizontal="center" wrapText="1"/>
    </xf>
    <xf numFmtId="0" fontId="9" fillId="0" borderId="0" xfId="0" applyFont="1" applyFill="1" applyAlignment="1" applyProtection="1">
      <alignment horizontal="right"/>
      <protection/>
    </xf>
    <xf numFmtId="0" fontId="15" fillId="0" borderId="0" xfId="0" applyNumberFormat="1" applyFont="1" applyAlignment="1" applyProtection="1">
      <alignment horizontal="center" vertical="center"/>
      <protection/>
    </xf>
    <xf numFmtId="0" fontId="17" fillId="0" borderId="0" xfId="0" applyFont="1" applyAlignment="1" applyProtection="1">
      <alignment horizontal="center"/>
      <protection/>
    </xf>
    <xf numFmtId="0" fontId="15" fillId="3" borderId="5" xfId="0" applyNumberFormat="1" applyFont="1" applyFill="1" applyBorder="1" applyAlignment="1" applyProtection="1">
      <alignment horizontal="center"/>
      <protection/>
    </xf>
    <xf numFmtId="49" fontId="17" fillId="0" borderId="12" xfId="0" applyNumberFormat="1" applyFont="1" applyFill="1" applyBorder="1" applyAlignment="1" applyProtection="1">
      <alignment horizontal="left"/>
      <protection locked="0"/>
    </xf>
    <xf numFmtId="14" fontId="17" fillId="0" borderId="13" xfId="0" applyNumberFormat="1" applyFont="1" applyFill="1" applyBorder="1" applyAlignment="1" applyProtection="1">
      <alignment horizontal="left"/>
      <protection locked="0"/>
    </xf>
    <xf numFmtId="182" fontId="17" fillId="0" borderId="13" xfId="0" applyNumberFormat="1" applyFont="1" applyFill="1" applyBorder="1" applyAlignment="1" applyProtection="1">
      <alignment/>
      <protection locked="0"/>
    </xf>
    <xf numFmtId="49" fontId="17" fillId="0" borderId="13" xfId="40" applyNumberFormat="1" applyFont="1" applyFill="1" applyBorder="1" applyAlignment="1" applyProtection="1">
      <alignment horizontal="center"/>
      <protection locked="0"/>
    </xf>
    <xf numFmtId="3" fontId="17" fillId="0" borderId="13" xfId="40" applyNumberFormat="1" applyFont="1" applyFill="1" applyBorder="1" applyProtection="1">
      <alignment/>
      <protection locked="0"/>
    </xf>
    <xf numFmtId="3" fontId="17" fillId="0" borderId="13" xfId="0" applyNumberFormat="1" applyFont="1" applyFill="1" applyBorder="1" applyAlignment="1" applyProtection="1">
      <alignment horizontal="center"/>
      <protection locked="0"/>
    </xf>
    <xf numFmtId="41" fontId="17" fillId="0" borderId="13" xfId="40" applyNumberFormat="1" applyFont="1" applyFill="1" applyBorder="1" applyProtection="1">
      <alignment/>
      <protection/>
    </xf>
    <xf numFmtId="41" fontId="17" fillId="6" borderId="5" xfId="40" applyNumberFormat="1" applyFont="1" applyFill="1" applyBorder="1" applyProtection="1">
      <alignment/>
      <protection locked="0"/>
    </xf>
    <xf numFmtId="41" fontId="17" fillId="6" borderId="13" xfId="40" applyNumberFormat="1" applyFont="1" applyFill="1" applyBorder="1" applyProtection="1">
      <alignment/>
      <protection locked="0"/>
    </xf>
    <xf numFmtId="49" fontId="17" fillId="0" borderId="10" xfId="0" applyNumberFormat="1" applyFont="1" applyFill="1" applyBorder="1" applyAlignment="1" applyProtection="1">
      <alignment horizontal="left"/>
      <protection locked="0"/>
    </xf>
    <xf numFmtId="14" fontId="17" fillId="0" borderId="5" xfId="0" applyNumberFormat="1" applyFont="1" applyFill="1" applyBorder="1" applyAlignment="1" applyProtection="1">
      <alignment horizontal="left"/>
      <protection locked="0"/>
    </xf>
    <xf numFmtId="182" fontId="17" fillId="0" borderId="5" xfId="0" applyNumberFormat="1" applyFont="1" applyFill="1" applyBorder="1" applyAlignment="1" applyProtection="1">
      <alignment/>
      <protection locked="0"/>
    </xf>
    <xf numFmtId="49" fontId="17" fillId="0" borderId="5" xfId="40" applyNumberFormat="1" applyFont="1" applyFill="1" applyBorder="1" applyAlignment="1" applyProtection="1">
      <alignment horizontal="center"/>
      <protection locked="0"/>
    </xf>
    <xf numFmtId="3" fontId="17" fillId="0" borderId="5" xfId="40" applyNumberFormat="1" applyFont="1" applyFill="1" applyBorder="1" applyProtection="1">
      <alignment/>
      <protection locked="0"/>
    </xf>
    <xf numFmtId="3" fontId="17" fillId="0" borderId="5" xfId="0" applyNumberFormat="1" applyFont="1" applyFill="1" applyBorder="1" applyAlignment="1" applyProtection="1">
      <alignment horizontal="center"/>
      <protection locked="0"/>
    </xf>
    <xf numFmtId="41" fontId="17" fillId="0" borderId="5" xfId="40" applyNumberFormat="1" applyFont="1" applyFill="1" applyBorder="1" applyProtection="1">
      <alignment/>
      <protection/>
    </xf>
    <xf numFmtId="49" fontId="17" fillId="0" borderId="7" xfId="0" applyNumberFormat="1" applyFont="1" applyFill="1" applyBorder="1" applyAlignment="1" applyProtection="1">
      <alignment horizontal="left"/>
      <protection/>
    </xf>
    <xf numFmtId="14" fontId="17" fillId="0" borderId="9" xfId="0" applyNumberFormat="1" applyFont="1" applyFill="1" applyBorder="1" applyAlignment="1" applyProtection="1">
      <alignment horizontal="left"/>
      <protection/>
    </xf>
    <xf numFmtId="182" fontId="17" fillId="0" borderId="9" xfId="0" applyNumberFormat="1" applyFont="1" applyFill="1" applyBorder="1" applyAlignment="1" applyProtection="1">
      <alignment/>
      <protection/>
    </xf>
    <xf numFmtId="182" fontId="17" fillId="0" borderId="9" xfId="40" applyNumberFormat="1" applyFont="1" applyFill="1" applyBorder="1" applyProtection="1">
      <alignment/>
      <protection/>
    </xf>
    <xf numFmtId="49" fontId="17" fillId="0" borderId="10" xfId="40" applyNumberFormat="1" applyFont="1" applyFill="1" applyBorder="1" applyAlignment="1" applyProtection="1">
      <alignment horizontal="center"/>
      <protection/>
    </xf>
    <xf numFmtId="0" fontId="17" fillId="0" borderId="7" xfId="0" applyNumberFormat="1" applyFont="1" applyFill="1" applyBorder="1" applyAlignment="1" applyProtection="1">
      <alignment horizontal="center"/>
      <protection/>
    </xf>
    <xf numFmtId="0" fontId="17" fillId="0" borderId="9" xfId="0" applyNumberFormat="1" applyFont="1" applyFill="1" applyBorder="1" applyAlignment="1" applyProtection="1">
      <alignment horizontal="center"/>
      <protection/>
    </xf>
    <xf numFmtId="0" fontId="17" fillId="0" borderId="10" xfId="0" applyNumberFormat="1" applyFont="1" applyFill="1" applyBorder="1" applyAlignment="1" applyProtection="1">
      <alignment horizontal="center"/>
      <protection/>
    </xf>
    <xf numFmtId="37" fontId="15" fillId="3" borderId="6" xfId="0" applyNumberFormat="1" applyFont="1" applyFill="1" applyBorder="1" applyAlignment="1" applyProtection="1">
      <alignment/>
      <protection/>
    </xf>
    <xf numFmtId="0" fontId="15" fillId="3" borderId="19" xfId="0" applyFont="1" applyFill="1" applyBorder="1" applyAlignment="1" applyProtection="1">
      <alignment/>
      <protection/>
    </xf>
    <xf numFmtId="0" fontId="15" fillId="3" borderId="9" xfId="0" applyFont="1" applyFill="1" applyBorder="1" applyAlignment="1" applyProtection="1">
      <alignment/>
      <protection/>
    </xf>
    <xf numFmtId="186" fontId="15" fillId="3" borderId="9" xfId="43" applyFont="1" applyBorder="1" applyProtection="1">
      <alignment/>
      <protection/>
    </xf>
    <xf numFmtId="186" fontId="15" fillId="3" borderId="10" xfId="43" applyFont="1" applyBorder="1" applyProtection="1">
      <alignment/>
      <protection/>
    </xf>
    <xf numFmtId="0" fontId="17" fillId="3" borderId="7" xfId="0" applyFont="1" applyFill="1" applyBorder="1" applyAlignment="1" applyProtection="1">
      <alignment horizontal="left"/>
      <protection/>
    </xf>
    <xf numFmtId="0" fontId="17" fillId="3" borderId="9" xfId="0" applyFont="1" applyFill="1" applyBorder="1" applyAlignment="1" applyProtection="1">
      <alignment horizontal="left"/>
      <protection/>
    </xf>
    <xf numFmtId="184" fontId="17" fillId="3" borderId="10" xfId="0" applyNumberFormat="1" applyFont="1" applyFill="1" applyBorder="1" applyAlignment="1" applyProtection="1">
      <alignment horizontal="left"/>
      <protection/>
    </xf>
    <xf numFmtId="3" fontId="17" fillId="0" borderId="5" xfId="42" applyNumberFormat="1" applyFont="1" applyFill="1" applyBorder="1" applyProtection="1">
      <alignment/>
      <protection locked="0"/>
    </xf>
    <xf numFmtId="184" fontId="17" fillId="0" borderId="0" xfId="0" applyNumberFormat="1" applyFont="1" applyBorder="1" applyAlignment="1" applyProtection="1">
      <alignment/>
      <protection/>
    </xf>
    <xf numFmtId="184" fontId="17" fillId="0" borderId="0" xfId="0" applyNumberFormat="1" applyFont="1" applyAlignment="1" applyProtection="1">
      <alignment/>
      <protection/>
    </xf>
    <xf numFmtId="0" fontId="17" fillId="3" borderId="7" xfId="0" applyFont="1" applyFill="1" applyBorder="1" applyAlignment="1" applyProtection="1">
      <alignment/>
      <protection/>
    </xf>
    <xf numFmtId="0" fontId="17" fillId="3" borderId="9" xfId="0" applyFont="1" applyFill="1" applyBorder="1" applyAlignment="1" applyProtection="1">
      <alignment/>
      <protection/>
    </xf>
    <xf numFmtId="184" fontId="17" fillId="3" borderId="10" xfId="0" applyNumberFormat="1" applyFont="1" applyFill="1" applyBorder="1" applyAlignment="1" applyProtection="1">
      <alignment/>
      <protection/>
    </xf>
    <xf numFmtId="37" fontId="15" fillId="3" borderId="7" xfId="0" applyNumberFormat="1" applyFont="1" applyFill="1" applyBorder="1" applyAlignment="1" applyProtection="1">
      <alignment/>
      <protection/>
    </xf>
    <xf numFmtId="37" fontId="15" fillId="3" borderId="9" xfId="0" applyNumberFormat="1" applyFont="1" applyFill="1" applyBorder="1" applyAlignment="1" applyProtection="1">
      <alignment/>
      <protection/>
    </xf>
    <xf numFmtId="0" fontId="15" fillId="3" borderId="9" xfId="0" applyFont="1" applyFill="1" applyBorder="1" applyAlignment="1" applyProtection="1">
      <alignment horizontal="left"/>
      <protection/>
    </xf>
    <xf numFmtId="184" fontId="15" fillId="3" borderId="10" xfId="0" applyNumberFormat="1" applyFont="1" applyFill="1" applyBorder="1" applyAlignment="1" applyProtection="1">
      <alignment horizontal="left"/>
      <protection/>
    </xf>
    <xf numFmtId="41" fontId="30" fillId="3" borderId="6" xfId="43" applyNumberFormat="1" applyFont="1" applyBorder="1" applyProtection="1">
      <alignment/>
      <protection/>
    </xf>
    <xf numFmtId="41" fontId="30" fillId="3" borderId="6" xfId="40" applyNumberFormat="1" applyFont="1" applyFill="1" applyBorder="1" applyProtection="1">
      <alignment/>
      <protection/>
    </xf>
    <xf numFmtId="188" fontId="30" fillId="0" borderId="19" xfId="40" applyNumberFormat="1" applyFont="1" applyFill="1" applyBorder="1" applyProtection="1">
      <alignment/>
      <protection/>
    </xf>
    <xf numFmtId="188" fontId="30" fillId="0" borderId="14" xfId="40" applyNumberFormat="1" applyFont="1" applyFill="1" applyBorder="1" applyProtection="1">
      <alignment/>
      <protection/>
    </xf>
    <xf numFmtId="188" fontId="30" fillId="0" borderId="15" xfId="40" applyNumberFormat="1" applyFont="1" applyFill="1" applyBorder="1" applyProtection="1">
      <alignment/>
      <protection/>
    </xf>
    <xf numFmtId="41" fontId="30" fillId="3" borderId="5" xfId="43" applyNumberFormat="1" applyFont="1" applyBorder="1" applyProtection="1">
      <alignment/>
      <protection/>
    </xf>
    <xf numFmtId="0" fontId="10" fillId="0" borderId="23" xfId="0" applyFont="1" applyBorder="1" applyAlignment="1" applyProtection="1">
      <alignment horizontal="center" vertical="center" wrapText="1"/>
      <protection/>
    </xf>
    <xf numFmtId="37" fontId="9" fillId="3" borderId="6" xfId="0" applyNumberFormat="1" applyFont="1" applyFill="1" applyBorder="1" applyAlignment="1" applyProtection="1">
      <alignment horizontal="center" vertical="center" wrapText="1"/>
      <protection/>
    </xf>
    <xf numFmtId="0" fontId="10" fillId="0" borderId="20" xfId="0" applyFont="1" applyBorder="1" applyAlignment="1" applyProtection="1">
      <alignment horizontal="center" vertical="center" wrapText="1"/>
      <protection/>
    </xf>
    <xf numFmtId="37" fontId="9" fillId="3" borderId="0" xfId="0" applyNumberFormat="1" applyFont="1" applyFill="1" applyBorder="1" applyAlignment="1" applyProtection="1">
      <alignment horizontal="center" vertical="center"/>
      <protection/>
    </xf>
    <xf numFmtId="37" fontId="9" fillId="3" borderId="17" xfId="0" applyNumberFormat="1" applyFont="1" applyFill="1" applyBorder="1" applyAlignment="1" applyProtection="1">
      <alignment horizontal="center" vertical="center"/>
      <protection/>
    </xf>
    <xf numFmtId="37" fontId="9" fillId="3" borderId="19" xfId="0" applyNumberFormat="1" applyFont="1" applyFill="1" applyBorder="1" applyAlignment="1" applyProtection="1">
      <alignment horizontal="center" vertical="center" wrapText="1"/>
      <protection/>
    </xf>
    <xf numFmtId="0" fontId="10" fillId="0" borderId="18" xfId="0" applyFont="1" applyBorder="1" applyAlignment="1" applyProtection="1">
      <alignment horizontal="center" vertical="center" wrapText="1"/>
      <protection/>
    </xf>
    <xf numFmtId="0" fontId="9" fillId="0" borderId="11" xfId="37" applyFont="1" applyFill="1" applyBorder="1" applyAlignment="1" applyProtection="1">
      <alignment vertical="center"/>
      <protection/>
    </xf>
    <xf numFmtId="0" fontId="0" fillId="0" borderId="12" xfId="0" applyBorder="1" applyAlignment="1" applyProtection="1">
      <alignment/>
      <protection/>
    </xf>
    <xf numFmtId="0" fontId="16" fillId="0" borderId="0" xfId="0" applyFont="1" applyBorder="1" applyAlignment="1" applyProtection="1">
      <alignment vertical="top" wrapText="1"/>
      <protection/>
    </xf>
    <xf numFmtId="0" fontId="0" fillId="0" borderId="0" xfId="0" applyFont="1" applyBorder="1" applyAlignment="1">
      <alignment wrapText="1"/>
    </xf>
    <xf numFmtId="0" fontId="0" fillId="0" borderId="0" xfId="0" applyFont="1" applyAlignment="1">
      <alignment wrapText="1"/>
    </xf>
    <xf numFmtId="0" fontId="16" fillId="0" borderId="0" xfId="0" applyFont="1" applyAlignment="1" applyProtection="1">
      <alignment wrapText="1"/>
      <protection/>
    </xf>
    <xf numFmtId="0" fontId="0" fillId="0" borderId="0" xfId="0" applyAlignment="1">
      <alignment wrapText="1"/>
    </xf>
    <xf numFmtId="0" fontId="10" fillId="0" borderId="0" xfId="0" applyFont="1" applyAlignment="1" applyProtection="1">
      <alignment horizontal="justify" vertical="top" wrapText="1"/>
      <protection/>
    </xf>
    <xf numFmtId="0" fontId="0" fillId="0" borderId="0" xfId="0" applyFont="1" applyAlignment="1" applyProtection="1">
      <alignment vertical="top" wrapText="1"/>
      <protection/>
    </xf>
    <xf numFmtId="0" fontId="10" fillId="0" borderId="0" xfId="0" applyFont="1" applyAlignment="1" applyProtection="1">
      <alignment vertical="top" wrapText="1"/>
      <protection hidden="1"/>
    </xf>
    <xf numFmtId="0" fontId="10" fillId="0" borderId="0" xfId="0" applyFont="1" applyAlignment="1" applyProtection="1">
      <alignment/>
      <protection hidden="1"/>
    </xf>
    <xf numFmtId="0" fontId="9" fillId="0" borderId="0" xfId="0" applyFont="1" applyAlignment="1" applyProtection="1">
      <alignment vertical="top" wrapText="1"/>
      <protection hidden="1"/>
    </xf>
    <xf numFmtId="0" fontId="0" fillId="0" borderId="0" xfId="0" applyAlignment="1" applyProtection="1">
      <alignment vertical="top"/>
      <protection hidden="1"/>
    </xf>
    <xf numFmtId="0" fontId="0" fillId="0" borderId="0" xfId="0" applyAlignment="1" applyProtection="1">
      <alignment vertical="top" wrapText="1"/>
      <protection hidden="1"/>
    </xf>
    <xf numFmtId="37" fontId="9" fillId="3" borderId="5" xfId="0" applyNumberFormat="1" applyFont="1" applyFill="1" applyBorder="1" applyAlignment="1" applyProtection="1">
      <alignment horizontal="center" vertical="center" wrapText="1"/>
      <protection/>
    </xf>
    <xf numFmtId="0" fontId="10" fillId="3" borderId="5" xfId="0" applyFont="1" applyFill="1" applyBorder="1" applyAlignment="1" applyProtection="1">
      <alignment horizontal="center" vertical="center" wrapText="1"/>
      <protection/>
    </xf>
    <xf numFmtId="37" fontId="9" fillId="3" borderId="14" xfId="0" applyNumberFormat="1" applyFont="1" applyFill="1" applyBorder="1" applyAlignment="1" applyProtection="1">
      <alignment horizontal="center" vertical="center" wrapText="1"/>
      <protection/>
    </xf>
    <xf numFmtId="0" fontId="10" fillId="3" borderId="15" xfId="0" applyFont="1" applyFill="1" applyBorder="1" applyAlignment="1" applyProtection="1">
      <alignment horizontal="center" vertical="center" wrapText="1"/>
      <protection/>
    </xf>
    <xf numFmtId="37" fontId="9" fillId="3" borderId="14" xfId="0" applyNumberFormat="1" applyFont="1" applyFill="1" applyBorder="1" applyAlignment="1" applyProtection="1">
      <alignment horizontal="center" vertical="center"/>
      <protection/>
    </xf>
    <xf numFmtId="37" fontId="9" fillId="3" borderId="15" xfId="0" applyNumberFormat="1" applyFont="1" applyFill="1" applyBorder="1" applyAlignment="1" applyProtection="1">
      <alignment horizontal="center" vertical="center"/>
      <protection/>
    </xf>
    <xf numFmtId="0" fontId="10" fillId="0" borderId="13" xfId="0" applyFont="1" applyBorder="1" applyAlignment="1" applyProtection="1">
      <alignment horizontal="center" vertical="center" wrapText="1"/>
      <protection/>
    </xf>
    <xf numFmtId="0" fontId="16" fillId="0" borderId="0" xfId="0" applyFont="1" applyFill="1" applyAlignment="1" applyProtection="1">
      <alignment horizontal="justify" vertical="top" wrapText="1"/>
      <protection/>
    </xf>
    <xf numFmtId="0" fontId="9" fillId="3" borderId="6" xfId="0" applyFont="1" applyFill="1" applyBorder="1" applyAlignment="1" applyProtection="1">
      <alignment horizontal="center" vertical="center" wrapText="1"/>
      <protection/>
    </xf>
    <xf numFmtId="0" fontId="0" fillId="0" borderId="13" xfId="0" applyBorder="1" applyAlignment="1">
      <alignment horizontal="center" vertical="center" wrapText="1"/>
    </xf>
    <xf numFmtId="186" fontId="10" fillId="0" borderId="11" xfId="40" applyFont="1" applyFill="1" applyBorder="1" applyAlignment="1" applyProtection="1">
      <alignment horizontal="right"/>
      <protection/>
    </xf>
    <xf numFmtId="186" fontId="10" fillId="0" borderId="11" xfId="40" applyFont="1" applyFill="1" applyBorder="1" applyAlignment="1" applyProtection="1">
      <alignment/>
      <protection/>
    </xf>
    <xf numFmtId="3" fontId="15" fillId="3" borderId="5" xfId="0" applyNumberFormat="1" applyFont="1" applyFill="1" applyBorder="1" applyAlignment="1" applyProtection="1">
      <alignment horizontal="center" vertical="center" wrapText="1"/>
      <protection/>
    </xf>
    <xf numFmtId="0" fontId="17" fillId="3" borderId="5" xfId="0" applyFont="1" applyFill="1" applyBorder="1" applyAlignment="1" applyProtection="1">
      <alignment horizontal="center" vertical="center" wrapText="1"/>
      <protection/>
    </xf>
    <xf numFmtId="0" fontId="9" fillId="3" borderId="19" xfId="0" applyFont="1" applyFill="1" applyBorder="1" applyAlignment="1" applyProtection="1">
      <alignment horizontal="left" vertical="center" wrapText="1"/>
      <protection/>
    </xf>
    <xf numFmtId="0" fontId="0" fillId="0" borderId="14" xfId="0" applyBorder="1" applyAlignment="1">
      <alignment wrapText="1"/>
    </xf>
    <xf numFmtId="0" fontId="0" fillId="0" borderId="23" xfId="0" applyBorder="1" applyAlignment="1">
      <alignment wrapText="1"/>
    </xf>
    <xf numFmtId="0" fontId="0" fillId="0" borderId="11" xfId="0" applyBorder="1" applyAlignment="1">
      <alignment wrapText="1"/>
    </xf>
    <xf numFmtId="3" fontId="15" fillId="3" borderId="13" xfId="0" applyNumberFormat="1" applyFont="1" applyFill="1" applyBorder="1" applyAlignment="1" applyProtection="1">
      <alignment horizontal="center" vertical="center" wrapText="1"/>
      <protection/>
    </xf>
    <xf numFmtId="0" fontId="16" fillId="0" borderId="0" xfId="0" applyFont="1" applyAlignment="1" applyProtection="1">
      <alignment horizontal="justify" vertical="top"/>
      <protection/>
    </xf>
    <xf numFmtId="0" fontId="0" fillId="0" borderId="0" xfId="0" applyAlignment="1">
      <alignment/>
    </xf>
    <xf numFmtId="0" fontId="16" fillId="0" borderId="0" xfId="0" applyFont="1" applyAlignment="1" applyProtection="1">
      <alignment/>
      <protection/>
    </xf>
    <xf numFmtId="0" fontId="17" fillId="0" borderId="0" xfId="0" applyFont="1" applyAlignment="1" applyProtection="1">
      <alignment/>
      <protection/>
    </xf>
    <xf numFmtId="0" fontId="9" fillId="3" borderId="19" xfId="36" applyFont="1" applyFill="1" applyBorder="1" applyAlignment="1" applyProtection="1">
      <alignment horizontal="left" vertical="center"/>
      <protection/>
    </xf>
    <xf numFmtId="0" fontId="0" fillId="3" borderId="15" xfId="0" applyFill="1" applyBorder="1" applyAlignment="1">
      <alignment vertical="center"/>
    </xf>
    <xf numFmtId="0" fontId="0" fillId="3" borderId="23" xfId="0" applyFill="1" applyBorder="1" applyAlignment="1">
      <alignment vertical="center"/>
    </xf>
    <xf numFmtId="0" fontId="0" fillId="3" borderId="12" xfId="0" applyFill="1" applyBorder="1" applyAlignment="1">
      <alignment vertical="center"/>
    </xf>
    <xf numFmtId="0" fontId="0" fillId="3" borderId="14" xfId="0" applyFill="1" applyBorder="1" applyAlignment="1">
      <alignment vertical="center"/>
    </xf>
    <xf numFmtId="0" fontId="0" fillId="3" borderId="11" xfId="0" applyFill="1" applyBorder="1" applyAlignment="1">
      <alignment vertical="center"/>
    </xf>
    <xf numFmtId="37" fontId="9" fillId="3" borderId="6" xfId="0" applyNumberFormat="1" applyFont="1" applyFill="1" applyBorder="1" applyAlignment="1" applyProtection="1">
      <alignment horizontal="center" vertical="center"/>
      <protection/>
    </xf>
    <xf numFmtId="0" fontId="0" fillId="0" borderId="13" xfId="0" applyBorder="1" applyAlignment="1">
      <alignment horizontal="center" vertical="center"/>
    </xf>
    <xf numFmtId="0" fontId="9" fillId="3" borderId="6" xfId="0" applyFont="1" applyFill="1" applyBorder="1" applyAlignment="1" applyProtection="1">
      <alignment horizontal="center" vertical="center"/>
      <protection/>
    </xf>
    <xf numFmtId="0" fontId="0" fillId="0" borderId="20" xfId="0" applyBorder="1" applyAlignment="1">
      <alignment horizontal="center" vertical="center"/>
    </xf>
    <xf numFmtId="0" fontId="0" fillId="0" borderId="20" xfId="0" applyBorder="1" applyAlignment="1">
      <alignment horizontal="center" vertical="center" wrapText="1"/>
    </xf>
    <xf numFmtId="0" fontId="9" fillId="0" borderId="0" xfId="39" applyFont="1" applyBorder="1" applyAlignment="1" applyProtection="1">
      <alignment horizontal="center" vertical="top"/>
      <protection/>
    </xf>
    <xf numFmtId="0" fontId="9" fillId="3" borderId="19" xfId="39"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9" fillId="3" borderId="6" xfId="39" applyFont="1" applyFill="1" applyBorder="1" applyAlignment="1" applyProtection="1">
      <alignment horizontal="center" vertical="center"/>
      <protection/>
    </xf>
    <xf numFmtId="0" fontId="17" fillId="0" borderId="14" xfId="0" applyFont="1" applyFill="1" applyBorder="1" applyAlignment="1" applyProtection="1">
      <alignment wrapText="1"/>
      <protection/>
    </xf>
    <xf numFmtId="0" fontId="27" fillId="0" borderId="14" xfId="0" applyFont="1" applyBorder="1" applyAlignment="1" applyProtection="1">
      <alignment wrapText="1"/>
      <protection/>
    </xf>
    <xf numFmtId="0" fontId="27" fillId="0" borderId="0" xfId="0" applyFont="1" applyAlignment="1" applyProtection="1">
      <alignment wrapText="1"/>
      <protection/>
    </xf>
    <xf numFmtId="4" fontId="9" fillId="3" borderId="6" xfId="0" applyNumberFormat="1" applyFont="1" applyFill="1" applyBorder="1" applyAlignment="1" applyProtection="1">
      <alignment horizontal="center" vertical="center" wrapText="1"/>
      <protection/>
    </xf>
  </cellXfs>
  <cellStyles count="40">
    <cellStyle name="Normal" xfId="0"/>
    <cellStyle name="Custom - Opmaakprofiel8" xfId="15"/>
    <cellStyle name="Data   - Opmaakprofiel2" xfId="16"/>
    <cellStyle name="Euro" xfId="17"/>
    <cellStyle name="Followed Hyperlink" xfId="18"/>
    <cellStyle name="Hyperlink" xfId="19"/>
    <cellStyle name="Comma" xfId="20"/>
    <cellStyle name="Comma [0]" xfId="21"/>
    <cellStyle name="Labels - Opmaakprofiel3" xfId="22"/>
    <cellStyle name="Normal - Opmaakprofiel1" xfId="23"/>
    <cellStyle name="Normal - Opmaakprofiel2" xfId="24"/>
    <cellStyle name="Normal - Opmaakprofiel3" xfId="25"/>
    <cellStyle name="Normal - Opmaakprofiel4" xfId="26"/>
    <cellStyle name="Normal - Opmaakprofiel5" xfId="27"/>
    <cellStyle name="Normal - Opmaakprofiel6" xfId="28"/>
    <cellStyle name="Normal - Opmaakprofiel7" xfId="29"/>
    <cellStyle name="Normal - Opmaakprofiel8" xfId="30"/>
    <cellStyle name="Percent" xfId="31"/>
    <cellStyle name="Reset  - Opmaakprofiel7" xfId="32"/>
    <cellStyle name="Standaard_10Nnacalculatieformulier GGZ 2006 versie 060724" xfId="33"/>
    <cellStyle name="Standaard_2002" xfId="34"/>
    <cellStyle name="Standaard_APZ Nacalculatie1998" xfId="35"/>
    <cellStyle name="Standaard_Calculatiemodel_rentekosten_ 2009_1" xfId="36"/>
    <cellStyle name="Standaard_Concept nac 2004 ent II" xfId="37"/>
    <cellStyle name="Standaard_ggz2003" xfId="38"/>
    <cellStyle name="Standaard_onderdeel rente 2002 GHZ" xfId="39"/>
    <cellStyle name="Tabelstandaard" xfId="40"/>
    <cellStyle name="Tabelstandaard financieel" xfId="41"/>
    <cellStyle name="Tabelstandaard negatief" xfId="42"/>
    <cellStyle name="Tabelstandaard Totaal" xfId="43"/>
    <cellStyle name="Tabelstandaard Totaal Negatief" xfId="44"/>
    <cellStyle name="Tabelstandaard Totaal_1077029755_GGZ-01c nacalculatieformulier ribw 2003 versie 040217(1)" xfId="45"/>
    <cellStyle name="Tabelstandaard_1077029755_GGZ-01c nacalculatieformulier ribw 2003 versie 040217(1)" xfId="46"/>
    <cellStyle name="Tabelstandaard_ggz2003" xfId="47"/>
    <cellStyle name="Table  - Opmaakprofiel6" xfId="48"/>
    <cellStyle name="Title  - Opmaakprofiel1" xfId="49"/>
    <cellStyle name="TotCol - Opmaakprofiel5" xfId="50"/>
    <cellStyle name="TotRow - Opmaakprofiel4" xfId="51"/>
    <cellStyle name="Currency" xfId="52"/>
    <cellStyle name="Currency [0]" xfId="53"/>
  </cellStyles>
  <dxfs count="6">
    <dxf>
      <font>
        <color rgb="FFFFFFFF"/>
      </font>
      <fill>
        <patternFill>
          <bgColor rgb="FFFF0000"/>
        </patternFill>
      </fill>
      <border/>
    </dxf>
    <dxf>
      <fill>
        <patternFill>
          <bgColor rgb="FFD7DCEF"/>
        </patternFill>
      </fill>
      <border/>
    </dxf>
    <dxf>
      <fill>
        <patternFill>
          <bgColor rgb="FFFFFFCC"/>
        </patternFill>
      </fill>
      <border/>
    </dxf>
    <dxf>
      <fill>
        <patternFill>
          <bgColor rgb="FFC0C0C0"/>
        </patternFill>
      </fill>
      <border/>
    </dxf>
    <dxf>
      <font>
        <color auto="1"/>
      </font>
      <border/>
    </dxf>
    <dxf>
      <font>
        <color rgb="FFFFFFFF"/>
      </font>
      <fill>
        <patternFill patternType="none">
          <bgColor indexed="65"/>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7DCEF"/>
      <rgbColor rgb="00E2DCD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by\LOCALS~1\Temp\Mp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ihot\Local%20Settings\Temporary%20Internet%20Files\OLK13\NACALCULATIEFORMULIEREN%202004\LAY-OUT%20(definitie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ihot\Local%20Settings\Temporary%20Internet%20Files\OLK472\LAY-OUT%20(definitie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eschrijving)"/>
      <sheetName val="Voorbeeld"/>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eschrijving)"/>
      <sheetName val="Voorbeel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Blad12"/>
  <dimension ref="B1:O39"/>
  <sheetViews>
    <sheetView showGridLines="0" tabSelected="1" zoomScaleSheetLayoutView="95" workbookViewId="0" topLeftCell="A1">
      <selection activeCell="J1" sqref="J1"/>
    </sheetView>
  </sheetViews>
  <sheetFormatPr defaultColWidth="9.140625" defaultRowHeight="12.75" zeroHeight="1"/>
  <cols>
    <col min="1" max="1" width="2.7109375" style="5" customWidth="1"/>
    <col min="2" max="2" width="5.7109375" style="33" customWidth="1"/>
    <col min="3" max="3" width="31.421875" style="5" customWidth="1"/>
    <col min="4" max="4" width="9.57421875" style="5" customWidth="1"/>
    <col min="5" max="5" width="9.8515625" style="5" customWidth="1"/>
    <col min="6" max="6" width="11.7109375" style="5" customWidth="1"/>
    <col min="7" max="7" width="9.57421875" style="5" customWidth="1"/>
    <col min="8" max="8" width="11.57421875" style="5" customWidth="1"/>
    <col min="9" max="9" width="18.7109375" style="44" customWidth="1"/>
    <col min="10" max="10" width="22.8515625" style="3" customWidth="1"/>
    <col min="11" max="11" width="16.7109375" style="5" customWidth="1"/>
    <col min="12" max="12" width="3.28125" style="5" customWidth="1"/>
    <col min="13" max="13" width="12.140625" style="5" hidden="1" customWidth="1"/>
    <col min="14" max="14" width="3.421875" style="5" hidden="1" customWidth="1"/>
    <col min="15" max="15" width="9.00390625" style="24" hidden="1" customWidth="1"/>
    <col min="16" max="254" width="0" style="5" hidden="1" customWidth="1"/>
    <col min="255" max="16384" width="9.140625" style="5" customWidth="1"/>
  </cols>
  <sheetData>
    <row r="1" spans="2:15" ht="20.25" customHeight="1">
      <c r="B1" s="168" t="str">
        <f>CONCATENATE("AWBZ-BREED CALCULATIEMODEL RENTEKOSTEN ",O1)</f>
        <v>AWBZ-BREED CALCULATIEMODEL RENTEKOSTEN 2010</v>
      </c>
      <c r="J1" s="544" t="s">
        <v>305</v>
      </c>
      <c r="K1" s="369" t="str">
        <f>"Pagina "&amp;$M$1&amp;""</f>
        <v>Pagina 1</v>
      </c>
      <c r="M1" s="5">
        <v>1</v>
      </c>
      <c r="N1" s="46"/>
      <c r="O1" s="381">
        <v>2010</v>
      </c>
    </row>
    <row r="2" spans="2:15" s="29" customFormat="1" ht="12.75" customHeight="1">
      <c r="B2" s="5"/>
      <c r="C2" s="5"/>
      <c r="D2" s="5"/>
      <c r="E2" s="5"/>
      <c r="F2" s="5"/>
      <c r="G2" s="5"/>
      <c r="H2" s="5"/>
      <c r="I2" s="5"/>
      <c r="J2" s="6"/>
      <c r="K2" s="5"/>
      <c r="L2" s="5"/>
      <c r="M2" s="5"/>
      <c r="N2" s="46"/>
      <c r="O2" s="47"/>
    </row>
    <row r="3" spans="2:15" s="29" customFormat="1" ht="12.75" customHeight="1">
      <c r="B3" s="603" t="str">
        <f>IF(OR('Rentecalc.'!$E4=0),"Vul hier het NZa-nummer in","")</f>
        <v>Vul hier het NZa-nummer in</v>
      </c>
      <c r="C3" s="604"/>
      <c r="D3" s="25" t="s">
        <v>111</v>
      </c>
      <c r="E3" s="26" t="s">
        <v>110</v>
      </c>
      <c r="F3" s="88"/>
      <c r="G3" s="88"/>
      <c r="H3" s="88"/>
      <c r="I3" s="275"/>
      <c r="J3" s="28" t="str">
        <f>IF(J4=TRUE,"      Invulvelden gearceerd","      Invulvelden niet gearceerd")</f>
        <v>      Invulvelden gearceerd</v>
      </c>
      <c r="K3" s="87"/>
      <c r="L3" s="5"/>
      <c r="M3" s="5"/>
      <c r="N3" s="46"/>
      <c r="O3" s="47"/>
    </row>
    <row r="4" spans="2:15" s="29" customFormat="1" ht="12.75" customHeight="1">
      <c r="B4" s="27" t="s">
        <v>31</v>
      </c>
      <c r="C4" s="169"/>
      <c r="D4" s="526"/>
      <c r="E4" s="526"/>
      <c r="F4" s="88"/>
      <c r="G4" s="88"/>
      <c r="H4" s="88"/>
      <c r="I4" s="5"/>
      <c r="J4" s="92" t="b">
        <v>1</v>
      </c>
      <c r="K4" s="5"/>
      <c r="L4" s="5"/>
      <c r="M4" s="5"/>
      <c r="N4" s="46"/>
      <c r="O4" s="47"/>
    </row>
    <row r="5" spans="2:15" s="29" customFormat="1" ht="12.75" customHeight="1">
      <c r="B5" s="5"/>
      <c r="C5" s="5"/>
      <c r="D5" s="5"/>
      <c r="E5" s="5"/>
      <c r="F5" s="5"/>
      <c r="G5" s="5"/>
      <c r="H5" s="5"/>
      <c r="I5" s="5"/>
      <c r="J5" s="6"/>
      <c r="K5" s="5"/>
      <c r="L5" s="5"/>
      <c r="M5" s="5"/>
      <c r="N5" s="46"/>
      <c r="O5" s="47"/>
    </row>
    <row r="6" spans="2:9" ht="12.75" customHeight="1">
      <c r="B6" s="170"/>
      <c r="D6" s="171"/>
      <c r="E6" s="171"/>
      <c r="F6" s="171"/>
      <c r="G6" s="171"/>
      <c r="H6" s="171"/>
      <c r="I6" s="5"/>
    </row>
    <row r="7" spans="2:11" ht="12.75" customHeight="1">
      <c r="B7" s="431"/>
      <c r="C7" s="329" t="s">
        <v>99</v>
      </c>
      <c r="D7" s="431"/>
      <c r="E7" s="431"/>
      <c r="F7" s="431"/>
      <c r="G7" s="431"/>
      <c r="H7" s="431"/>
      <c r="I7" s="384"/>
      <c r="J7" s="80"/>
      <c r="K7" s="328" t="s">
        <v>98</v>
      </c>
    </row>
    <row r="8" spans="2:11" ht="12.75" customHeight="1">
      <c r="B8" s="309">
        <v>101</v>
      </c>
      <c r="C8" s="173" t="str">
        <f>CONCATENATE('A-D'!C2,"(regel ",'A-D'!B21," onderdeel ",LEFT('A-D'!B2,1),")")</f>
        <v>Boekwaarde investeringen vaste activa (regel 515 onderdeel A)</v>
      </c>
      <c r="D8" s="115"/>
      <c r="E8" s="115"/>
      <c r="F8" s="115"/>
      <c r="G8" s="115"/>
      <c r="H8" s="115"/>
      <c r="I8" s="174"/>
      <c r="K8" s="462">
        <f>'A-D'!H21</f>
        <v>0</v>
      </c>
    </row>
    <row r="9" spans="2:11" ht="12.75" customHeight="1">
      <c r="B9" s="172">
        <f aca="true" t="shared" si="0" ref="B9:B15">B8+1</f>
        <v>102</v>
      </c>
      <c r="C9" s="173" t="str">
        <f>CONCATENATE('A-D'!C24,"(regel ",'A-D'!B43," onderdeel ",LEFT('A-D'!B24,1),")")</f>
        <v>Onderhanden bouwprojecten (regel 529 onderdeel B)</v>
      </c>
      <c r="D9" s="74"/>
      <c r="E9" s="74"/>
      <c r="F9" s="74"/>
      <c r="G9" s="74"/>
      <c r="H9" s="74"/>
      <c r="I9" s="74"/>
      <c r="J9" s="107"/>
      <c r="K9" s="463">
        <f>'A-D'!H43</f>
        <v>0</v>
      </c>
    </row>
    <row r="10" spans="2:11" ht="12.75" customHeight="1">
      <c r="B10" s="172">
        <f t="shared" si="0"/>
        <v>103</v>
      </c>
      <c r="C10" s="74" t="str">
        <f>CONCATENATE(GGZ!C2,"(regel ",GGZ!B16," onderdeel ",LEFT(GGZ!B2,1),")")</f>
        <v>GGZ: Normatieve boekwaarde medische en overige inventarissen (regel 1111 onderdeel I)</v>
      </c>
      <c r="D10" s="74"/>
      <c r="E10" s="74"/>
      <c r="F10" s="74"/>
      <c r="G10" s="74"/>
      <c r="H10" s="74"/>
      <c r="I10" s="74"/>
      <c r="J10" s="107"/>
      <c r="K10" s="463">
        <f>GGZ!F16</f>
        <v>0</v>
      </c>
    </row>
    <row r="11" spans="2:11" ht="12.75" customHeight="1">
      <c r="B11" s="172">
        <f t="shared" si="0"/>
        <v>104</v>
      </c>
      <c r="C11" s="74" t="s">
        <v>287</v>
      </c>
      <c r="D11" s="74"/>
      <c r="E11" s="74"/>
      <c r="F11" s="74"/>
      <c r="G11" s="74"/>
      <c r="H11" s="74"/>
      <c r="I11" s="74"/>
      <c r="J11" s="107"/>
      <c r="K11" s="463">
        <f>GHZ!M78</f>
        <v>0</v>
      </c>
    </row>
    <row r="12" spans="2:11" ht="12.75" customHeight="1">
      <c r="B12" s="172">
        <f t="shared" si="0"/>
        <v>105</v>
      </c>
      <c r="C12" s="74" t="s">
        <v>288</v>
      </c>
      <c r="D12" s="166"/>
      <c r="E12" s="166"/>
      <c r="F12" s="166"/>
      <c r="G12" s="166"/>
      <c r="H12" s="166"/>
      <c r="I12" s="166"/>
      <c r="J12" s="175"/>
      <c r="K12" s="464">
        <f>'V&amp;V'!M60</f>
        <v>0</v>
      </c>
    </row>
    <row r="13" spans="2:11" ht="12.75" customHeight="1">
      <c r="B13" s="172">
        <f t="shared" si="0"/>
        <v>106</v>
      </c>
      <c r="C13" s="176" t="s">
        <v>254</v>
      </c>
      <c r="D13" s="166"/>
      <c r="E13" s="166"/>
      <c r="F13" s="166"/>
      <c r="G13" s="166"/>
      <c r="H13" s="166"/>
      <c r="I13" s="166"/>
      <c r="J13" s="175"/>
      <c r="K13" s="464">
        <f>'A-D'!H72+'V&amp;V'!M72+GHZ!M94</f>
        <v>0</v>
      </c>
    </row>
    <row r="14" spans="2:11" ht="12.75" customHeight="1" thickBot="1">
      <c r="B14" s="172">
        <f t="shared" si="0"/>
        <v>107</v>
      </c>
      <c r="C14" s="166" t="str">
        <f>CONCATENATE('A-D'!C74," (regel ",'A-D'!B78," onderdeel ",LEFT('A-D'!B74,1),")")</f>
        <v>Normatief werkkapitaal (regel 622 onderdeel D)</v>
      </c>
      <c r="D14" s="166"/>
      <c r="E14" s="166"/>
      <c r="F14" s="166"/>
      <c r="G14" s="166"/>
      <c r="H14" s="166"/>
      <c r="I14" s="177"/>
      <c r="J14" s="178"/>
      <c r="K14" s="464">
        <f>'A-D'!H78</f>
        <v>0</v>
      </c>
    </row>
    <row r="15" spans="2:11" ht="12.75" customHeight="1" thickBot="1">
      <c r="B15" s="172">
        <f t="shared" si="0"/>
        <v>108</v>
      </c>
      <c r="C15" s="179" t="str">
        <f>CONCATENATE("Totaal in aanmerking te nemen activa (regels ",B8," t/m ",B14,")")</f>
        <v>Totaal in aanmerking te nemen activa (regels 101 t/m 107)</v>
      </c>
      <c r="D15" s="180"/>
      <c r="E15" s="180"/>
      <c r="F15" s="181"/>
      <c r="G15" s="181"/>
      <c r="H15" s="181"/>
      <c r="I15" s="182"/>
      <c r="J15" s="182"/>
      <c r="K15" s="465">
        <f>SUM(K8:K14)</f>
        <v>0</v>
      </c>
    </row>
    <row r="16" spans="2:11" ht="12.75" customHeight="1">
      <c r="B16" s="241"/>
      <c r="C16" s="324"/>
      <c r="D16" s="324"/>
      <c r="E16" s="324"/>
      <c r="F16" s="324"/>
      <c r="G16" s="324"/>
      <c r="H16" s="324"/>
      <c r="I16" s="325"/>
      <c r="J16" s="325"/>
      <c r="K16" s="326"/>
    </row>
    <row r="17" spans="2:11" ht="12.75" customHeight="1">
      <c r="B17" s="184"/>
      <c r="C17" s="329" t="s">
        <v>100</v>
      </c>
      <c r="D17" s="6"/>
      <c r="E17" s="6"/>
      <c r="F17" s="6"/>
      <c r="G17" s="6"/>
      <c r="H17" s="6"/>
      <c r="I17" s="45"/>
      <c r="J17" s="45"/>
      <c r="K17" s="45"/>
    </row>
    <row r="18" spans="2:11" ht="12.75" customHeight="1">
      <c r="B18" s="185">
        <f>B15+1</f>
        <v>109</v>
      </c>
      <c r="C18" s="176" t="s">
        <v>248</v>
      </c>
      <c r="D18" s="74"/>
      <c r="E18" s="74"/>
      <c r="F18" s="74"/>
      <c r="G18" s="74"/>
      <c r="H18" s="74"/>
      <c r="I18" s="186"/>
      <c r="J18" s="327"/>
      <c r="K18" s="463">
        <f>E!S38</f>
        <v>0</v>
      </c>
    </row>
    <row r="19" spans="2:11" ht="12.75" customHeight="1" thickBot="1">
      <c r="B19" s="185">
        <f>B18+1</f>
        <v>110</v>
      </c>
      <c r="C19" s="188" t="str">
        <f>CONCATENATE('F-G'!C2," (regel ",'F-G'!B21," onderdeel ",LEFT('F-G'!B2,1),")")</f>
        <v>Eigen vermogen (regel 927 onderdeel F)</v>
      </c>
      <c r="D19" s="188"/>
      <c r="E19" s="188"/>
      <c r="F19" s="188"/>
      <c r="G19" s="188"/>
      <c r="H19" s="188"/>
      <c r="I19" s="166"/>
      <c r="J19" s="175"/>
      <c r="K19" s="464">
        <f>'F-G'!F21</f>
        <v>0</v>
      </c>
    </row>
    <row r="20" spans="2:11" ht="12.75" customHeight="1" thickBot="1">
      <c r="B20" s="185">
        <f>B19+1</f>
        <v>111</v>
      </c>
      <c r="C20" s="180" t="str">
        <f>CONCATENATE("Totaal in aanmerking te nemen passiva (regel ",B18," + ",B19,")")</f>
        <v>Totaal in aanmerking te nemen passiva (regel 109 + 110)</v>
      </c>
      <c r="D20" s="181"/>
      <c r="E20" s="181"/>
      <c r="F20" s="181"/>
      <c r="G20" s="181"/>
      <c r="H20" s="181"/>
      <c r="I20" s="182"/>
      <c r="J20" s="183"/>
      <c r="K20" s="465">
        <f>K18+K19</f>
        <v>0</v>
      </c>
    </row>
    <row r="21" spans="2:11" ht="12.75" customHeight="1" thickBot="1">
      <c r="B21" s="184"/>
      <c r="C21" s="6"/>
      <c r="D21" s="6"/>
      <c r="E21" s="6"/>
      <c r="F21" s="6"/>
      <c r="G21" s="6"/>
      <c r="H21" s="6"/>
      <c r="I21" s="45"/>
      <c r="J21" s="45"/>
      <c r="K21" s="45"/>
    </row>
    <row r="22" spans="2:11" ht="12.75" customHeight="1" thickBot="1">
      <c r="B22" s="185">
        <f>B20+1</f>
        <v>112</v>
      </c>
      <c r="C22" s="189" t="str">
        <f>CONCATENATE("Verschil tussen activa en passiva (regel ",B15," -/- ",B20,")")</f>
        <v>Verschil tussen activa en passiva (regel 108 -/- 111)</v>
      </c>
      <c r="D22" s="190"/>
      <c r="E22" s="190"/>
      <c r="F22" s="190"/>
      <c r="G22" s="190"/>
      <c r="H22" s="190"/>
      <c r="I22" s="182"/>
      <c r="J22" s="183"/>
      <c r="K22" s="465">
        <f>K15-K20</f>
        <v>0</v>
      </c>
    </row>
    <row r="23" spans="2:10" ht="11.25">
      <c r="B23" s="91"/>
      <c r="I23" s="6"/>
      <c r="J23" s="5"/>
    </row>
    <row r="24" spans="2:10" ht="11.25">
      <c r="B24" s="91"/>
      <c r="C24" s="24" t="s">
        <v>198</v>
      </c>
      <c r="I24" s="6"/>
      <c r="J24" s="5"/>
    </row>
    <row r="25" spans="2:11" ht="11.25">
      <c r="B25" s="185">
        <f>B22+1</f>
        <v>113</v>
      </c>
      <c r="C25" s="74" t="str">
        <f>CONCATENATE('F-G'!C25," (regel ",'F-G'!B29," onderdeel ",LEFT('F-G'!B25,1),")")</f>
        <v>Rentekosten langlopende leningen (regel 930 onderdeel G)</v>
      </c>
      <c r="D25" s="74"/>
      <c r="E25" s="74"/>
      <c r="F25" s="74"/>
      <c r="G25" s="74"/>
      <c r="H25" s="74"/>
      <c r="I25" s="186"/>
      <c r="J25" s="187"/>
      <c r="K25" s="463">
        <f>'F-G'!F29</f>
        <v>0</v>
      </c>
    </row>
    <row r="26" spans="2:11" ht="11.25">
      <c r="B26" s="185">
        <f>B25+1</f>
        <v>114</v>
      </c>
      <c r="C26" s="74" t="s">
        <v>219</v>
      </c>
      <c r="D26" s="74"/>
      <c r="E26" s="74"/>
      <c r="F26" s="74"/>
      <c r="G26" s="74"/>
      <c r="H26" s="74"/>
      <c r="I26" s="74"/>
      <c r="J26" s="107"/>
      <c r="K26" s="463">
        <f>ROUND(IF(K22&gt;0,K33*K22,(K33-K31)*K22),0)</f>
        <v>0</v>
      </c>
    </row>
    <row r="27" spans="2:11" ht="11.25">
      <c r="B27" s="185">
        <f>B26+1</f>
        <v>115</v>
      </c>
      <c r="C27" s="188" t="str">
        <f>CONCATENATE("Inflatievergoeding over eigen vermogen ",K34*100,"% over regel ",'F-G'!B21," onderdeel ",LEFT('F-G'!B2,1)," (exclusief instandhoudingsreserve)")</f>
        <v>Inflatievergoeding over eigen vermogen 0% over regel 927 onderdeel F (exclusief instandhoudingsreserve)</v>
      </c>
      <c r="D27" s="188"/>
      <c r="E27" s="188"/>
      <c r="F27" s="188"/>
      <c r="G27" s="188"/>
      <c r="H27" s="188"/>
      <c r="I27" s="166"/>
      <c r="J27" s="175"/>
      <c r="K27" s="466">
        <f>ROUND(IF(('F-G'!F21-'F-G'!F7)&gt;0,K34*('F-G'!F21-'F-G'!F7),0),0)</f>
        <v>0</v>
      </c>
    </row>
    <row r="28" spans="2:11" ht="12" thickBot="1">
      <c r="B28" s="185">
        <f>B27+1</f>
        <v>116</v>
      </c>
      <c r="C28" s="89" t="s">
        <v>113</v>
      </c>
      <c r="D28" s="188"/>
      <c r="E28" s="188"/>
      <c r="F28" s="188"/>
      <c r="G28" s="188"/>
      <c r="H28" s="188"/>
      <c r="I28" s="166"/>
      <c r="J28" s="175"/>
      <c r="K28" s="467"/>
    </row>
    <row r="29" spans="2:11" ht="12" thickBot="1">
      <c r="B29" s="185">
        <f>B28+1</f>
        <v>117</v>
      </c>
      <c r="C29" s="180" t="str">
        <f>CONCATENATE("Totaal aanvaardbare rentekosten (regels ",B25," t/m ",B28,")")</f>
        <v>Totaal aanvaardbare rentekosten (regels 113 t/m 116)</v>
      </c>
      <c r="D29" s="181"/>
      <c r="E29" s="181"/>
      <c r="F29" s="181"/>
      <c r="G29" s="181"/>
      <c r="H29" s="181"/>
      <c r="I29" s="182"/>
      <c r="J29" s="183"/>
      <c r="K29" s="465">
        <f>SUM(K25:K28)</f>
        <v>0</v>
      </c>
    </row>
    <row r="30" ht="11.25">
      <c r="B30" s="90"/>
    </row>
    <row r="31" spans="2:11" ht="11.25">
      <c r="B31" s="90"/>
      <c r="D31" s="24"/>
      <c r="E31" s="24"/>
      <c r="F31" s="24"/>
      <c r="G31" s="24"/>
      <c r="H31" s="24"/>
      <c r="K31" s="300">
        <v>0.005</v>
      </c>
    </row>
    <row r="32" spans="2:11" ht="11.25">
      <c r="B32" s="90"/>
      <c r="C32" s="24" t="s">
        <v>30</v>
      </c>
      <c r="D32" s="230"/>
      <c r="E32" s="230"/>
      <c r="F32" s="230"/>
      <c r="G32" s="230"/>
      <c r="H32" s="230"/>
      <c r="I32" s="331"/>
      <c r="J32" s="80"/>
      <c r="K32" s="330" t="s">
        <v>74</v>
      </c>
    </row>
    <row r="33" spans="2:11" ht="12.75">
      <c r="B33" s="185">
        <f>B29+1</f>
        <v>118</v>
      </c>
      <c r="C33" s="51" t="s">
        <v>215</v>
      </c>
      <c r="D33" s="86"/>
      <c r="E33" s="86"/>
      <c r="F33" s="86"/>
      <c r="G33" s="86"/>
      <c r="H33" s="86"/>
      <c r="I33" s="48"/>
      <c r="J33" s="49"/>
      <c r="K33" s="366">
        <v>0.0182</v>
      </c>
    </row>
    <row r="34" spans="2:11" ht="12.75">
      <c r="B34" s="185">
        <f>B33+1</f>
        <v>119</v>
      </c>
      <c r="C34" s="51" t="s">
        <v>216</v>
      </c>
      <c r="D34" s="43"/>
      <c r="E34" s="43"/>
      <c r="F34" s="43"/>
      <c r="G34" s="43"/>
      <c r="H34" s="43"/>
      <c r="I34" s="52"/>
      <c r="J34" s="53"/>
      <c r="K34" s="50">
        <v>0</v>
      </c>
    </row>
    <row r="35" spans="2:11" ht="11.25">
      <c r="B35" s="363"/>
      <c r="C35" s="166"/>
      <c r="D35" s="166"/>
      <c r="E35" s="166"/>
      <c r="F35" s="166"/>
      <c r="G35" s="166"/>
      <c r="H35" s="166"/>
      <c r="I35" s="364"/>
      <c r="J35" s="81"/>
      <c r="K35" s="365"/>
    </row>
    <row r="36" spans="2:12" ht="11.25" customHeight="1">
      <c r="B36" s="605" t="s">
        <v>217</v>
      </c>
      <c r="C36" s="606"/>
      <c r="D36" s="606"/>
      <c r="E36" s="606"/>
      <c r="F36" s="606"/>
      <c r="G36" s="606"/>
      <c r="H36" s="606"/>
      <c r="I36" s="606"/>
      <c r="J36" s="606"/>
      <c r="K36" s="606"/>
      <c r="L36" s="3"/>
    </row>
    <row r="37" spans="2:12" ht="22.5" customHeight="1">
      <c r="B37" s="607"/>
      <c r="C37" s="607"/>
      <c r="D37" s="607"/>
      <c r="E37" s="607"/>
      <c r="F37" s="607"/>
      <c r="G37" s="607"/>
      <c r="H37" s="607"/>
      <c r="I37" s="607"/>
      <c r="J37" s="607"/>
      <c r="K37" s="607"/>
      <c r="L37" s="3"/>
    </row>
    <row r="38" spans="2:11" ht="11.25">
      <c r="B38" s="608" t="s">
        <v>218</v>
      </c>
      <c r="C38" s="609"/>
      <c r="D38" s="609"/>
      <c r="E38" s="609"/>
      <c r="F38" s="609"/>
      <c r="G38" s="609"/>
      <c r="H38" s="609"/>
      <c r="I38" s="609"/>
      <c r="J38" s="609"/>
      <c r="K38" s="609"/>
    </row>
    <row r="39" spans="2:11" ht="11.25">
      <c r="B39" s="609"/>
      <c r="C39" s="609"/>
      <c r="D39" s="609"/>
      <c r="E39" s="609"/>
      <c r="F39" s="609"/>
      <c r="G39" s="609"/>
      <c r="H39" s="609"/>
      <c r="I39" s="609"/>
      <c r="J39" s="609"/>
      <c r="K39" s="609"/>
    </row>
    <row r="40" ht="11.25"/>
  </sheetData>
  <sheetProtection password="C7EC" sheet="1" objects="1" scenarios="1"/>
  <mergeCells count="3">
    <mergeCell ref="B3:C3"/>
    <mergeCell ref="B36:K37"/>
    <mergeCell ref="B38:K39"/>
  </mergeCells>
  <conditionalFormatting sqref="B3:C3">
    <cfRule type="expression" priority="1" dxfId="0" stopIfTrue="1">
      <formula>$B3&lt;&gt;""</formula>
    </cfRule>
  </conditionalFormatting>
  <conditionalFormatting sqref="K28 J3:K3 D4:E4">
    <cfRule type="expression" priority="2" dxfId="1" stopIfTrue="1">
      <formula>$J$4=TRUE</formula>
    </cfRule>
  </conditionalFormatting>
  <conditionalFormatting sqref="N7:N13">
    <cfRule type="expression" priority="3" dxfId="2" stopIfTrue="1">
      <formula>#REF!=TRUE</formula>
    </cfRule>
  </conditionalFormatting>
  <conditionalFormatting sqref="K11:K13">
    <cfRule type="expression" priority="4" dxfId="3" stopIfTrue="1">
      <formula>$D$4122</formula>
    </cfRule>
  </conditionalFormatting>
  <dataValidations count="2">
    <dataValidation type="whole" allowBlank="1" showInputMessage="1" showErrorMessage="1" errorTitle="Onjuiste invoer:" error="Hier moet het NZa-nummer ingevuld worden." sqref="E4">
      <formula1>1</formula1>
      <formula2>9999</formula2>
    </dataValidation>
    <dataValidation type="list" allowBlank="1" showInputMessage="1" showErrorMessage="1" errorTitle="Onjuiste invoer" error="hier moet u een 120, 600 of 650-nummer invullen" sqref="D4">
      <formula1>"120,600,650"</formula1>
    </dataValidation>
  </dataValidations>
  <printOptions/>
  <pageMargins left="0.3937007874015748" right="0.3937007874015748" top="0.7874015748031497" bottom="0.3937007874015748" header="0.5118110236220472" footer="0.5118110236220472"/>
  <pageSetup firstPageNumber="1" useFirstPageNumber="1" horizontalDpi="600" verticalDpi="600" orientation="landscape" paperSize="9" scale="95" r:id="rId3"/>
  <headerFooter alignWithMargins="0">
    <oddHeader>&amp;R&amp;G</oddHeader>
  </headerFooter>
  <ignoredErrors>
    <ignoredError sqref="K29" emptyCellReference="1"/>
  </ignoredErrors>
  <legacyDrawing r:id="rId1"/>
  <legacyDrawingHF r:id="rId2"/>
</worksheet>
</file>

<file path=xl/worksheets/sheet10.xml><?xml version="1.0" encoding="utf-8"?>
<worksheet xmlns="http://schemas.openxmlformats.org/spreadsheetml/2006/main" xmlns:r="http://schemas.openxmlformats.org/officeDocument/2006/relationships">
  <dimension ref="B1:O94"/>
  <sheetViews>
    <sheetView showGridLines="0" zoomScaleSheetLayoutView="75" workbookViewId="0" topLeftCell="A3">
      <selection activeCell="H11" sqref="H11"/>
    </sheetView>
  </sheetViews>
  <sheetFormatPr defaultColWidth="9.140625" defaultRowHeight="12.75" zeroHeight="1"/>
  <cols>
    <col min="1" max="1" width="2.57421875" style="5" customWidth="1"/>
    <col min="2" max="2" width="6.8515625" style="5" customWidth="1"/>
    <col min="3" max="3" width="9.28125" style="5" bestFit="1" customWidth="1"/>
    <col min="4" max="4" width="40.421875" style="5" customWidth="1"/>
    <col min="5" max="5" width="6.7109375" style="5" customWidth="1"/>
    <col min="6" max="6" width="12.7109375" style="5" hidden="1" customWidth="1"/>
    <col min="7" max="7" width="12.00390625" style="91" customWidth="1"/>
    <col min="8" max="8" width="13.00390625" style="5" customWidth="1"/>
    <col min="9" max="9" width="16.421875" style="5" customWidth="1"/>
    <col min="10" max="10" width="11.140625" style="91" customWidth="1"/>
    <col min="11" max="11" width="16.00390625" style="5" customWidth="1"/>
    <col min="12" max="12" width="12.8515625" style="91" customWidth="1"/>
    <col min="13" max="13" width="13.57421875" style="5" customWidth="1"/>
    <col min="14" max="14" width="2.140625" style="5" customWidth="1"/>
    <col min="15" max="16384" width="0" style="5" hidden="1" customWidth="1"/>
  </cols>
  <sheetData>
    <row r="1" spans="2:13" s="386" customFormat="1" ht="11.25" hidden="1">
      <c r="B1" s="270" t="b">
        <v>1</v>
      </c>
      <c r="C1" s="137" t="s">
        <v>127</v>
      </c>
      <c r="D1" s="104"/>
      <c r="E1" s="104"/>
      <c r="F1" s="104"/>
      <c r="G1" s="404"/>
      <c r="I1" s="357">
        <v>11.86</v>
      </c>
      <c r="J1" s="404"/>
      <c r="K1" s="105"/>
      <c r="L1" s="404"/>
      <c r="M1" s="104"/>
    </row>
    <row r="2" spans="2:13" s="386" customFormat="1" ht="11.25" hidden="1">
      <c r="B2" s="271">
        <v>6</v>
      </c>
      <c r="C2" s="105">
        <v>6.43</v>
      </c>
      <c r="D2" s="104">
        <v>8.43</v>
      </c>
      <c r="E2" s="104">
        <v>14.86</v>
      </c>
      <c r="F2" s="104">
        <v>22.57</v>
      </c>
      <c r="G2" s="404">
        <v>11.86</v>
      </c>
      <c r="I2" s="104">
        <v>11</v>
      </c>
      <c r="J2" s="404">
        <v>11.14</v>
      </c>
      <c r="K2" s="105">
        <v>11.43</v>
      </c>
      <c r="L2" s="404">
        <v>13</v>
      </c>
      <c r="M2" s="105">
        <v>5</v>
      </c>
    </row>
    <row r="3" spans="2:13" s="430" customFormat="1" ht="11.25">
      <c r="B3" s="389"/>
      <c r="C3" s="390"/>
      <c r="D3" s="391"/>
      <c r="E3" s="391"/>
      <c r="F3" s="391"/>
      <c r="G3" s="429"/>
      <c r="I3" s="391"/>
      <c r="J3" s="429"/>
      <c r="K3" s="390"/>
      <c r="L3" s="429"/>
      <c r="M3" s="369" t="str">
        <f>"Pagina "&amp;O4&amp;""</f>
        <v>Pagina 12</v>
      </c>
    </row>
    <row r="4" spans="2:15" ht="11.25">
      <c r="B4" s="231" t="s">
        <v>206</v>
      </c>
      <c r="C4" s="208" t="s">
        <v>12</v>
      </c>
      <c r="G4" s="405"/>
      <c r="H4" s="149"/>
      <c r="K4" s="393" t="b">
        <f>'Rentecalc.'!J4</f>
        <v>1</v>
      </c>
      <c r="O4" s="5">
        <v>12</v>
      </c>
    </row>
    <row r="5" spans="4:12" ht="11.25">
      <c r="D5" s="47"/>
      <c r="E5" s="96"/>
      <c r="F5" s="96"/>
      <c r="G5" s="96"/>
      <c r="H5" s="96"/>
      <c r="I5" s="96"/>
      <c r="J5" s="96"/>
      <c r="K5" s="96"/>
      <c r="L5" s="184"/>
    </row>
    <row r="6" spans="2:12" ht="11.25">
      <c r="B6" s="95" t="s">
        <v>239</v>
      </c>
      <c r="C6" s="95"/>
      <c r="D6" s="47"/>
      <c r="E6" s="96"/>
      <c r="F6" s="96"/>
      <c r="G6" s="96"/>
      <c r="H6" s="96"/>
      <c r="I6" s="96"/>
      <c r="J6" s="96"/>
      <c r="K6" s="96"/>
      <c r="L6" s="184"/>
    </row>
    <row r="7" spans="2:12" ht="11.25">
      <c r="B7" s="95"/>
      <c r="C7" s="95"/>
      <c r="D7" s="47"/>
      <c r="E7" s="96"/>
      <c r="F7" s="96"/>
      <c r="G7" s="96"/>
      <c r="H7" s="96"/>
      <c r="I7" s="96"/>
      <c r="J7" s="96"/>
      <c r="K7" s="96"/>
      <c r="L7" s="184"/>
    </row>
    <row r="8" spans="2:13" ht="11.25">
      <c r="B8" s="651"/>
      <c r="C8" s="652" t="s">
        <v>182</v>
      </c>
      <c r="D8" s="653"/>
      <c r="E8" s="653"/>
      <c r="F8" s="416"/>
      <c r="G8" s="658" t="s">
        <v>260</v>
      </c>
      <c r="H8" s="257" t="s">
        <v>155</v>
      </c>
      <c r="I8" s="257" t="s">
        <v>238</v>
      </c>
      <c r="J8" s="257" t="s">
        <v>93</v>
      </c>
      <c r="K8" s="625" t="s">
        <v>261</v>
      </c>
      <c r="L8" s="648" t="s">
        <v>76</v>
      </c>
      <c r="M8" s="625" t="s">
        <v>262</v>
      </c>
    </row>
    <row r="9" spans="2:13" ht="11.25" customHeight="1">
      <c r="B9" s="651"/>
      <c r="C9" s="654"/>
      <c r="D9" s="655"/>
      <c r="E9" s="655"/>
      <c r="F9" s="417"/>
      <c r="G9" s="649"/>
      <c r="H9" s="258" t="s">
        <v>156</v>
      </c>
      <c r="I9" s="258" t="s">
        <v>157</v>
      </c>
      <c r="J9" s="258" t="s">
        <v>158</v>
      </c>
      <c r="K9" s="650"/>
      <c r="L9" s="649"/>
      <c r="M9" s="650"/>
    </row>
    <row r="10" spans="2:13" ht="11.25" customHeight="1">
      <c r="B10" s="651"/>
      <c r="C10" s="656"/>
      <c r="D10" s="657"/>
      <c r="E10" s="657"/>
      <c r="F10" s="383"/>
      <c r="G10" s="647"/>
      <c r="H10" s="258" t="s">
        <v>159</v>
      </c>
      <c r="I10" s="258" t="s">
        <v>243</v>
      </c>
      <c r="J10" s="258" t="s">
        <v>160</v>
      </c>
      <c r="K10" s="626"/>
      <c r="L10" s="647"/>
      <c r="M10" s="626"/>
    </row>
    <row r="11" spans="2:13" ht="11.25">
      <c r="B11" s="239">
        <v>1201</v>
      </c>
      <c r="C11" s="234" t="s">
        <v>161</v>
      </c>
      <c r="D11" s="266"/>
      <c r="E11" s="43"/>
      <c r="F11" s="43"/>
      <c r="G11" s="406">
        <v>2001</v>
      </c>
      <c r="H11" s="62"/>
      <c r="I11" s="62"/>
      <c r="J11" s="419">
        <v>16.39</v>
      </c>
      <c r="K11" s="508">
        <f>IF((H11+I11)=0,"",ROUND(+(H11+I11)*J11,0))</f>
      </c>
      <c r="L11" s="419">
        <v>0.05</v>
      </c>
      <c r="M11" s="512">
        <f>IF(K11="","",+ROUND(K11*L11,0))</f>
      </c>
    </row>
    <row r="12" spans="2:13" ht="11.25">
      <c r="B12" s="239">
        <f>B11+1</f>
        <v>1202</v>
      </c>
      <c r="C12" s="165" t="s">
        <v>162</v>
      </c>
      <c r="D12" s="266"/>
      <c r="E12" s="43"/>
      <c r="F12" s="43"/>
      <c r="G12" s="406">
        <v>2002</v>
      </c>
      <c r="H12" s="62"/>
      <c r="I12" s="62"/>
      <c r="J12" s="419">
        <v>16.9</v>
      </c>
      <c r="K12" s="508">
        <f aca="true" t="shared" si="0" ref="K12:K60">IF((H12+I12)=0,"",ROUND(+(H12+I12)*J12,0))</f>
      </c>
      <c r="L12" s="419">
        <v>0.15</v>
      </c>
      <c r="M12" s="512">
        <f aca="true" t="shared" si="1" ref="M12:M60">IF(K12="","",+ROUND(K12*L12,0))</f>
      </c>
    </row>
    <row r="13" spans="2:13" ht="11.25">
      <c r="B13" s="239">
        <f aca="true" t="shared" si="2" ref="B13:B61">B12+1</f>
        <v>1203</v>
      </c>
      <c r="C13" s="165"/>
      <c r="D13" s="266"/>
      <c r="E13" s="43"/>
      <c r="F13" s="43"/>
      <c r="G13" s="406">
        <v>2003</v>
      </c>
      <c r="H13" s="62"/>
      <c r="I13" s="62"/>
      <c r="J13" s="419">
        <v>17.37</v>
      </c>
      <c r="K13" s="508">
        <f t="shared" si="0"/>
      </c>
      <c r="L13" s="419">
        <v>0.25</v>
      </c>
      <c r="M13" s="512">
        <f t="shared" si="1"/>
      </c>
    </row>
    <row r="14" spans="2:13" ht="11.25">
      <c r="B14" s="239">
        <f t="shared" si="2"/>
        <v>1204</v>
      </c>
      <c r="C14" s="165"/>
      <c r="D14" s="266"/>
      <c r="E14" s="43"/>
      <c r="F14" s="43"/>
      <c r="G14" s="406">
        <v>2004</v>
      </c>
      <c r="H14" s="62"/>
      <c r="I14" s="62"/>
      <c r="J14" s="419">
        <v>17.51</v>
      </c>
      <c r="K14" s="508">
        <f t="shared" si="0"/>
      </c>
      <c r="L14" s="419">
        <v>0.35</v>
      </c>
      <c r="M14" s="512">
        <f t="shared" si="1"/>
      </c>
    </row>
    <row r="15" spans="2:13" ht="12.75" customHeight="1">
      <c r="B15" s="239">
        <f t="shared" si="2"/>
        <v>1205</v>
      </c>
      <c r="C15" s="165"/>
      <c r="D15" s="266"/>
      <c r="E15" s="43"/>
      <c r="F15" s="43"/>
      <c r="G15" s="406">
        <v>2005</v>
      </c>
      <c r="H15" s="62"/>
      <c r="I15" s="62"/>
      <c r="J15" s="419">
        <v>17.76</v>
      </c>
      <c r="K15" s="508">
        <f t="shared" si="0"/>
      </c>
      <c r="L15" s="419">
        <v>0.45</v>
      </c>
      <c r="M15" s="512">
        <f t="shared" si="1"/>
      </c>
    </row>
    <row r="16" spans="2:13" ht="11.25">
      <c r="B16" s="239">
        <f t="shared" si="2"/>
        <v>1206</v>
      </c>
      <c r="C16" s="165"/>
      <c r="D16" s="266"/>
      <c r="E16" s="43"/>
      <c r="F16" s="43"/>
      <c r="G16" s="406">
        <v>2006</v>
      </c>
      <c r="H16" s="62"/>
      <c r="I16" s="62"/>
      <c r="J16" s="419">
        <v>18.2</v>
      </c>
      <c r="K16" s="508">
        <f t="shared" si="0"/>
      </c>
      <c r="L16" s="419">
        <v>0.55</v>
      </c>
      <c r="M16" s="512">
        <f t="shared" si="1"/>
      </c>
    </row>
    <row r="17" spans="2:13" ht="11.25">
      <c r="B17" s="239">
        <f t="shared" si="2"/>
        <v>1207</v>
      </c>
      <c r="C17" s="165"/>
      <c r="D17" s="266"/>
      <c r="E17" s="43"/>
      <c r="F17" s="43"/>
      <c r="G17" s="406">
        <v>2007</v>
      </c>
      <c r="H17" s="62"/>
      <c r="I17" s="62"/>
      <c r="J17" s="419">
        <v>18.47</v>
      </c>
      <c r="K17" s="508">
        <f t="shared" si="0"/>
      </c>
      <c r="L17" s="419">
        <v>0.65</v>
      </c>
      <c r="M17" s="512">
        <f t="shared" si="1"/>
      </c>
    </row>
    <row r="18" spans="2:13" ht="11.25">
      <c r="B18" s="239">
        <f t="shared" si="2"/>
        <v>1208</v>
      </c>
      <c r="C18" s="165"/>
      <c r="D18" s="266"/>
      <c r="E18" s="43"/>
      <c r="F18" s="43"/>
      <c r="G18" s="406">
        <v>2008</v>
      </c>
      <c r="H18" s="62"/>
      <c r="I18" s="62"/>
      <c r="J18" s="419">
        <v>18.96</v>
      </c>
      <c r="K18" s="508">
        <f t="shared" si="0"/>
      </c>
      <c r="L18" s="419">
        <v>0.75</v>
      </c>
      <c r="M18" s="512">
        <f t="shared" si="1"/>
      </c>
    </row>
    <row r="19" spans="2:13" ht="11.25">
      <c r="B19" s="239">
        <f t="shared" si="2"/>
        <v>1209</v>
      </c>
      <c r="C19" s="165"/>
      <c r="D19" s="266"/>
      <c r="E19" s="43"/>
      <c r="F19" s="43"/>
      <c r="G19" s="406">
        <v>2009</v>
      </c>
      <c r="H19" s="62"/>
      <c r="I19" s="62"/>
      <c r="J19" s="419">
        <v>19.13</v>
      </c>
      <c r="K19" s="508">
        <f t="shared" si="0"/>
      </c>
      <c r="L19" s="419">
        <v>0.85</v>
      </c>
      <c r="M19" s="512">
        <f t="shared" si="1"/>
      </c>
    </row>
    <row r="20" spans="2:13" ht="11.25">
      <c r="B20" s="426">
        <f t="shared" si="2"/>
        <v>1210</v>
      </c>
      <c r="C20" s="305"/>
      <c r="D20" s="306"/>
      <c r="E20" s="394"/>
      <c r="F20" s="394"/>
      <c r="G20" s="407">
        <v>2010</v>
      </c>
      <c r="H20" s="507"/>
      <c r="I20" s="507"/>
      <c r="J20" s="420">
        <v>19.07</v>
      </c>
      <c r="K20" s="509">
        <f t="shared" si="0"/>
      </c>
      <c r="L20" s="420">
        <v>0.95</v>
      </c>
      <c r="M20" s="513">
        <f t="shared" si="1"/>
      </c>
    </row>
    <row r="21" spans="2:13" ht="11.25">
      <c r="B21" s="427">
        <f t="shared" si="2"/>
        <v>1211</v>
      </c>
      <c r="C21" s="303" t="s">
        <v>163</v>
      </c>
      <c r="D21" s="304"/>
      <c r="E21" s="86"/>
      <c r="F21" s="395"/>
      <c r="G21" s="408">
        <v>2001</v>
      </c>
      <c r="H21" s="348"/>
      <c r="I21" s="348"/>
      <c r="J21" s="421">
        <v>12.17</v>
      </c>
      <c r="K21" s="510">
        <f t="shared" si="0"/>
      </c>
      <c r="L21" s="421">
        <v>0.05</v>
      </c>
      <c r="M21" s="514">
        <f t="shared" si="1"/>
      </c>
    </row>
    <row r="22" spans="2:13" ht="11.25">
      <c r="B22" s="172">
        <f t="shared" si="2"/>
        <v>1212</v>
      </c>
      <c r="C22" s="165" t="s">
        <v>164</v>
      </c>
      <c r="D22" s="266"/>
      <c r="E22" s="43"/>
      <c r="F22" s="169"/>
      <c r="G22" s="406">
        <v>2002</v>
      </c>
      <c r="H22" s="62"/>
      <c r="I22" s="62"/>
      <c r="J22" s="419">
        <v>12.55</v>
      </c>
      <c r="K22" s="508">
        <f t="shared" si="0"/>
      </c>
      <c r="L22" s="419">
        <v>0.15</v>
      </c>
      <c r="M22" s="512">
        <f t="shared" si="1"/>
      </c>
    </row>
    <row r="23" spans="2:13" ht="11.25">
      <c r="B23" s="172">
        <f t="shared" si="2"/>
        <v>1213</v>
      </c>
      <c r="C23" s="165" t="s">
        <v>162</v>
      </c>
      <c r="D23" s="266"/>
      <c r="E23" s="43"/>
      <c r="F23" s="169"/>
      <c r="G23" s="406">
        <v>2003</v>
      </c>
      <c r="H23" s="62"/>
      <c r="I23" s="62"/>
      <c r="J23" s="419">
        <v>12.9</v>
      </c>
      <c r="K23" s="508">
        <f t="shared" si="0"/>
      </c>
      <c r="L23" s="419">
        <v>0.25</v>
      </c>
      <c r="M23" s="512">
        <f t="shared" si="1"/>
      </c>
    </row>
    <row r="24" spans="2:13" ht="11.25">
      <c r="B24" s="172">
        <f t="shared" si="2"/>
        <v>1214</v>
      </c>
      <c r="C24" s="165" t="s">
        <v>165</v>
      </c>
      <c r="D24" s="266"/>
      <c r="E24" s="43"/>
      <c r="F24" s="169"/>
      <c r="G24" s="406">
        <v>2004</v>
      </c>
      <c r="H24" s="62"/>
      <c r="I24" s="62"/>
      <c r="J24" s="419">
        <v>13</v>
      </c>
      <c r="K24" s="508">
        <f t="shared" si="0"/>
      </c>
      <c r="L24" s="419">
        <v>0.35</v>
      </c>
      <c r="M24" s="512">
        <f t="shared" si="1"/>
      </c>
    </row>
    <row r="25" spans="2:13" ht="11.25">
      <c r="B25" s="172">
        <f t="shared" si="2"/>
        <v>1215</v>
      </c>
      <c r="C25" s="165"/>
      <c r="D25" s="266"/>
      <c r="E25" s="43"/>
      <c r="F25" s="169"/>
      <c r="G25" s="406">
        <v>2005</v>
      </c>
      <c r="H25" s="62"/>
      <c r="I25" s="62"/>
      <c r="J25" s="419">
        <v>13.18</v>
      </c>
      <c r="K25" s="508">
        <f t="shared" si="0"/>
      </c>
      <c r="L25" s="419">
        <v>0.45</v>
      </c>
      <c r="M25" s="512">
        <f t="shared" si="1"/>
      </c>
    </row>
    <row r="26" spans="2:13" ht="11.25">
      <c r="B26" s="172">
        <f t="shared" si="2"/>
        <v>1216</v>
      </c>
      <c r="C26" s="165"/>
      <c r="D26" s="266"/>
      <c r="E26" s="43"/>
      <c r="F26" s="169"/>
      <c r="G26" s="406">
        <v>2006</v>
      </c>
      <c r="H26" s="62"/>
      <c r="I26" s="62"/>
      <c r="J26" s="419">
        <v>13.51</v>
      </c>
      <c r="K26" s="508">
        <f t="shared" si="0"/>
      </c>
      <c r="L26" s="419">
        <v>0.55</v>
      </c>
      <c r="M26" s="512">
        <f t="shared" si="1"/>
      </c>
    </row>
    <row r="27" spans="2:13" ht="11.25">
      <c r="B27" s="172">
        <f t="shared" si="2"/>
        <v>1217</v>
      </c>
      <c r="C27" s="165"/>
      <c r="D27" s="266"/>
      <c r="E27" s="43"/>
      <c r="F27" s="169"/>
      <c r="G27" s="406">
        <v>2007</v>
      </c>
      <c r="H27" s="62"/>
      <c r="I27" s="62"/>
      <c r="J27" s="419">
        <v>13.71</v>
      </c>
      <c r="K27" s="508">
        <f t="shared" si="0"/>
      </c>
      <c r="L27" s="419">
        <v>0.65</v>
      </c>
      <c r="M27" s="512">
        <f t="shared" si="1"/>
      </c>
    </row>
    <row r="28" spans="2:13" ht="11.25">
      <c r="B28" s="172">
        <f t="shared" si="2"/>
        <v>1218</v>
      </c>
      <c r="C28" s="165"/>
      <c r="D28" s="266"/>
      <c r="E28" s="43"/>
      <c r="F28" s="169"/>
      <c r="G28" s="406">
        <v>2008</v>
      </c>
      <c r="H28" s="62"/>
      <c r="I28" s="62"/>
      <c r="J28" s="419">
        <v>14.08</v>
      </c>
      <c r="K28" s="508">
        <f t="shared" si="0"/>
      </c>
      <c r="L28" s="419">
        <v>0.75</v>
      </c>
      <c r="M28" s="512">
        <f t="shared" si="1"/>
      </c>
    </row>
    <row r="29" spans="2:13" ht="11.25">
      <c r="B29" s="172">
        <f t="shared" si="2"/>
        <v>1219</v>
      </c>
      <c r="C29" s="165"/>
      <c r="D29" s="266"/>
      <c r="E29" s="43"/>
      <c r="F29" s="169"/>
      <c r="G29" s="406">
        <v>2009</v>
      </c>
      <c r="H29" s="62"/>
      <c r="I29" s="62"/>
      <c r="J29" s="419">
        <v>14.2</v>
      </c>
      <c r="K29" s="508">
        <f t="shared" si="0"/>
      </c>
      <c r="L29" s="419">
        <v>0.85</v>
      </c>
      <c r="M29" s="512">
        <f t="shared" si="1"/>
      </c>
    </row>
    <row r="30" spans="2:13" ht="11.25">
      <c r="B30" s="426">
        <f t="shared" si="2"/>
        <v>1220</v>
      </c>
      <c r="C30" s="305"/>
      <c r="D30" s="306"/>
      <c r="E30" s="394"/>
      <c r="F30" s="394"/>
      <c r="G30" s="407">
        <v>2010</v>
      </c>
      <c r="H30" s="507"/>
      <c r="I30" s="507"/>
      <c r="J30" s="420">
        <v>14.16</v>
      </c>
      <c r="K30" s="509">
        <f t="shared" si="0"/>
      </c>
      <c r="L30" s="420">
        <v>0.95</v>
      </c>
      <c r="M30" s="513">
        <f t="shared" si="1"/>
      </c>
    </row>
    <row r="31" spans="2:13" ht="11.25">
      <c r="B31" s="309">
        <f t="shared" si="2"/>
        <v>1221</v>
      </c>
      <c r="C31" s="267" t="s">
        <v>166</v>
      </c>
      <c r="D31" s="265"/>
      <c r="E31" s="396"/>
      <c r="F31" s="397"/>
      <c r="G31" s="409">
        <v>2001</v>
      </c>
      <c r="H31" s="62"/>
      <c r="I31" s="62"/>
      <c r="J31" s="419">
        <v>11.97</v>
      </c>
      <c r="K31" s="508">
        <f t="shared" si="0"/>
      </c>
      <c r="L31" s="419">
        <v>0.05</v>
      </c>
      <c r="M31" s="512">
        <f t="shared" si="1"/>
      </c>
    </row>
    <row r="32" spans="2:13" ht="11.25">
      <c r="B32" s="172">
        <f t="shared" si="2"/>
        <v>1222</v>
      </c>
      <c r="C32" s="165" t="s">
        <v>167</v>
      </c>
      <c r="D32" s="266"/>
      <c r="E32" s="43"/>
      <c r="F32" s="169"/>
      <c r="G32" s="406">
        <v>2002</v>
      </c>
      <c r="H32" s="62"/>
      <c r="I32" s="62"/>
      <c r="J32" s="419">
        <v>12.34</v>
      </c>
      <c r="K32" s="508">
        <f t="shared" si="0"/>
      </c>
      <c r="L32" s="419">
        <v>0.15</v>
      </c>
      <c r="M32" s="512">
        <f t="shared" si="1"/>
      </c>
    </row>
    <row r="33" spans="2:13" ht="11.25">
      <c r="B33" s="172">
        <f t="shared" si="2"/>
        <v>1223</v>
      </c>
      <c r="C33" s="165"/>
      <c r="D33" s="266"/>
      <c r="E33" s="43"/>
      <c r="F33" s="169"/>
      <c r="G33" s="406">
        <v>2003</v>
      </c>
      <c r="H33" s="62"/>
      <c r="I33" s="62"/>
      <c r="J33" s="419">
        <v>12.69</v>
      </c>
      <c r="K33" s="508">
        <f t="shared" si="0"/>
      </c>
      <c r="L33" s="419">
        <v>0.25</v>
      </c>
      <c r="M33" s="512">
        <f t="shared" si="1"/>
      </c>
    </row>
    <row r="34" spans="2:13" ht="11.25">
      <c r="B34" s="172">
        <f t="shared" si="2"/>
        <v>1224</v>
      </c>
      <c r="C34" s="165"/>
      <c r="D34" s="266"/>
      <c r="E34" s="43"/>
      <c r="F34" s="169"/>
      <c r="G34" s="406">
        <v>2004</v>
      </c>
      <c r="H34" s="62"/>
      <c r="I34" s="62"/>
      <c r="J34" s="419">
        <v>12.79</v>
      </c>
      <c r="K34" s="508">
        <f t="shared" si="0"/>
      </c>
      <c r="L34" s="419">
        <v>0.35</v>
      </c>
      <c r="M34" s="512">
        <f t="shared" si="1"/>
      </c>
    </row>
    <row r="35" spans="2:13" ht="11.25">
      <c r="B35" s="172">
        <f t="shared" si="2"/>
        <v>1225</v>
      </c>
      <c r="C35" s="165"/>
      <c r="D35" s="266"/>
      <c r="E35" s="43"/>
      <c r="F35" s="169"/>
      <c r="G35" s="406">
        <v>2005</v>
      </c>
      <c r="H35" s="62"/>
      <c r="I35" s="62"/>
      <c r="J35" s="419">
        <v>12.97</v>
      </c>
      <c r="K35" s="508">
        <f t="shared" si="0"/>
      </c>
      <c r="L35" s="419">
        <v>0.45</v>
      </c>
      <c r="M35" s="512">
        <f t="shared" si="1"/>
      </c>
    </row>
    <row r="36" spans="2:13" ht="11.25">
      <c r="B36" s="172">
        <f t="shared" si="2"/>
        <v>1226</v>
      </c>
      <c r="C36" s="165"/>
      <c r="D36" s="266"/>
      <c r="E36" s="43"/>
      <c r="F36" s="169"/>
      <c r="G36" s="406">
        <v>2006</v>
      </c>
      <c r="H36" s="62"/>
      <c r="I36" s="62"/>
      <c r="J36" s="419">
        <v>13.29</v>
      </c>
      <c r="K36" s="508">
        <f t="shared" si="0"/>
      </c>
      <c r="L36" s="419">
        <v>0.55</v>
      </c>
      <c r="M36" s="512">
        <f t="shared" si="1"/>
      </c>
    </row>
    <row r="37" spans="2:13" ht="11.25">
      <c r="B37" s="172">
        <f t="shared" si="2"/>
        <v>1227</v>
      </c>
      <c r="C37" s="165"/>
      <c r="D37" s="266"/>
      <c r="E37" s="43"/>
      <c r="F37" s="169"/>
      <c r="G37" s="406">
        <v>2007</v>
      </c>
      <c r="H37" s="62"/>
      <c r="I37" s="62"/>
      <c r="J37" s="419">
        <v>13.49</v>
      </c>
      <c r="K37" s="508">
        <f t="shared" si="0"/>
      </c>
      <c r="L37" s="419">
        <v>0.65</v>
      </c>
      <c r="M37" s="512">
        <f t="shared" si="1"/>
      </c>
    </row>
    <row r="38" spans="2:13" ht="11.25">
      <c r="B38" s="172">
        <f t="shared" si="2"/>
        <v>1228</v>
      </c>
      <c r="C38" s="165"/>
      <c r="D38" s="266"/>
      <c r="E38" s="43"/>
      <c r="F38" s="169"/>
      <c r="G38" s="406">
        <v>2008</v>
      </c>
      <c r="H38" s="62"/>
      <c r="I38" s="62"/>
      <c r="J38" s="419">
        <v>13.85</v>
      </c>
      <c r="K38" s="508">
        <f t="shared" si="0"/>
      </c>
      <c r="L38" s="419">
        <v>0.75</v>
      </c>
      <c r="M38" s="512">
        <f t="shared" si="1"/>
      </c>
    </row>
    <row r="39" spans="2:13" ht="11.25">
      <c r="B39" s="172">
        <f t="shared" si="2"/>
        <v>1229</v>
      </c>
      <c r="C39" s="165"/>
      <c r="D39" s="266"/>
      <c r="E39" s="43"/>
      <c r="F39" s="169"/>
      <c r="G39" s="406">
        <v>2009</v>
      </c>
      <c r="H39" s="62"/>
      <c r="I39" s="62"/>
      <c r="J39" s="419">
        <v>13.97</v>
      </c>
      <c r="K39" s="508">
        <f t="shared" si="0"/>
      </c>
      <c r="L39" s="419">
        <v>0.85</v>
      </c>
      <c r="M39" s="512">
        <f t="shared" si="1"/>
      </c>
    </row>
    <row r="40" spans="2:13" ht="11.25">
      <c r="B40" s="426">
        <f t="shared" si="2"/>
        <v>1230</v>
      </c>
      <c r="C40" s="305"/>
      <c r="D40" s="306"/>
      <c r="E40" s="394"/>
      <c r="F40" s="394"/>
      <c r="G40" s="407">
        <v>2010</v>
      </c>
      <c r="H40" s="507"/>
      <c r="I40" s="507"/>
      <c r="J40" s="420">
        <v>13.93</v>
      </c>
      <c r="K40" s="509">
        <f t="shared" si="0"/>
      </c>
      <c r="L40" s="420">
        <v>0.95</v>
      </c>
      <c r="M40" s="513">
        <f t="shared" si="1"/>
      </c>
    </row>
    <row r="41" spans="2:13" ht="11.25">
      <c r="B41" s="309">
        <f t="shared" si="2"/>
        <v>1231</v>
      </c>
      <c r="C41" s="267" t="s">
        <v>168</v>
      </c>
      <c r="D41" s="265"/>
      <c r="E41" s="396"/>
      <c r="F41" s="397"/>
      <c r="G41" s="409">
        <v>2001</v>
      </c>
      <c r="H41" s="62"/>
      <c r="I41" s="62"/>
      <c r="J41" s="419">
        <v>26.35</v>
      </c>
      <c r="K41" s="508">
        <f t="shared" si="0"/>
      </c>
      <c r="L41" s="419">
        <v>0.05</v>
      </c>
      <c r="M41" s="512">
        <f t="shared" si="1"/>
      </c>
    </row>
    <row r="42" spans="2:13" ht="11.25">
      <c r="B42" s="172">
        <f t="shared" si="2"/>
        <v>1232</v>
      </c>
      <c r="C42" s="165" t="s">
        <v>162</v>
      </c>
      <c r="D42" s="266"/>
      <c r="E42" s="43"/>
      <c r="F42" s="169"/>
      <c r="G42" s="406">
        <v>2002</v>
      </c>
      <c r="H42" s="62"/>
      <c r="I42" s="62"/>
      <c r="J42" s="419">
        <v>27.16</v>
      </c>
      <c r="K42" s="508">
        <f t="shared" si="0"/>
      </c>
      <c r="L42" s="419">
        <v>0.15</v>
      </c>
      <c r="M42" s="512">
        <f t="shared" si="1"/>
      </c>
    </row>
    <row r="43" spans="2:13" ht="11.25">
      <c r="B43" s="172">
        <f t="shared" si="2"/>
        <v>1233</v>
      </c>
      <c r="C43" s="165"/>
      <c r="D43" s="266"/>
      <c r="E43" s="43"/>
      <c r="F43" s="169"/>
      <c r="G43" s="406">
        <v>2003</v>
      </c>
      <c r="H43" s="62"/>
      <c r="I43" s="62"/>
      <c r="J43" s="419">
        <v>27.92</v>
      </c>
      <c r="K43" s="508">
        <f t="shared" si="0"/>
      </c>
      <c r="L43" s="419">
        <v>0.25</v>
      </c>
      <c r="M43" s="512">
        <f t="shared" si="1"/>
      </c>
    </row>
    <row r="44" spans="2:13" ht="11.25">
      <c r="B44" s="172">
        <f t="shared" si="2"/>
        <v>1234</v>
      </c>
      <c r="C44" s="165"/>
      <c r="D44" s="266"/>
      <c r="E44" s="43"/>
      <c r="F44" s="169"/>
      <c r="G44" s="406">
        <v>2004</v>
      </c>
      <c r="H44" s="62"/>
      <c r="I44" s="62"/>
      <c r="J44" s="419">
        <v>28.14</v>
      </c>
      <c r="K44" s="508">
        <f t="shared" si="0"/>
      </c>
      <c r="L44" s="419">
        <v>0.35</v>
      </c>
      <c r="M44" s="512">
        <f t="shared" si="1"/>
      </c>
    </row>
    <row r="45" spans="2:13" ht="11.25">
      <c r="B45" s="172">
        <f t="shared" si="2"/>
        <v>1235</v>
      </c>
      <c r="C45" s="165"/>
      <c r="D45" s="266"/>
      <c r="E45" s="43"/>
      <c r="F45" s="169"/>
      <c r="G45" s="406">
        <v>2005</v>
      </c>
      <c r="H45" s="62"/>
      <c r="I45" s="62"/>
      <c r="J45" s="419">
        <v>28.54</v>
      </c>
      <c r="K45" s="508">
        <f t="shared" si="0"/>
      </c>
      <c r="L45" s="419">
        <v>0.45</v>
      </c>
      <c r="M45" s="512">
        <f t="shared" si="1"/>
      </c>
    </row>
    <row r="46" spans="2:13" ht="11.25">
      <c r="B46" s="172">
        <f t="shared" si="2"/>
        <v>1236</v>
      </c>
      <c r="C46" s="165"/>
      <c r="D46" s="266"/>
      <c r="E46" s="43"/>
      <c r="F46" s="169"/>
      <c r="G46" s="406">
        <v>2006</v>
      </c>
      <c r="H46" s="62"/>
      <c r="I46" s="62"/>
      <c r="J46" s="419">
        <v>29.24</v>
      </c>
      <c r="K46" s="508">
        <f t="shared" si="0"/>
      </c>
      <c r="L46" s="419">
        <v>0.55</v>
      </c>
      <c r="M46" s="512">
        <f t="shared" si="1"/>
      </c>
    </row>
    <row r="47" spans="2:13" ht="11.25">
      <c r="B47" s="172">
        <f t="shared" si="2"/>
        <v>1237</v>
      </c>
      <c r="C47" s="165"/>
      <c r="D47" s="266"/>
      <c r="E47" s="43"/>
      <c r="F47" s="169"/>
      <c r="G47" s="406">
        <v>2007</v>
      </c>
      <c r="H47" s="62"/>
      <c r="I47" s="62"/>
      <c r="J47" s="419">
        <v>29.68</v>
      </c>
      <c r="K47" s="508">
        <f t="shared" si="0"/>
      </c>
      <c r="L47" s="419">
        <v>0.65</v>
      </c>
      <c r="M47" s="512">
        <f t="shared" si="1"/>
      </c>
    </row>
    <row r="48" spans="2:13" ht="11.25">
      <c r="B48" s="172">
        <f t="shared" si="2"/>
        <v>1238</v>
      </c>
      <c r="C48" s="165"/>
      <c r="D48" s="266"/>
      <c r="E48" s="43"/>
      <c r="F48" s="169"/>
      <c r="G48" s="406">
        <v>2008</v>
      </c>
      <c r="H48" s="62"/>
      <c r="I48" s="62"/>
      <c r="J48" s="419">
        <v>30.48</v>
      </c>
      <c r="K48" s="508">
        <f t="shared" si="0"/>
      </c>
      <c r="L48" s="419">
        <v>0.75</v>
      </c>
      <c r="M48" s="512">
        <f t="shared" si="1"/>
      </c>
    </row>
    <row r="49" spans="2:13" ht="11.25">
      <c r="B49" s="172">
        <f t="shared" si="2"/>
        <v>1239</v>
      </c>
      <c r="C49" s="165"/>
      <c r="D49" s="266"/>
      <c r="E49" s="43"/>
      <c r="F49" s="169"/>
      <c r="G49" s="406">
        <v>2009</v>
      </c>
      <c r="H49" s="62"/>
      <c r="I49" s="62"/>
      <c r="J49" s="419">
        <v>30.74</v>
      </c>
      <c r="K49" s="508">
        <f t="shared" si="0"/>
      </c>
      <c r="L49" s="419">
        <v>0.85</v>
      </c>
      <c r="M49" s="512">
        <f t="shared" si="1"/>
      </c>
    </row>
    <row r="50" spans="2:13" ht="11.25">
      <c r="B50" s="426">
        <f t="shared" si="2"/>
        <v>1240</v>
      </c>
      <c r="C50" s="305"/>
      <c r="D50" s="306"/>
      <c r="E50" s="394"/>
      <c r="F50" s="394"/>
      <c r="G50" s="407">
        <v>2010</v>
      </c>
      <c r="H50" s="507"/>
      <c r="I50" s="507"/>
      <c r="J50" s="420">
        <v>30.64</v>
      </c>
      <c r="K50" s="509">
        <f t="shared" si="0"/>
      </c>
      <c r="L50" s="420">
        <v>0.95</v>
      </c>
      <c r="M50" s="513">
        <f t="shared" si="1"/>
      </c>
    </row>
    <row r="51" spans="2:13" ht="11.25">
      <c r="B51" s="309">
        <f t="shared" si="2"/>
        <v>1241</v>
      </c>
      <c r="C51" s="267" t="s">
        <v>169</v>
      </c>
      <c r="D51" s="265"/>
      <c r="E51" s="396"/>
      <c r="F51" s="397"/>
      <c r="G51" s="409">
        <v>2001</v>
      </c>
      <c r="H51" s="62"/>
      <c r="I51" s="62"/>
      <c r="J51" s="419">
        <v>21.66</v>
      </c>
      <c r="K51" s="508">
        <f t="shared" si="0"/>
      </c>
      <c r="L51" s="419">
        <v>0.05</v>
      </c>
      <c r="M51" s="512">
        <f t="shared" si="1"/>
      </c>
    </row>
    <row r="52" spans="2:13" ht="11.25">
      <c r="B52" s="172">
        <f t="shared" si="2"/>
        <v>1242</v>
      </c>
      <c r="C52" s="165" t="s">
        <v>162</v>
      </c>
      <c r="D52" s="266"/>
      <c r="E52" s="43"/>
      <c r="F52" s="169"/>
      <c r="G52" s="406">
        <v>2002</v>
      </c>
      <c r="H52" s="62"/>
      <c r="I52" s="62"/>
      <c r="J52" s="419">
        <v>22.33</v>
      </c>
      <c r="K52" s="508">
        <f t="shared" si="0"/>
      </c>
      <c r="L52" s="419">
        <v>0.15</v>
      </c>
      <c r="M52" s="512">
        <f t="shared" si="1"/>
      </c>
    </row>
    <row r="53" spans="2:13" ht="11.25">
      <c r="B53" s="172">
        <f t="shared" si="2"/>
        <v>1243</v>
      </c>
      <c r="C53" s="165"/>
      <c r="D53" s="266"/>
      <c r="E53" s="43"/>
      <c r="F53" s="169"/>
      <c r="G53" s="406">
        <v>2003</v>
      </c>
      <c r="H53" s="62"/>
      <c r="I53" s="62"/>
      <c r="J53" s="419">
        <v>22.96</v>
      </c>
      <c r="K53" s="508">
        <f t="shared" si="0"/>
      </c>
      <c r="L53" s="419">
        <v>0.25</v>
      </c>
      <c r="M53" s="512">
        <f t="shared" si="1"/>
      </c>
    </row>
    <row r="54" spans="2:13" ht="11.25">
      <c r="B54" s="172">
        <f t="shared" si="2"/>
        <v>1244</v>
      </c>
      <c r="C54" s="165"/>
      <c r="D54" s="266"/>
      <c r="E54" s="43"/>
      <c r="F54" s="169"/>
      <c r="G54" s="406">
        <v>2004</v>
      </c>
      <c r="H54" s="62"/>
      <c r="I54" s="62"/>
      <c r="J54" s="419">
        <v>23.14</v>
      </c>
      <c r="K54" s="508">
        <f t="shared" si="0"/>
      </c>
      <c r="L54" s="419">
        <v>0.35</v>
      </c>
      <c r="M54" s="512">
        <f t="shared" si="1"/>
      </c>
    </row>
    <row r="55" spans="2:13" ht="11.25">
      <c r="B55" s="172">
        <f t="shared" si="2"/>
        <v>1245</v>
      </c>
      <c r="C55" s="165"/>
      <c r="D55" s="266"/>
      <c r="E55" s="43"/>
      <c r="F55" s="169"/>
      <c r="G55" s="406">
        <v>2005</v>
      </c>
      <c r="H55" s="62"/>
      <c r="I55" s="62"/>
      <c r="J55" s="419">
        <v>23.47</v>
      </c>
      <c r="K55" s="508">
        <f t="shared" si="0"/>
      </c>
      <c r="L55" s="419">
        <v>0.45</v>
      </c>
      <c r="M55" s="512">
        <f t="shared" si="1"/>
      </c>
    </row>
    <row r="56" spans="2:13" ht="11.25">
      <c r="B56" s="172">
        <f t="shared" si="2"/>
        <v>1246</v>
      </c>
      <c r="C56" s="165"/>
      <c r="D56" s="266"/>
      <c r="E56" s="43"/>
      <c r="F56" s="169"/>
      <c r="G56" s="406">
        <v>2006</v>
      </c>
      <c r="H56" s="62"/>
      <c r="I56" s="62"/>
      <c r="J56" s="419">
        <v>24.05</v>
      </c>
      <c r="K56" s="508">
        <f t="shared" si="0"/>
      </c>
      <c r="L56" s="419">
        <v>0.55</v>
      </c>
      <c r="M56" s="512">
        <f t="shared" si="1"/>
      </c>
    </row>
    <row r="57" spans="2:13" ht="11.25">
      <c r="B57" s="172">
        <f t="shared" si="2"/>
        <v>1247</v>
      </c>
      <c r="C57" s="165"/>
      <c r="D57" s="266"/>
      <c r="E57" s="43"/>
      <c r="F57" s="169"/>
      <c r="G57" s="406">
        <v>2007</v>
      </c>
      <c r="H57" s="62"/>
      <c r="I57" s="62"/>
      <c r="J57" s="419">
        <v>24.41</v>
      </c>
      <c r="K57" s="508">
        <f t="shared" si="0"/>
      </c>
      <c r="L57" s="419">
        <v>0.65</v>
      </c>
      <c r="M57" s="512">
        <f t="shared" si="1"/>
      </c>
    </row>
    <row r="58" spans="2:13" ht="11.25">
      <c r="B58" s="172">
        <f t="shared" si="2"/>
        <v>1248</v>
      </c>
      <c r="C58" s="165"/>
      <c r="D58" s="266"/>
      <c r="E58" s="43"/>
      <c r="F58" s="169"/>
      <c r="G58" s="406">
        <v>2008</v>
      </c>
      <c r="H58" s="62"/>
      <c r="I58" s="62"/>
      <c r="J58" s="419">
        <v>25.06</v>
      </c>
      <c r="K58" s="508">
        <f t="shared" si="0"/>
      </c>
      <c r="L58" s="419">
        <v>0.75</v>
      </c>
      <c r="M58" s="512">
        <f t="shared" si="1"/>
      </c>
    </row>
    <row r="59" spans="2:13" ht="11.25">
      <c r="B59" s="172">
        <f t="shared" si="2"/>
        <v>1249</v>
      </c>
      <c r="C59" s="165"/>
      <c r="D59" s="266"/>
      <c r="E59" s="43"/>
      <c r="F59" s="169"/>
      <c r="G59" s="406">
        <v>2009</v>
      </c>
      <c r="H59" s="62"/>
      <c r="I59" s="62"/>
      <c r="J59" s="453">
        <v>25.29</v>
      </c>
      <c r="K59" s="508">
        <f t="shared" si="0"/>
      </c>
      <c r="L59" s="419">
        <v>0.85</v>
      </c>
      <c r="M59" s="512">
        <f t="shared" si="1"/>
      </c>
    </row>
    <row r="60" spans="2:13" ht="11.25">
      <c r="B60" s="172">
        <f t="shared" si="2"/>
        <v>1250</v>
      </c>
      <c r="C60" s="165"/>
      <c r="D60" s="266"/>
      <c r="E60" s="43"/>
      <c r="F60" s="43"/>
      <c r="G60" s="406">
        <v>2010</v>
      </c>
      <c r="H60" s="62"/>
      <c r="I60" s="62"/>
      <c r="J60" s="419">
        <v>25.21</v>
      </c>
      <c r="K60" s="508">
        <f t="shared" si="0"/>
      </c>
      <c r="L60" s="419">
        <v>0.95</v>
      </c>
      <c r="M60" s="512">
        <f t="shared" si="1"/>
      </c>
    </row>
    <row r="61" spans="2:13" ht="11.25">
      <c r="B61" s="172">
        <f t="shared" si="2"/>
        <v>1251</v>
      </c>
      <c r="C61" s="307" t="str">
        <f>"Totaal (regel "&amp;B11&amp;" t/m regel "&amp;B60&amp;")"</f>
        <v>Totaal (regel 1201 t/m regel 1250)</v>
      </c>
      <c r="D61" s="308"/>
      <c r="E61" s="308"/>
      <c r="F61" s="308"/>
      <c r="G61" s="286"/>
      <c r="H61" s="286"/>
      <c r="I61" s="286"/>
      <c r="J61" s="286"/>
      <c r="K61" s="511"/>
      <c r="L61" s="289"/>
      <c r="M61" s="515">
        <f>SUM(M11:M60)</f>
        <v>0</v>
      </c>
    </row>
    <row r="62" spans="2:13" s="29" customFormat="1" ht="11.25">
      <c r="B62" s="241"/>
      <c r="C62" s="229"/>
      <c r="D62" s="241"/>
      <c r="E62" s="241"/>
      <c r="F62" s="241"/>
      <c r="G62" s="241"/>
      <c r="H62" s="241"/>
      <c r="I62" s="241"/>
      <c r="J62" s="241"/>
      <c r="K62" s="241"/>
      <c r="L62" s="241"/>
      <c r="M62" s="403"/>
    </row>
    <row r="63" spans="2:15" ht="11.25">
      <c r="B63" s="46"/>
      <c r="C63" s="46"/>
      <c r="D63" s="46"/>
      <c r="E63" s="46"/>
      <c r="F63" s="46"/>
      <c r="G63" s="125"/>
      <c r="H63" s="46"/>
      <c r="I63" s="46"/>
      <c r="J63" s="125"/>
      <c r="M63" s="369" t="str">
        <f>"Pagina "&amp;O63&amp;""</f>
        <v>Pagina 13</v>
      </c>
      <c r="O63" s="5">
        <f>+O4+1</f>
        <v>13</v>
      </c>
    </row>
    <row r="64" ht="11.25">
      <c r="B64" s="94" t="s">
        <v>200</v>
      </c>
    </row>
    <row r="65" ht="11.25">
      <c r="B65" s="94"/>
    </row>
    <row r="66" spans="3:13" ht="11.25">
      <c r="C66" s="94"/>
      <c r="D66" s="100"/>
      <c r="E66" s="100"/>
      <c r="F66" s="100"/>
      <c r="G66" s="410"/>
      <c r="H66" s="100"/>
      <c r="K66" s="257" t="s">
        <v>117</v>
      </c>
      <c r="L66" s="257" t="s">
        <v>119</v>
      </c>
      <c r="M66" s="257" t="s">
        <v>115</v>
      </c>
    </row>
    <row r="67" spans="2:13" ht="11.25" customHeight="1">
      <c r="B67" s="102"/>
      <c r="C67" s="102"/>
      <c r="D67" s="100"/>
      <c r="E67" s="100"/>
      <c r="F67" s="100"/>
      <c r="G67" s="410"/>
      <c r="H67" s="100"/>
      <c r="K67" s="258" t="s">
        <v>120</v>
      </c>
      <c r="L67" s="258" t="s">
        <v>170</v>
      </c>
      <c r="M67" s="258" t="s">
        <v>116</v>
      </c>
    </row>
    <row r="68" spans="2:13" ht="12" customHeight="1">
      <c r="B68" s="398"/>
      <c r="C68" s="398"/>
      <c r="D68" s="46"/>
      <c r="E68" s="46"/>
      <c r="F68" s="398"/>
      <c r="G68" s="410"/>
      <c r="H68" s="100"/>
      <c r="K68" s="418" t="s">
        <v>171</v>
      </c>
      <c r="L68" s="258" t="s">
        <v>172</v>
      </c>
      <c r="M68" s="258"/>
    </row>
    <row r="69" spans="2:13" ht="11.25">
      <c r="B69" s="172">
        <v>1301</v>
      </c>
      <c r="C69" s="399" t="s">
        <v>173</v>
      </c>
      <c r="D69" s="74"/>
      <c r="E69" s="74"/>
      <c r="F69" s="400"/>
      <c r="G69" s="411"/>
      <c r="H69" s="103"/>
      <c r="I69" s="43"/>
      <c r="J69" s="454"/>
      <c r="K69" s="516"/>
      <c r="L69" s="422">
        <v>1203.02</v>
      </c>
      <c r="M69" s="512">
        <f aca="true" t="shared" si="3" ref="M69:M75">IF(K69="","",+ROUND(K69*L69,0))</f>
      </c>
    </row>
    <row r="70" spans="2:13" ht="11.25">
      <c r="B70" s="172">
        <f aca="true" t="shared" si="4" ref="B70:B75">B69+1</f>
        <v>1302</v>
      </c>
      <c r="C70" s="398" t="s">
        <v>174</v>
      </c>
      <c r="D70" s="46"/>
      <c r="E70" s="46"/>
      <c r="F70" s="398"/>
      <c r="G70" s="410"/>
      <c r="H70" s="103"/>
      <c r="I70" s="43"/>
      <c r="J70" s="454"/>
      <c r="K70" s="62"/>
      <c r="L70" s="423">
        <v>1655.05</v>
      </c>
      <c r="M70" s="512">
        <f t="shared" si="3"/>
      </c>
    </row>
    <row r="71" spans="2:13" ht="11.25">
      <c r="B71" s="172">
        <f t="shared" si="4"/>
        <v>1303</v>
      </c>
      <c r="C71" s="399" t="s">
        <v>175</v>
      </c>
      <c r="D71" s="74"/>
      <c r="E71" s="74"/>
      <c r="F71" s="400"/>
      <c r="G71" s="411"/>
      <c r="H71" s="103"/>
      <c r="I71" s="43"/>
      <c r="J71" s="454"/>
      <c r="K71" s="516"/>
      <c r="L71" s="422">
        <v>2385.09</v>
      </c>
      <c r="M71" s="512">
        <f t="shared" si="3"/>
      </c>
    </row>
    <row r="72" spans="2:13" ht="11.25">
      <c r="B72" s="172">
        <f t="shared" si="4"/>
        <v>1304</v>
      </c>
      <c r="C72" s="398" t="s">
        <v>176</v>
      </c>
      <c r="D72" s="46"/>
      <c r="E72" s="46"/>
      <c r="F72" s="398"/>
      <c r="G72" s="410"/>
      <c r="H72" s="103"/>
      <c r="I72" s="43"/>
      <c r="J72" s="454"/>
      <c r="K72" s="516"/>
      <c r="L72" s="422">
        <v>2048</v>
      </c>
      <c r="M72" s="512">
        <f t="shared" si="3"/>
      </c>
    </row>
    <row r="73" spans="2:13" ht="11.25">
      <c r="B73" s="172">
        <f t="shared" si="4"/>
        <v>1305</v>
      </c>
      <c r="C73" s="399" t="s">
        <v>177</v>
      </c>
      <c r="D73" s="74"/>
      <c r="E73" s="74"/>
      <c r="F73" s="400"/>
      <c r="G73" s="411"/>
      <c r="H73" s="103"/>
      <c r="I73" s="43"/>
      <c r="J73" s="454"/>
      <c r="K73" s="516"/>
      <c r="L73" s="422">
        <v>3959.23</v>
      </c>
      <c r="M73" s="512">
        <f t="shared" si="3"/>
      </c>
    </row>
    <row r="74" spans="2:13" ht="11.25">
      <c r="B74" s="172">
        <f t="shared" si="4"/>
        <v>1306</v>
      </c>
      <c r="C74" s="398" t="s">
        <v>178</v>
      </c>
      <c r="D74" s="46"/>
      <c r="E74" s="46"/>
      <c r="F74" s="398"/>
      <c r="G74" s="410"/>
      <c r="H74" s="103"/>
      <c r="I74" s="43"/>
      <c r="J74" s="454"/>
      <c r="K74" s="516"/>
      <c r="L74" s="422">
        <v>2365.34</v>
      </c>
      <c r="M74" s="512">
        <f t="shared" si="3"/>
      </c>
    </row>
    <row r="75" spans="2:13" ht="11.25">
      <c r="B75" s="172">
        <f t="shared" si="4"/>
        <v>1307</v>
      </c>
      <c r="C75" s="401" t="s">
        <v>179</v>
      </c>
      <c r="D75" s="166"/>
      <c r="E75" s="166"/>
      <c r="F75" s="402"/>
      <c r="G75" s="412"/>
      <c r="H75" s="103"/>
      <c r="I75" s="43"/>
      <c r="J75" s="454"/>
      <c r="K75" s="516"/>
      <c r="L75" s="424">
        <v>3925.85</v>
      </c>
      <c r="M75" s="517">
        <f t="shared" si="3"/>
      </c>
    </row>
    <row r="76" spans="2:13" ht="11.25">
      <c r="B76" s="172">
        <f>B75+1</f>
        <v>1308</v>
      </c>
      <c r="C76" s="288" t="str">
        <f>"Totaal (regel "&amp;B69&amp;" t/m regel "&amp;B75&amp;")"</f>
        <v>Totaal (regel 1301 t/m regel 1307)</v>
      </c>
      <c r="D76" s="286"/>
      <c r="E76" s="286"/>
      <c r="F76" s="286"/>
      <c r="G76" s="286"/>
      <c r="H76" s="286"/>
      <c r="I76" s="286"/>
      <c r="J76" s="286"/>
      <c r="K76" s="286"/>
      <c r="L76" s="289"/>
      <c r="M76" s="515">
        <f>SUM(M69:M75)</f>
        <v>0</v>
      </c>
    </row>
    <row r="77" spans="2:13" ht="11.25">
      <c r="B77" s="287"/>
      <c r="C77" s="398"/>
      <c r="D77" s="398"/>
      <c r="E77" s="398"/>
      <c r="F77" s="398"/>
      <c r="G77" s="410"/>
      <c r="H77" s="100"/>
      <c r="K77" s="100"/>
      <c r="L77" s="410"/>
      <c r="M77" s="100"/>
    </row>
    <row r="78" spans="2:13" ht="11.25">
      <c r="B78" s="172">
        <f>B76+1</f>
        <v>1309</v>
      </c>
      <c r="C78" s="288" t="s">
        <v>180</v>
      </c>
      <c r="D78" s="286"/>
      <c r="E78" s="286"/>
      <c r="F78" s="286"/>
      <c r="G78" s="286"/>
      <c r="H78" s="286"/>
      <c r="I78" s="286"/>
      <c r="J78" s="286"/>
      <c r="K78" s="286"/>
      <c r="L78" s="289"/>
      <c r="M78" s="515">
        <f>M61+M76</f>
        <v>0</v>
      </c>
    </row>
    <row r="79" spans="2:13" s="29" customFormat="1" ht="11.25">
      <c r="B79" s="241"/>
      <c r="C79" s="229"/>
      <c r="D79" s="241"/>
      <c r="E79" s="241"/>
      <c r="F79" s="241"/>
      <c r="G79" s="241"/>
      <c r="H79" s="241"/>
      <c r="I79" s="241"/>
      <c r="J79" s="241"/>
      <c r="K79" s="241"/>
      <c r="L79" s="241"/>
      <c r="M79" s="403"/>
    </row>
    <row r="80" spans="2:13" s="29" customFormat="1" ht="11.25">
      <c r="B80" s="94" t="s">
        <v>199</v>
      </c>
      <c r="C80" s="229"/>
      <c r="D80" s="241"/>
      <c r="E80" s="241"/>
      <c r="F80" s="241"/>
      <c r="G80" s="241"/>
      <c r="H80" s="241"/>
      <c r="I80" s="241"/>
      <c r="J80" s="241"/>
      <c r="K80" s="241"/>
      <c r="L80" s="241"/>
      <c r="M80" s="403"/>
    </row>
    <row r="81" ht="11.25"/>
    <row r="82" spans="3:13" ht="11.25">
      <c r="C82" s="290"/>
      <c r="D82" s="291"/>
      <c r="E82" s="291"/>
      <c r="F82" s="46"/>
      <c r="G82" s="125"/>
      <c r="H82" s="46"/>
      <c r="I82" s="46"/>
      <c r="J82" s="125"/>
      <c r="K82" s="257" t="s">
        <v>184</v>
      </c>
      <c r="L82" s="257" t="s">
        <v>76</v>
      </c>
      <c r="M82" s="257" t="s">
        <v>119</v>
      </c>
    </row>
    <row r="83" spans="2:13" ht="11.25">
      <c r="B83" s="292" t="s">
        <v>244</v>
      </c>
      <c r="D83" s="291"/>
      <c r="E83" s="291"/>
      <c r="F83" s="46"/>
      <c r="G83" s="125"/>
      <c r="H83" s="46"/>
      <c r="I83" s="46"/>
      <c r="J83" s="125"/>
      <c r="K83" s="263" t="s">
        <v>122</v>
      </c>
      <c r="L83" s="263"/>
      <c r="M83" s="263" t="s">
        <v>116</v>
      </c>
    </row>
    <row r="84" spans="2:13" ht="11.25">
      <c r="B84" s="321">
        <f>B78+1</f>
        <v>1310</v>
      </c>
      <c r="C84" s="293">
        <v>2001</v>
      </c>
      <c r="D84" s="294"/>
      <c r="E84" s="294"/>
      <c r="F84" s="74"/>
      <c r="G84" s="413"/>
      <c r="H84" s="74"/>
      <c r="I84" s="74"/>
      <c r="J84" s="455"/>
      <c r="K84" s="518"/>
      <c r="L84" s="295">
        <v>0.05</v>
      </c>
      <c r="M84" s="517">
        <f aca="true" t="shared" si="5" ref="M84:M93">IF(K84="","",+ROUND(K84*L84,0))</f>
      </c>
    </row>
    <row r="85" spans="2:13" ht="11.25">
      <c r="B85" s="321">
        <f>B84+1</f>
        <v>1311</v>
      </c>
      <c r="C85" s="296">
        <f>C84+1</f>
        <v>2002</v>
      </c>
      <c r="D85" s="294"/>
      <c r="E85" s="294"/>
      <c r="F85" s="74"/>
      <c r="G85" s="413"/>
      <c r="H85" s="74"/>
      <c r="I85" s="74"/>
      <c r="J85" s="455"/>
      <c r="K85" s="516"/>
      <c r="L85" s="123">
        <v>0.15</v>
      </c>
      <c r="M85" s="517">
        <f t="shared" si="5"/>
      </c>
    </row>
    <row r="86" spans="2:13" ht="11.25">
      <c r="B86" s="321">
        <f>B85+1</f>
        <v>1312</v>
      </c>
      <c r="C86" s="296">
        <f>C85+1</f>
        <v>2003</v>
      </c>
      <c r="D86" s="294"/>
      <c r="E86" s="294"/>
      <c r="F86" s="74"/>
      <c r="G86" s="413"/>
      <c r="H86" s="74"/>
      <c r="I86" s="74"/>
      <c r="J86" s="455"/>
      <c r="K86" s="516"/>
      <c r="L86" s="123">
        <v>0.25</v>
      </c>
      <c r="M86" s="517">
        <f t="shared" si="5"/>
      </c>
    </row>
    <row r="87" spans="2:13" ht="11.25">
      <c r="B87" s="321">
        <f aca="true" t="shared" si="6" ref="B87:B94">+B86+1</f>
        <v>1313</v>
      </c>
      <c r="C87" s="296">
        <f aca="true" t="shared" si="7" ref="C87:C93">C86+1</f>
        <v>2004</v>
      </c>
      <c r="D87" s="294"/>
      <c r="E87" s="294"/>
      <c r="F87" s="74"/>
      <c r="G87" s="413"/>
      <c r="H87" s="74"/>
      <c r="I87" s="74"/>
      <c r="J87" s="455"/>
      <c r="K87" s="516"/>
      <c r="L87" s="123">
        <f aca="true" t="shared" si="8" ref="L87:L93">+L86+0.1</f>
        <v>0.35</v>
      </c>
      <c r="M87" s="517">
        <f t="shared" si="5"/>
      </c>
    </row>
    <row r="88" spans="2:13" ht="11.25">
      <c r="B88" s="321">
        <f t="shared" si="6"/>
        <v>1314</v>
      </c>
      <c r="C88" s="296">
        <f t="shared" si="7"/>
        <v>2005</v>
      </c>
      <c r="D88" s="294"/>
      <c r="E88" s="294"/>
      <c r="F88" s="74"/>
      <c r="G88" s="413"/>
      <c r="H88" s="74"/>
      <c r="I88" s="74"/>
      <c r="J88" s="455"/>
      <c r="K88" s="516"/>
      <c r="L88" s="123">
        <f t="shared" si="8"/>
        <v>0.44999999999999996</v>
      </c>
      <c r="M88" s="517">
        <f t="shared" si="5"/>
      </c>
    </row>
    <row r="89" spans="2:13" ht="11.25">
      <c r="B89" s="321">
        <f t="shared" si="6"/>
        <v>1315</v>
      </c>
      <c r="C89" s="296">
        <f t="shared" si="7"/>
        <v>2006</v>
      </c>
      <c r="D89" s="294"/>
      <c r="E89" s="294"/>
      <c r="F89" s="74"/>
      <c r="G89" s="413"/>
      <c r="H89" s="74"/>
      <c r="I89" s="74"/>
      <c r="J89" s="455"/>
      <c r="K89" s="516"/>
      <c r="L89" s="123">
        <f t="shared" si="8"/>
        <v>0.5499999999999999</v>
      </c>
      <c r="M89" s="517">
        <f t="shared" si="5"/>
      </c>
    </row>
    <row r="90" spans="2:13" ht="11.25">
      <c r="B90" s="321">
        <f>+B89+1</f>
        <v>1316</v>
      </c>
      <c r="C90" s="296">
        <f>C89+1</f>
        <v>2007</v>
      </c>
      <c r="D90" s="294"/>
      <c r="E90" s="294"/>
      <c r="F90" s="74"/>
      <c r="G90" s="413"/>
      <c r="H90" s="74"/>
      <c r="I90" s="74"/>
      <c r="J90" s="455"/>
      <c r="K90" s="516"/>
      <c r="L90" s="123">
        <f>+L89+0.1</f>
        <v>0.6499999999999999</v>
      </c>
      <c r="M90" s="517">
        <f t="shared" si="5"/>
      </c>
    </row>
    <row r="91" spans="2:13" ht="11.25">
      <c r="B91" s="321">
        <f>+B90+1</f>
        <v>1317</v>
      </c>
      <c r="C91" s="296">
        <f>C90+1</f>
        <v>2008</v>
      </c>
      <c r="D91" s="294"/>
      <c r="E91" s="294"/>
      <c r="F91" s="74"/>
      <c r="G91" s="413"/>
      <c r="H91" s="74"/>
      <c r="I91" s="74"/>
      <c r="J91" s="455"/>
      <c r="K91" s="516"/>
      <c r="L91" s="123">
        <f>+L90+0.1</f>
        <v>0.7499999999999999</v>
      </c>
      <c r="M91" s="517">
        <f t="shared" si="5"/>
      </c>
    </row>
    <row r="92" spans="2:13" ht="11.25">
      <c r="B92" s="321">
        <f t="shared" si="6"/>
        <v>1318</v>
      </c>
      <c r="C92" s="296">
        <f t="shared" si="7"/>
        <v>2009</v>
      </c>
      <c r="D92" s="294"/>
      <c r="E92" s="294"/>
      <c r="F92" s="74"/>
      <c r="G92" s="413"/>
      <c r="H92" s="74"/>
      <c r="I92" s="74"/>
      <c r="J92" s="455"/>
      <c r="K92" s="516"/>
      <c r="L92" s="123">
        <f t="shared" si="8"/>
        <v>0.8499999999999999</v>
      </c>
      <c r="M92" s="517">
        <f t="shared" si="5"/>
      </c>
    </row>
    <row r="93" spans="2:13" ht="11.25">
      <c r="B93" s="321">
        <f t="shared" si="6"/>
        <v>1319</v>
      </c>
      <c r="C93" s="297">
        <f t="shared" si="7"/>
        <v>2010</v>
      </c>
      <c r="D93" s="298"/>
      <c r="E93" s="298"/>
      <c r="F93" s="166"/>
      <c r="G93" s="414"/>
      <c r="H93" s="166"/>
      <c r="I93" s="166"/>
      <c r="J93" s="456"/>
      <c r="K93" s="516"/>
      <c r="L93" s="320">
        <f t="shared" si="8"/>
        <v>0.9499999999999998</v>
      </c>
      <c r="M93" s="517">
        <f t="shared" si="5"/>
      </c>
    </row>
    <row r="94" spans="2:13" ht="11.25">
      <c r="B94" s="321">
        <f t="shared" si="6"/>
        <v>1320</v>
      </c>
      <c r="C94" s="322" t="str">
        <f>"Totaal (regel "&amp;B84&amp;" t/m regel "&amp;B93&amp;")"</f>
        <v>Totaal (regel 1310 t/m regel 1319)</v>
      </c>
      <c r="D94" s="190"/>
      <c r="E94" s="190"/>
      <c r="F94" s="190"/>
      <c r="G94" s="415"/>
      <c r="H94" s="190"/>
      <c r="I94" s="323"/>
      <c r="J94" s="457"/>
      <c r="K94" s="511">
        <f>SUM(K84:K93)</f>
        <v>0</v>
      </c>
      <c r="L94" s="425"/>
      <c r="M94" s="519">
        <f>SUM(M84:M93)</f>
        <v>0</v>
      </c>
    </row>
    <row r="95" ht="11.25"/>
    <row r="96" ht="11.25" hidden="1"/>
    <row r="97" ht="11.25" hidden="1"/>
    <row r="98" ht="11.25" hidden="1"/>
    <row r="99" ht="11.25" hidden="1"/>
    <row r="100" ht="11.25" hidden="1"/>
    <row r="101" ht="11.25" hidden="1"/>
    <row r="102" ht="11.25" hidden="1"/>
    <row r="103" ht="11.25" hidden="1"/>
    <row r="104" ht="11.25" hidden="1"/>
    <row r="105" ht="11.25" hidden="1"/>
    <row r="106" ht="11.25" hidden="1"/>
    <row r="107" ht="11.25" hidden="1"/>
    <row r="108" ht="11.25" hidden="1"/>
    <row r="109" ht="11.25" hidden="1"/>
    <row r="110" ht="11.25" hidden="1"/>
  </sheetData>
  <sheetProtection password="C7EC" sheet="1" objects="1" scenarios="1"/>
  <mergeCells count="6">
    <mergeCell ref="L8:L10"/>
    <mergeCell ref="M8:M10"/>
    <mergeCell ref="B8:B10"/>
    <mergeCell ref="C8:E10"/>
    <mergeCell ref="G8:G10"/>
    <mergeCell ref="K8:K10"/>
  </mergeCells>
  <conditionalFormatting sqref="K84:K93 K69:K75 H11:I60">
    <cfRule type="expression" priority="1" dxfId="1" stopIfTrue="1">
      <formula>$K$4=TRUE</formula>
    </cfRule>
  </conditionalFormatting>
  <dataValidations count="2">
    <dataValidation type="custom" allowBlank="1" showInputMessage="1" showErrorMessage="1" errorTitle="Onjuiste invoer" error="Hier kan alleen een geheel bedrag worden ingevuld." sqref="K84:K93">
      <formula1>AND($C$1="ja",K84=ROUND(K84,0))</formula1>
    </dataValidation>
    <dataValidation type="custom" allowBlank="1" showInputMessage="1" showErrorMessage="1" errorTitle="Onjuiste invoer" error="Hier kan alleen een positief geheel aantal worden ingevuld." sqref="H11:I60 K69:K75">
      <formula1>AND(H11&gt;=0,H11=ROUND(H11,0))</formula1>
    </dataValidation>
  </dataValidations>
  <printOptions/>
  <pageMargins left="0.3937007874015748" right="0.3937007874015748" top="0.7874015748031497" bottom="0.3937007874015748" header="0.5118110236220472" footer="0.5118110236220472"/>
  <pageSetup firstPageNumber="5" useFirstPageNumber="1" horizontalDpi="600" verticalDpi="600" orientation="landscape" paperSize="9" scale="72" r:id="rId2"/>
  <headerFooter alignWithMargins="0">
    <oddHeader>&amp;LAWBZ-BREED CALCULATIEMODEL RENTEKOSTEN 2010
&amp;R&amp;G</oddHeader>
  </headerFooter>
  <rowBreaks count="1" manualBreakCount="1">
    <brk id="62" max="255" man="1"/>
  </rowBreaks>
  <legacyDrawingHF r:id="rId1"/>
</worksheet>
</file>

<file path=xl/worksheets/sheet11.xml><?xml version="1.0" encoding="utf-8"?>
<worksheet xmlns="http://schemas.openxmlformats.org/spreadsheetml/2006/main" xmlns:r="http://schemas.openxmlformats.org/officeDocument/2006/relationships">
  <dimension ref="B1:T109"/>
  <sheetViews>
    <sheetView showGridLines="0" zoomScaleSheetLayoutView="75" workbookViewId="0" topLeftCell="A3">
      <selection activeCell="I12" sqref="I12"/>
    </sheetView>
  </sheetViews>
  <sheetFormatPr defaultColWidth="9.140625" defaultRowHeight="12.75" customHeight="1" zeroHeight="1"/>
  <cols>
    <col min="1" max="1" width="2.421875" style="46" customWidth="1"/>
    <col min="2" max="2" width="7.00390625" style="46" customWidth="1"/>
    <col min="3" max="4" width="7.140625" style="46" customWidth="1"/>
    <col min="5" max="5" width="7.7109375" style="46" customWidth="1"/>
    <col min="6" max="6" width="12.140625" style="46" customWidth="1"/>
    <col min="7" max="7" width="10.7109375" style="46" customWidth="1"/>
    <col min="8" max="8" width="20.28125" style="46" customWidth="1"/>
    <col min="9" max="9" width="16.00390625" style="46" customWidth="1"/>
    <col min="10" max="10" width="15.28125" style="46" customWidth="1"/>
    <col min="11" max="11" width="13.28125" style="46" customWidth="1"/>
    <col min="12" max="12" width="10.140625" style="46" customWidth="1"/>
    <col min="13" max="13" width="14.7109375" style="46" customWidth="1"/>
    <col min="14" max="14" width="1.421875" style="46" customWidth="1"/>
    <col min="15" max="16384" width="0" style="46" hidden="1" customWidth="1"/>
  </cols>
  <sheetData>
    <row r="1" spans="2:13" s="150" customFormat="1" ht="12" hidden="1">
      <c r="B1" s="270" t="b">
        <v>1</v>
      </c>
      <c r="C1" s="137" t="s">
        <v>127</v>
      </c>
      <c r="D1" s="104"/>
      <c r="E1" s="104"/>
      <c r="F1" s="104"/>
      <c r="G1" s="104"/>
      <c r="I1" s="357">
        <v>11.86</v>
      </c>
      <c r="J1" s="104"/>
      <c r="K1" s="105"/>
      <c r="L1" s="105"/>
      <c r="M1" s="104"/>
    </row>
    <row r="2" spans="2:13" s="150" customFormat="1" ht="12" hidden="1">
      <c r="B2" s="271">
        <v>6</v>
      </c>
      <c r="C2" s="105">
        <v>6.43</v>
      </c>
      <c r="D2" s="104">
        <v>8.43</v>
      </c>
      <c r="E2" s="104">
        <v>14.86</v>
      </c>
      <c r="F2" s="104">
        <v>22.57</v>
      </c>
      <c r="G2" s="104">
        <v>11.86</v>
      </c>
      <c r="I2" s="104">
        <v>11</v>
      </c>
      <c r="J2" s="104">
        <v>11.14</v>
      </c>
      <c r="K2" s="105">
        <v>11.43</v>
      </c>
      <c r="L2" s="105">
        <v>13</v>
      </c>
      <c r="M2" s="105">
        <v>5</v>
      </c>
    </row>
    <row r="3" spans="2:15" s="388" customFormat="1" ht="12">
      <c r="B3" s="389"/>
      <c r="C3" s="390"/>
      <c r="D3" s="391"/>
      <c r="E3" s="391"/>
      <c r="F3" s="391"/>
      <c r="G3" s="391"/>
      <c r="I3" s="391"/>
      <c r="J3" s="391"/>
      <c r="K3" s="390"/>
      <c r="L3" s="390"/>
      <c r="M3" s="369" t="str">
        <f>"Pagina "&amp;O3&amp;""</f>
        <v>Pagina 14</v>
      </c>
      <c r="O3" s="46">
        <f>+GHZ!O63+1</f>
        <v>14</v>
      </c>
    </row>
    <row r="4" spans="2:13" s="388" customFormat="1" ht="12">
      <c r="B4" s="130" t="s">
        <v>207</v>
      </c>
      <c r="C4" s="94" t="s">
        <v>252</v>
      </c>
      <c r="D4" s="391"/>
      <c r="E4" s="391"/>
      <c r="F4" s="391"/>
      <c r="G4" s="391"/>
      <c r="I4" s="391"/>
      <c r="J4" s="391"/>
      <c r="K4" s="390"/>
      <c r="L4" s="390"/>
      <c r="M4" s="369"/>
    </row>
    <row r="5" spans="2:13" s="388" customFormat="1" ht="12">
      <c r="B5" s="389"/>
      <c r="C5" s="390"/>
      <c r="D5" s="391"/>
      <c r="E5" s="391"/>
      <c r="F5" s="391"/>
      <c r="G5" s="391"/>
      <c r="I5" s="391"/>
      <c r="J5" s="391"/>
      <c r="K5" s="390"/>
      <c r="L5" s="390"/>
      <c r="M5" s="369"/>
    </row>
    <row r="6" spans="2:12" ht="12.75" customHeight="1">
      <c r="B6" s="301" t="s">
        <v>114</v>
      </c>
      <c r="C6" s="102" t="s">
        <v>196</v>
      </c>
      <c r="D6" s="437"/>
      <c r="E6" s="437"/>
      <c r="F6" s="437"/>
      <c r="G6" s="437"/>
      <c r="H6" s="437"/>
      <c r="J6" s="238"/>
      <c r="K6" s="238"/>
      <c r="L6" s="238"/>
    </row>
    <row r="7" spans="2:13" ht="12.75" customHeight="1">
      <c r="B7" s="47"/>
      <c r="C7" s="362"/>
      <c r="D7" s="362"/>
      <c r="E7" s="362"/>
      <c r="F7" s="362"/>
      <c r="G7" s="362"/>
      <c r="H7" s="362"/>
      <c r="I7" s="274" t="b">
        <f>'Rentecalc.'!J4</f>
        <v>1</v>
      </c>
      <c r="J7" s="238"/>
      <c r="K7" s="238"/>
      <c r="L7" s="238"/>
      <c r="M7" s="238"/>
    </row>
    <row r="8" spans="2:17" ht="12.75" customHeight="1">
      <c r="B8" s="101"/>
      <c r="C8" s="95"/>
      <c r="D8" s="47"/>
      <c r="E8" s="47"/>
      <c r="F8" s="96"/>
      <c r="G8" s="96"/>
      <c r="H8" s="96"/>
      <c r="I8" s="625" t="s">
        <v>263</v>
      </c>
      <c r="J8" s="625" t="s">
        <v>264</v>
      </c>
      <c r="K8" s="625" t="s">
        <v>261</v>
      </c>
      <c r="L8" s="625" t="s">
        <v>76</v>
      </c>
      <c r="M8" s="625" t="s">
        <v>265</v>
      </c>
      <c r="P8" s="106"/>
      <c r="Q8" s="106"/>
    </row>
    <row r="9" spans="2:17" ht="12.75" customHeight="1">
      <c r="B9" s="101"/>
      <c r="C9" s="95"/>
      <c r="D9" s="47"/>
      <c r="E9" s="47"/>
      <c r="F9" s="96"/>
      <c r="G9" s="96"/>
      <c r="H9" s="96"/>
      <c r="I9" s="650"/>
      <c r="J9" s="650"/>
      <c r="K9" s="650"/>
      <c r="L9" s="650"/>
      <c r="M9" s="650"/>
      <c r="P9" s="106"/>
      <c r="Q9" s="106"/>
    </row>
    <row r="10" spans="2:17" ht="12.75" customHeight="1">
      <c r="B10" s="101"/>
      <c r="C10" s="95"/>
      <c r="D10" s="47"/>
      <c r="E10" s="47"/>
      <c r="F10" s="96"/>
      <c r="G10" s="96"/>
      <c r="H10" s="96"/>
      <c r="I10" s="650"/>
      <c r="J10" s="650"/>
      <c r="K10" s="650"/>
      <c r="L10" s="650"/>
      <c r="M10" s="650"/>
      <c r="P10" s="106"/>
      <c r="Q10" s="106"/>
    </row>
    <row r="11" spans="9:17" ht="11.25">
      <c r="I11" s="626"/>
      <c r="J11" s="626"/>
      <c r="K11" s="626"/>
      <c r="L11" s="626"/>
      <c r="M11" s="626"/>
      <c r="P11" s="106"/>
      <c r="Q11" s="106"/>
    </row>
    <row r="12" spans="2:17" ht="12.75" customHeight="1">
      <c r="B12" s="268">
        <f>1400+1</f>
        <v>1401</v>
      </c>
      <c r="C12" s="242">
        <v>2001</v>
      </c>
      <c r="D12" s="243"/>
      <c r="E12" s="243"/>
      <c r="F12" s="243"/>
      <c r="G12" s="243"/>
      <c r="H12" s="74"/>
      <c r="I12" s="520"/>
      <c r="J12" s="97">
        <f>28.92/2.20371</f>
        <v>13.123323849326818</v>
      </c>
      <c r="K12" s="521">
        <f aca="true" t="shared" si="0" ref="K12:K20">+I12*J12</f>
        <v>0</v>
      </c>
      <c r="L12" s="244">
        <v>0.05</v>
      </c>
      <c r="M12" s="521">
        <f>IF(I12=0,"",K12*L12)</f>
      </c>
      <c r="P12" s="106"/>
      <c r="Q12" s="106"/>
    </row>
    <row r="13" spans="2:17" ht="12.75" customHeight="1">
      <c r="B13" s="268">
        <f aca="true" t="shared" si="1" ref="B13:B20">B12+1</f>
        <v>1402</v>
      </c>
      <c r="C13" s="242">
        <v>2002</v>
      </c>
      <c r="D13" s="243"/>
      <c r="E13" s="243"/>
      <c r="F13" s="243"/>
      <c r="G13" s="243"/>
      <c r="H13" s="74"/>
      <c r="I13" s="520"/>
      <c r="J13" s="97">
        <v>13.53</v>
      </c>
      <c r="K13" s="521">
        <f t="shared" si="0"/>
        <v>0</v>
      </c>
      <c r="L13" s="244">
        <v>0.15</v>
      </c>
      <c r="M13" s="521">
        <f aca="true" t="shared" si="2" ref="M13:M21">IF(I13=0,"",K13*L13)</f>
      </c>
      <c r="P13" s="106"/>
      <c r="Q13" s="106"/>
    </row>
    <row r="14" spans="2:13" ht="12.75" customHeight="1">
      <c r="B14" s="268">
        <f t="shared" si="1"/>
        <v>1403</v>
      </c>
      <c r="C14" s="242">
        <v>2003</v>
      </c>
      <c r="D14" s="243"/>
      <c r="E14" s="243"/>
      <c r="F14" s="243"/>
      <c r="G14" s="243"/>
      <c r="H14" s="74"/>
      <c r="I14" s="520"/>
      <c r="J14" s="97">
        <v>13.91</v>
      </c>
      <c r="K14" s="521">
        <f t="shared" si="0"/>
        <v>0</v>
      </c>
      <c r="L14" s="244">
        <v>0.25</v>
      </c>
      <c r="M14" s="521">
        <f t="shared" si="2"/>
      </c>
    </row>
    <row r="15" spans="2:13" ht="12.75" customHeight="1">
      <c r="B15" s="268">
        <f t="shared" si="1"/>
        <v>1404</v>
      </c>
      <c r="C15" s="242">
        <v>2004</v>
      </c>
      <c r="D15" s="243"/>
      <c r="E15" s="243"/>
      <c r="F15" s="243"/>
      <c r="G15" s="243"/>
      <c r="H15" s="74"/>
      <c r="I15" s="520"/>
      <c r="J15" s="97">
        <v>14.02</v>
      </c>
      <c r="K15" s="521">
        <f t="shared" si="0"/>
        <v>0</v>
      </c>
      <c r="L15" s="244">
        <v>0.35</v>
      </c>
      <c r="M15" s="521">
        <f t="shared" si="2"/>
      </c>
    </row>
    <row r="16" spans="2:13" ht="12.75" customHeight="1">
      <c r="B16" s="268">
        <f t="shared" si="1"/>
        <v>1405</v>
      </c>
      <c r="C16" s="242">
        <v>2005</v>
      </c>
      <c r="D16" s="243"/>
      <c r="E16" s="243"/>
      <c r="F16" s="243"/>
      <c r="G16" s="243"/>
      <c r="H16" s="74"/>
      <c r="I16" s="520"/>
      <c r="J16" s="97">
        <v>14.22</v>
      </c>
      <c r="K16" s="521">
        <f t="shared" si="0"/>
        <v>0</v>
      </c>
      <c r="L16" s="244">
        <v>0.45</v>
      </c>
      <c r="M16" s="521">
        <f t="shared" si="2"/>
      </c>
    </row>
    <row r="17" spans="2:13" ht="12.75" customHeight="1">
      <c r="B17" s="268">
        <f t="shared" si="1"/>
        <v>1406</v>
      </c>
      <c r="C17" s="242">
        <v>2006</v>
      </c>
      <c r="D17" s="243"/>
      <c r="E17" s="243"/>
      <c r="F17" s="243"/>
      <c r="G17" s="243"/>
      <c r="H17" s="74"/>
      <c r="I17" s="520"/>
      <c r="J17" s="97">
        <v>14.57</v>
      </c>
      <c r="K17" s="521">
        <f t="shared" si="0"/>
        <v>0</v>
      </c>
      <c r="L17" s="244">
        <v>0.55</v>
      </c>
      <c r="M17" s="521">
        <f t="shared" si="2"/>
      </c>
    </row>
    <row r="18" spans="2:13" ht="12.75" customHeight="1">
      <c r="B18" s="268">
        <f t="shared" si="1"/>
        <v>1407</v>
      </c>
      <c r="C18" s="242">
        <v>2007</v>
      </c>
      <c r="D18" s="243"/>
      <c r="E18" s="243"/>
      <c r="F18" s="243"/>
      <c r="G18" s="243"/>
      <c r="H18" s="74"/>
      <c r="I18" s="520"/>
      <c r="J18" s="97">
        <v>14.79</v>
      </c>
      <c r="K18" s="521">
        <f t="shared" si="0"/>
        <v>0</v>
      </c>
      <c r="L18" s="244">
        <v>0.65</v>
      </c>
      <c r="M18" s="521">
        <f t="shared" si="2"/>
      </c>
    </row>
    <row r="19" spans="2:13" ht="12.75" customHeight="1">
      <c r="B19" s="269">
        <f>B18+1</f>
        <v>1408</v>
      </c>
      <c r="C19" s="245">
        <v>2008</v>
      </c>
      <c r="D19" s="246"/>
      <c r="E19" s="246"/>
      <c r="F19" s="246"/>
      <c r="G19" s="246"/>
      <c r="H19" s="247"/>
      <c r="I19" s="520"/>
      <c r="J19" s="114">
        <v>15.19</v>
      </c>
      <c r="K19" s="522">
        <f t="shared" si="0"/>
        <v>0</v>
      </c>
      <c r="L19" s="244">
        <v>0.75</v>
      </c>
      <c r="M19" s="521">
        <f t="shared" si="2"/>
      </c>
    </row>
    <row r="20" spans="2:13" ht="12.75" customHeight="1">
      <c r="B20" s="268">
        <f t="shared" si="1"/>
        <v>1409</v>
      </c>
      <c r="C20" s="245">
        <v>2009</v>
      </c>
      <c r="D20" s="246"/>
      <c r="E20" s="246"/>
      <c r="F20" s="246"/>
      <c r="G20" s="246"/>
      <c r="H20" s="247"/>
      <c r="I20" s="520"/>
      <c r="J20" s="114">
        <v>15.32</v>
      </c>
      <c r="K20" s="522">
        <f t="shared" si="0"/>
        <v>0</v>
      </c>
      <c r="L20" s="244">
        <v>0.85</v>
      </c>
      <c r="M20" s="521">
        <f t="shared" si="2"/>
      </c>
    </row>
    <row r="21" spans="2:13" ht="12.75" customHeight="1">
      <c r="B21" s="268">
        <f>B20+1</f>
        <v>1410</v>
      </c>
      <c r="C21" s="245">
        <v>2010</v>
      </c>
      <c r="D21" s="246"/>
      <c r="E21" s="246"/>
      <c r="F21" s="246"/>
      <c r="G21" s="246"/>
      <c r="H21" s="247"/>
      <c r="I21" s="520"/>
      <c r="J21" s="114">
        <v>15.27</v>
      </c>
      <c r="K21" s="522">
        <f>+I21*J21</f>
        <v>0</v>
      </c>
      <c r="L21" s="244">
        <v>0.95</v>
      </c>
      <c r="M21" s="523">
        <f t="shared" si="2"/>
      </c>
    </row>
    <row r="22" spans="2:13" ht="12.75" customHeight="1">
      <c r="B22" s="268">
        <f>B21+1</f>
        <v>1411</v>
      </c>
      <c r="C22" s="259" t="str">
        <f>"Totaal (regels "&amp;B12&amp;" t/m "&amp;B20&amp;")"</f>
        <v>Totaal (regels 1401 t/m 1409)</v>
      </c>
      <c r="D22" s="260"/>
      <c r="E22" s="261"/>
      <c r="F22" s="260"/>
      <c r="G22" s="262"/>
      <c r="H22" s="190"/>
      <c r="I22" s="261"/>
      <c r="J22" s="261"/>
      <c r="K22" s="261"/>
      <c r="L22" s="261"/>
      <c r="M22" s="524">
        <f>SUM(M12:M21)</f>
        <v>0</v>
      </c>
    </row>
    <row r="23" spans="2:13" ht="12.75" customHeight="1">
      <c r="B23" s="101"/>
      <c r="C23" s="95"/>
      <c r="D23" s="248"/>
      <c r="E23" s="249"/>
      <c r="F23" s="248"/>
      <c r="G23" s="250"/>
      <c r="H23" s="47"/>
      <c r="I23" s="249"/>
      <c r="J23" s="249"/>
      <c r="K23" s="249"/>
      <c r="L23" s="249"/>
      <c r="M23" s="458"/>
    </row>
    <row r="24" spans="2:13" ht="12.75" customHeight="1">
      <c r="B24" s="301" t="s">
        <v>118</v>
      </c>
      <c r="C24" s="459" t="s">
        <v>197</v>
      </c>
      <c r="D24" s="460"/>
      <c r="E24" s="460"/>
      <c r="F24" s="460"/>
      <c r="G24" s="460"/>
      <c r="H24" s="460"/>
      <c r="I24" s="249"/>
      <c r="J24" s="249"/>
      <c r="K24" s="249"/>
      <c r="L24" s="249"/>
      <c r="M24" s="458"/>
    </row>
    <row r="25" spans="2:13" ht="12.75" customHeight="1">
      <c r="B25" s="101"/>
      <c r="C25" s="95"/>
      <c r="D25" s="248"/>
      <c r="E25" s="249"/>
      <c r="F25" s="248"/>
      <c r="G25" s="250"/>
      <c r="H25" s="47"/>
      <c r="I25" s="249"/>
      <c r="J25" s="249"/>
      <c r="K25" s="249"/>
      <c r="L25" s="249"/>
      <c r="M25" s="108"/>
    </row>
    <row r="26" spans="2:13" ht="12.75" customHeight="1">
      <c r="B26" s="101"/>
      <c r="C26" s="95"/>
      <c r="D26" s="248"/>
      <c r="E26" s="249"/>
      <c r="F26" s="248"/>
      <c r="G26" s="250"/>
      <c r="H26" s="47"/>
      <c r="I26" s="625" t="s">
        <v>263</v>
      </c>
      <c r="J26" s="625" t="s">
        <v>264</v>
      </c>
      <c r="K26" s="625" t="s">
        <v>261</v>
      </c>
      <c r="L26" s="625" t="s">
        <v>76</v>
      </c>
      <c r="M26" s="625" t="s">
        <v>265</v>
      </c>
    </row>
    <row r="27" spans="2:13" ht="12.75" customHeight="1">
      <c r="B27" s="101"/>
      <c r="C27" s="95"/>
      <c r="D27" s="248"/>
      <c r="E27" s="249"/>
      <c r="F27" s="248"/>
      <c r="G27" s="250"/>
      <c r="H27" s="47"/>
      <c r="I27" s="650"/>
      <c r="J27" s="650"/>
      <c r="K27" s="650"/>
      <c r="L27" s="650"/>
      <c r="M27" s="650"/>
    </row>
    <row r="28" spans="2:13" ht="12.75" customHeight="1">
      <c r="B28" s="101"/>
      <c r="C28" s="95"/>
      <c r="D28" s="248"/>
      <c r="E28" s="249"/>
      <c r="F28" s="248"/>
      <c r="G28" s="250"/>
      <c r="H28" s="47"/>
      <c r="I28" s="650"/>
      <c r="J28" s="650"/>
      <c r="K28" s="650"/>
      <c r="L28" s="650"/>
      <c r="M28" s="650"/>
    </row>
    <row r="29" spans="9:15" ht="11.25" customHeight="1">
      <c r="I29" s="626"/>
      <c r="J29" s="626"/>
      <c r="K29" s="626"/>
      <c r="L29" s="626"/>
      <c r="M29" s="626"/>
      <c r="N29" s="29"/>
      <c r="O29" s="29"/>
    </row>
    <row r="30" spans="2:13" ht="12.75" customHeight="1">
      <c r="B30" s="268">
        <f>B22+1</f>
        <v>1412</v>
      </c>
      <c r="C30" s="242" t="s">
        <v>146</v>
      </c>
      <c r="D30" s="243"/>
      <c r="E30" s="243"/>
      <c r="F30" s="243"/>
      <c r="G30" s="243"/>
      <c r="H30" s="74"/>
      <c r="I30" s="520"/>
      <c r="J30" s="97">
        <f aca="true" t="shared" si="3" ref="J30:J36">J12*6</f>
        <v>78.73994309596091</v>
      </c>
      <c r="K30" s="521">
        <f aca="true" t="shared" si="4" ref="K30:K38">I30*J30</f>
        <v>0</v>
      </c>
      <c r="L30" s="251"/>
      <c r="M30" s="252"/>
    </row>
    <row r="31" spans="2:17" ht="12.75" customHeight="1">
      <c r="B31" s="268">
        <f aca="true" t="shared" si="5" ref="B31:B40">B30+1</f>
        <v>1413</v>
      </c>
      <c r="C31" s="242" t="s">
        <v>147</v>
      </c>
      <c r="D31" s="243"/>
      <c r="E31" s="243"/>
      <c r="F31" s="243"/>
      <c r="G31" s="243"/>
      <c r="H31" s="74"/>
      <c r="I31" s="520"/>
      <c r="J31" s="97">
        <f t="shared" si="3"/>
        <v>81.17999999999999</v>
      </c>
      <c r="K31" s="521">
        <f t="shared" si="4"/>
        <v>0</v>
      </c>
      <c r="L31" s="253"/>
      <c r="M31" s="254"/>
      <c r="P31" s="106"/>
      <c r="Q31" s="106"/>
    </row>
    <row r="32" spans="2:17" ht="12.75" customHeight="1">
      <c r="B32" s="268">
        <f t="shared" si="5"/>
        <v>1414</v>
      </c>
      <c r="C32" s="242" t="s">
        <v>148</v>
      </c>
      <c r="D32" s="243"/>
      <c r="E32" s="243"/>
      <c r="F32" s="243"/>
      <c r="G32" s="243"/>
      <c r="H32" s="74"/>
      <c r="I32" s="520"/>
      <c r="J32" s="97">
        <f t="shared" si="3"/>
        <v>83.46000000000001</v>
      </c>
      <c r="K32" s="521">
        <f t="shared" si="4"/>
        <v>0</v>
      </c>
      <c r="L32" s="253"/>
      <c r="M32" s="254"/>
      <c r="P32" s="106"/>
      <c r="Q32" s="106"/>
    </row>
    <row r="33" spans="2:17" ht="12.75" customHeight="1">
      <c r="B33" s="268">
        <f t="shared" si="5"/>
        <v>1415</v>
      </c>
      <c r="C33" s="242" t="s">
        <v>149</v>
      </c>
      <c r="D33" s="243"/>
      <c r="E33" s="243"/>
      <c r="F33" s="243"/>
      <c r="G33" s="243"/>
      <c r="H33" s="74"/>
      <c r="I33" s="520"/>
      <c r="J33" s="97">
        <f t="shared" si="3"/>
        <v>84.12</v>
      </c>
      <c r="K33" s="521">
        <f t="shared" si="4"/>
        <v>0</v>
      </c>
      <c r="L33" s="253"/>
      <c r="M33" s="254"/>
      <c r="P33" s="106"/>
      <c r="Q33" s="106"/>
    </row>
    <row r="34" spans="2:17" ht="12.75" customHeight="1">
      <c r="B34" s="268">
        <f t="shared" si="5"/>
        <v>1416</v>
      </c>
      <c r="C34" s="242" t="s">
        <v>150</v>
      </c>
      <c r="D34" s="243"/>
      <c r="E34" s="243"/>
      <c r="F34" s="243"/>
      <c r="G34" s="243"/>
      <c r="H34" s="74"/>
      <c r="I34" s="520"/>
      <c r="J34" s="97">
        <f t="shared" si="3"/>
        <v>85.32000000000001</v>
      </c>
      <c r="K34" s="521">
        <f t="shared" si="4"/>
        <v>0</v>
      </c>
      <c r="L34" s="253"/>
      <c r="M34" s="254"/>
      <c r="P34" s="106"/>
      <c r="Q34" s="106"/>
    </row>
    <row r="35" spans="2:17" ht="12.75" customHeight="1">
      <c r="B35" s="268">
        <f t="shared" si="5"/>
        <v>1417</v>
      </c>
      <c r="C35" s="242" t="s">
        <v>151</v>
      </c>
      <c r="D35" s="243"/>
      <c r="E35" s="243"/>
      <c r="F35" s="243"/>
      <c r="G35" s="243"/>
      <c r="H35" s="74"/>
      <c r="I35" s="520"/>
      <c r="J35" s="97">
        <f t="shared" si="3"/>
        <v>87.42</v>
      </c>
      <c r="K35" s="523">
        <f t="shared" si="4"/>
        <v>0</v>
      </c>
      <c r="L35" s="253"/>
      <c r="M35" s="254"/>
      <c r="P35" s="106"/>
      <c r="Q35" s="106"/>
    </row>
    <row r="36" spans="2:17" ht="12.75" customHeight="1">
      <c r="B36" s="268">
        <f t="shared" si="5"/>
        <v>1418</v>
      </c>
      <c r="C36" s="242" t="s">
        <v>152</v>
      </c>
      <c r="D36" s="243"/>
      <c r="E36" s="243"/>
      <c r="F36" s="243"/>
      <c r="G36" s="243"/>
      <c r="H36" s="74"/>
      <c r="I36" s="520"/>
      <c r="J36" s="97">
        <f t="shared" si="3"/>
        <v>88.74</v>
      </c>
      <c r="K36" s="523">
        <f t="shared" si="4"/>
        <v>0</v>
      </c>
      <c r="L36" s="253"/>
      <c r="M36" s="254"/>
      <c r="P36" s="106"/>
      <c r="Q36" s="106"/>
    </row>
    <row r="37" spans="2:17" ht="12.75" customHeight="1">
      <c r="B37" s="268">
        <f>B36+1</f>
        <v>1419</v>
      </c>
      <c r="C37" s="242" t="s">
        <v>153</v>
      </c>
      <c r="D37" s="243"/>
      <c r="E37" s="243"/>
      <c r="F37" s="243"/>
      <c r="G37" s="243"/>
      <c r="H37" s="74"/>
      <c r="I37" s="520"/>
      <c r="J37" s="255">
        <f>J19*6</f>
        <v>91.14</v>
      </c>
      <c r="K37" s="521">
        <f t="shared" si="4"/>
        <v>0</v>
      </c>
      <c r="L37" s="256"/>
      <c r="M37" s="264"/>
      <c r="P37" s="106"/>
      <c r="Q37" s="106"/>
    </row>
    <row r="38" spans="2:17" ht="12.75" customHeight="1">
      <c r="B38" s="268">
        <f t="shared" si="5"/>
        <v>1420</v>
      </c>
      <c r="C38" s="242" t="s">
        <v>154</v>
      </c>
      <c r="D38" s="243"/>
      <c r="E38" s="243"/>
      <c r="F38" s="243"/>
      <c r="G38" s="243"/>
      <c r="H38" s="74"/>
      <c r="I38" s="520"/>
      <c r="J38" s="255">
        <f>J20*6</f>
        <v>91.92</v>
      </c>
      <c r="K38" s="521">
        <f t="shared" si="4"/>
        <v>0</v>
      </c>
      <c r="L38" s="256"/>
      <c r="M38" s="264"/>
      <c r="P38" s="106"/>
      <c r="Q38" s="106"/>
    </row>
    <row r="39" spans="2:17" ht="12.75" customHeight="1">
      <c r="B39" s="268">
        <f>B38+1</f>
        <v>1421</v>
      </c>
      <c r="C39" s="242" t="s">
        <v>191</v>
      </c>
      <c r="D39" s="243"/>
      <c r="E39" s="243"/>
      <c r="F39" s="243"/>
      <c r="G39" s="243"/>
      <c r="H39" s="74"/>
      <c r="I39" s="520"/>
      <c r="J39" s="255">
        <f>J21*6</f>
        <v>91.62</v>
      </c>
      <c r="K39" s="521">
        <f>I39*J39</f>
        <v>0</v>
      </c>
      <c r="L39" s="256"/>
      <c r="M39" s="264"/>
      <c r="P39" s="106"/>
      <c r="Q39" s="106"/>
    </row>
    <row r="40" spans="2:17" ht="12.75" customHeight="1">
      <c r="B40" s="268">
        <f t="shared" si="5"/>
        <v>1422</v>
      </c>
      <c r="C40" s="259" t="str">
        <f>"Totaal (regels "&amp;B30&amp;" t/m "&amp;B39&amp;")"</f>
        <v>Totaal (regels 1412 t/m 1421)</v>
      </c>
      <c r="D40" s="260"/>
      <c r="E40" s="261"/>
      <c r="F40" s="260"/>
      <c r="G40" s="262"/>
      <c r="H40" s="190"/>
      <c r="I40" s="190"/>
      <c r="J40" s="261"/>
      <c r="K40" s="525">
        <f>SUM(K30:K39)</f>
        <v>0</v>
      </c>
      <c r="L40" s="355">
        <v>0.5</v>
      </c>
      <c r="M40" s="524">
        <f>IF(K40*L40=0,0,K40*L40)</f>
        <v>0</v>
      </c>
      <c r="P40" s="106"/>
      <c r="Q40" s="106"/>
    </row>
    <row r="41" spans="2:17" ht="12.75" customHeight="1">
      <c r="B41" s="659"/>
      <c r="C41" s="660"/>
      <c r="D41" s="660"/>
      <c r="E41" s="660"/>
      <c r="F41" s="660"/>
      <c r="G41" s="660"/>
      <c r="H41" s="660"/>
      <c r="I41" s="660"/>
      <c r="J41" s="660"/>
      <c r="K41" s="660"/>
      <c r="L41" s="660"/>
      <c r="M41" s="93"/>
      <c r="P41" s="106"/>
      <c r="Q41" s="106"/>
    </row>
    <row r="42" spans="2:17" ht="12.75" customHeight="1">
      <c r="B42" s="661"/>
      <c r="C42" s="661"/>
      <c r="D42" s="661"/>
      <c r="E42" s="661"/>
      <c r="F42" s="661"/>
      <c r="G42" s="661"/>
      <c r="H42" s="661"/>
      <c r="I42" s="661"/>
      <c r="J42" s="661"/>
      <c r="K42" s="661"/>
      <c r="L42" s="661"/>
      <c r="P42" s="106"/>
      <c r="Q42" s="106"/>
    </row>
    <row r="43" spans="2:17" ht="12.75" customHeight="1">
      <c r="B43" s="241"/>
      <c r="C43" s="241"/>
      <c r="D43" s="241"/>
      <c r="E43" s="241"/>
      <c r="F43" s="241"/>
      <c r="G43" s="241"/>
      <c r="H43" s="241"/>
      <c r="I43" s="241"/>
      <c r="J43" s="241"/>
      <c r="K43" s="241"/>
      <c r="L43" s="241"/>
      <c r="M43" s="241"/>
      <c r="N43" s="96"/>
      <c r="O43" s="108"/>
      <c r="P43" s="106"/>
      <c r="Q43" s="106"/>
    </row>
    <row r="44" spans="2:17" ht="12.75" customHeight="1">
      <c r="B44" s="101"/>
      <c r="C44" s="95"/>
      <c r="D44" s="47"/>
      <c r="E44" s="47"/>
      <c r="F44" s="96"/>
      <c r="G44" s="96"/>
      <c r="H44" s="96"/>
      <c r="I44" s="96"/>
      <c r="J44" s="96"/>
      <c r="K44" s="96"/>
      <c r="L44" s="96"/>
      <c r="M44" s="369" t="str">
        <f>"Pagina "&amp;O44&amp;""</f>
        <v>Pagina 15</v>
      </c>
      <c r="N44" s="96"/>
      <c r="O44" s="356">
        <f>+O3+1</f>
        <v>15</v>
      </c>
      <c r="P44" s="106"/>
      <c r="Q44" s="106"/>
    </row>
    <row r="45" spans="2:17" ht="12.75" customHeight="1">
      <c r="B45" s="94" t="s">
        <v>145</v>
      </c>
      <c r="C45" s="94" t="s">
        <v>266</v>
      </c>
      <c r="D45" s="117"/>
      <c r="E45" s="101"/>
      <c r="F45" s="101"/>
      <c r="G45" s="117"/>
      <c r="H45" s="117"/>
      <c r="I45" s="96"/>
      <c r="J45" s="96"/>
      <c r="K45" s="96"/>
      <c r="L45" s="96"/>
      <c r="M45" s="369"/>
      <c r="N45" s="96"/>
      <c r="O45" s="356"/>
      <c r="P45" s="106"/>
      <c r="Q45" s="106"/>
    </row>
    <row r="46" spans="2:9" ht="12.75" customHeight="1">
      <c r="B46" s="112"/>
      <c r="C46" s="112"/>
      <c r="D46" s="117"/>
      <c r="E46" s="101"/>
      <c r="F46" s="101"/>
      <c r="G46" s="117"/>
      <c r="I46" s="115"/>
    </row>
    <row r="47" spans="2:13" ht="12.75" customHeight="1">
      <c r="B47" s="98"/>
      <c r="C47" s="99"/>
      <c r="D47" s="100"/>
      <c r="E47" s="100"/>
      <c r="F47" s="100"/>
      <c r="G47" s="100"/>
      <c r="H47" s="116"/>
      <c r="I47" s="625" t="s">
        <v>267</v>
      </c>
      <c r="J47" s="625" t="s">
        <v>268</v>
      </c>
      <c r="K47" s="662" t="s">
        <v>269</v>
      </c>
      <c r="L47" s="625" t="s">
        <v>76</v>
      </c>
      <c r="M47" s="625" t="s">
        <v>270</v>
      </c>
    </row>
    <row r="48" spans="2:13" ht="12.75" customHeight="1">
      <c r="B48" s="98"/>
      <c r="C48" s="99"/>
      <c r="D48" s="100"/>
      <c r="E48" s="100"/>
      <c r="F48" s="100"/>
      <c r="G48" s="100"/>
      <c r="H48" s="116"/>
      <c r="I48" s="650"/>
      <c r="J48" s="650"/>
      <c r="K48" s="650"/>
      <c r="L48" s="650"/>
      <c r="M48" s="650"/>
    </row>
    <row r="49" spans="8:13" ht="12.75" customHeight="1">
      <c r="H49" s="117"/>
      <c r="I49" s="650"/>
      <c r="J49" s="650"/>
      <c r="K49" s="650"/>
      <c r="L49" s="650"/>
      <c r="M49" s="650"/>
    </row>
    <row r="50" spans="9:17" ht="12.75" customHeight="1">
      <c r="I50" s="650"/>
      <c r="J50" s="650"/>
      <c r="K50" s="650"/>
      <c r="L50" s="650"/>
      <c r="M50" s="650"/>
      <c r="P50" s="106"/>
      <c r="Q50" s="106"/>
    </row>
    <row r="51" spans="9:17" ht="11.25" customHeight="1">
      <c r="I51" s="626"/>
      <c r="J51" s="626"/>
      <c r="K51" s="626"/>
      <c r="L51" s="626"/>
      <c r="M51" s="626"/>
      <c r="P51" s="106"/>
      <c r="Q51" s="106"/>
    </row>
    <row r="52" spans="2:17" ht="12.75" customHeight="1">
      <c r="B52" s="172">
        <v>1501</v>
      </c>
      <c r="C52" s="118" t="s">
        <v>193</v>
      </c>
      <c r="D52" s="103"/>
      <c r="E52" s="74"/>
      <c r="F52" s="74"/>
      <c r="G52" s="74"/>
      <c r="H52" s="74"/>
      <c r="I52" s="520"/>
      <c r="J52" s="114">
        <f>ROUND((ROUND((8312.83)/2.20371,2)+3938+4060+4207+4267+4372+4438+4557+4597+4583)/10,2)</f>
        <v>4279.12</v>
      </c>
      <c r="K52" s="523">
        <f>IF(OR(I52*J52=0,I52="",J52=""),0,ROUND(I52*J52,0))</f>
        <v>0</v>
      </c>
      <c r="L52" s="119">
        <v>0.5</v>
      </c>
      <c r="M52" s="521">
        <f>IF(OR(K52*L52=0,K52="",L52=""),"",ROUND(K52*L52,0))</f>
      </c>
      <c r="P52" s="106"/>
      <c r="Q52" s="106"/>
    </row>
    <row r="53" spans="2:17" ht="12.75" customHeight="1">
      <c r="B53" s="172">
        <f>B52+1</f>
        <v>1502</v>
      </c>
      <c r="C53" s="118" t="s">
        <v>121</v>
      </c>
      <c r="D53" s="103"/>
      <c r="E53" s="103"/>
      <c r="F53" s="31"/>
      <c r="G53" s="31"/>
      <c r="H53" s="31"/>
      <c r="I53" s="31"/>
      <c r="J53" s="31"/>
      <c r="K53" s="520"/>
      <c r="L53" s="119">
        <v>0.05</v>
      </c>
      <c r="M53" s="521">
        <f>IF(OR(K53*L53=0,K53="",L53=""),"",ROUND(K53*L53,0))</f>
      </c>
      <c r="P53" s="106"/>
      <c r="Q53" s="106"/>
    </row>
    <row r="54" spans="2:17" ht="12.75" customHeight="1">
      <c r="B54" s="109"/>
      <c r="C54" s="110"/>
      <c r="D54" s="111"/>
      <c r="E54" s="111"/>
      <c r="F54" s="111"/>
      <c r="G54" s="111"/>
      <c r="H54" s="111"/>
      <c r="I54" s="111"/>
      <c r="J54" s="111"/>
      <c r="K54" s="120"/>
      <c r="L54" s="29"/>
      <c r="M54" s="29"/>
      <c r="P54" s="106"/>
      <c r="Q54" s="106"/>
    </row>
    <row r="55" spans="2:17" ht="12.75" customHeight="1">
      <c r="B55" s="301" t="s">
        <v>240</v>
      </c>
      <c r="C55" s="459" t="s">
        <v>242</v>
      </c>
      <c r="D55" s="111"/>
      <c r="E55" s="111"/>
      <c r="F55" s="111"/>
      <c r="G55" s="111"/>
      <c r="H55" s="111"/>
      <c r="I55" s="111"/>
      <c r="J55" s="111"/>
      <c r="K55" s="120"/>
      <c r="L55" s="29"/>
      <c r="M55" s="29"/>
      <c r="P55" s="106"/>
      <c r="Q55" s="106"/>
    </row>
    <row r="56" spans="4:17" ht="12.75">
      <c r="D56" s="461"/>
      <c r="E56" s="461"/>
      <c r="F56" s="461"/>
      <c r="G56" s="461"/>
      <c r="H56" s="461"/>
      <c r="I56" s="113"/>
      <c r="J56" s="113"/>
      <c r="K56" s="113"/>
      <c r="L56" s="29"/>
      <c r="M56" s="29"/>
      <c r="P56" s="106"/>
      <c r="Q56" s="106"/>
    </row>
    <row r="57" spans="2:17" ht="12.75" customHeight="1">
      <c r="B57" s="172">
        <f>B53+1</f>
        <v>1503</v>
      </c>
      <c r="C57" s="118" t="s">
        <v>192</v>
      </c>
      <c r="D57" s="103"/>
      <c r="E57" s="74"/>
      <c r="F57" s="74"/>
      <c r="G57" s="74"/>
      <c r="H57" s="74"/>
      <c r="I57" s="121">
        <f>I52</f>
        <v>0</v>
      </c>
      <c r="J57" s="114">
        <f>ROUND((339+344+353+356+355)/5,2)</f>
        <v>349.4</v>
      </c>
      <c r="K57" s="523">
        <f>IF(OR(I57*J57=0,I57="",J57=""),0,ROUND(I57*J57,0))</f>
        <v>0</v>
      </c>
      <c r="L57" s="119">
        <v>0.5</v>
      </c>
      <c r="M57" s="523">
        <f>IF(OR(K57*L57=0,K57="",L57=""),"",ROUND(K57*L57,0))</f>
      </c>
      <c r="P57" s="106"/>
      <c r="Q57" s="106"/>
    </row>
    <row r="58" spans="2:13" ht="12.75" customHeight="1">
      <c r="B58" s="172">
        <f>B57+1</f>
        <v>1504</v>
      </c>
      <c r="C58" s="240" t="str">
        <f>"Totaal (regels "&amp;B52&amp;" t/m "&amp;B57&amp;")"</f>
        <v>Totaal (regels 1501 t/m 1503)</v>
      </c>
      <c r="D58" s="172"/>
      <c r="E58" s="172"/>
      <c r="F58" s="239"/>
      <c r="G58" s="286"/>
      <c r="H58" s="286"/>
      <c r="I58" s="286"/>
      <c r="J58" s="286"/>
      <c r="K58" s="286"/>
      <c r="L58" s="289"/>
      <c r="M58" s="524">
        <f>SUM(M52:M57)</f>
        <v>0</v>
      </c>
    </row>
    <row r="59" spans="2:13" ht="12.75" customHeight="1">
      <c r="B59" s="29"/>
      <c r="C59" s="29"/>
      <c r="D59" s="29"/>
      <c r="E59" s="29"/>
      <c r="F59" s="29"/>
      <c r="G59" s="29"/>
      <c r="H59" s="29"/>
      <c r="I59" s="29"/>
      <c r="J59" s="29"/>
      <c r="K59" s="29"/>
      <c r="L59" s="29"/>
      <c r="M59" s="29"/>
    </row>
    <row r="60" spans="2:17" ht="12.75" customHeight="1">
      <c r="B60" s="172">
        <f>B58+1</f>
        <v>1505</v>
      </c>
      <c r="C60" s="240" t="s">
        <v>126</v>
      </c>
      <c r="D60" s="172"/>
      <c r="E60" s="172"/>
      <c r="F60" s="172"/>
      <c r="G60" s="172"/>
      <c r="H60" s="172"/>
      <c r="I60" s="172"/>
      <c r="J60" s="172"/>
      <c r="K60" s="239"/>
      <c r="L60" s="289"/>
      <c r="M60" s="524">
        <f>M22+M40+M58</f>
        <v>0</v>
      </c>
      <c r="P60" s="106"/>
      <c r="Q60" s="106"/>
    </row>
    <row r="61" spans="2:17" ht="12.75" customHeight="1">
      <c r="B61" s="29"/>
      <c r="C61" s="29"/>
      <c r="D61" s="29"/>
      <c r="E61" s="135"/>
      <c r="F61" s="29"/>
      <c r="G61" s="29"/>
      <c r="H61" s="29"/>
      <c r="I61" s="29"/>
      <c r="J61" s="29"/>
      <c r="K61" s="29"/>
      <c r="L61" s="29"/>
      <c r="M61" s="29"/>
      <c r="P61" s="106"/>
      <c r="Q61" s="106"/>
    </row>
    <row r="62" spans="2:17" ht="12.75" customHeight="1">
      <c r="B62" s="94" t="s">
        <v>241</v>
      </c>
      <c r="C62" s="379" t="s">
        <v>271</v>
      </c>
      <c r="D62" s="29"/>
      <c r="E62" s="135"/>
      <c r="F62" s="29"/>
      <c r="G62" s="29"/>
      <c r="H62" s="29"/>
      <c r="I62" s="29"/>
      <c r="J62" s="29"/>
      <c r="K62" s="29"/>
      <c r="L62" s="29"/>
      <c r="M62" s="29"/>
      <c r="P62" s="106"/>
      <c r="Q62" s="106"/>
    </row>
    <row r="63" spans="3:15" ht="12.75" customHeight="1">
      <c r="C63" s="29"/>
      <c r="D63" s="29"/>
      <c r="E63" s="29"/>
      <c r="F63" s="29"/>
      <c r="G63" s="29"/>
      <c r="I63" s="29"/>
      <c r="K63" s="29"/>
      <c r="L63" s="29"/>
      <c r="M63" s="29"/>
      <c r="N63" s="29"/>
      <c r="O63" s="29"/>
    </row>
    <row r="64" spans="4:15" ht="12.75" customHeight="1">
      <c r="D64" s="29"/>
      <c r="E64" s="29"/>
      <c r="F64" s="29"/>
      <c r="G64" s="29"/>
      <c r="I64" s="625" t="s">
        <v>272</v>
      </c>
      <c r="J64" s="625" t="s">
        <v>273</v>
      </c>
      <c r="K64" s="625" t="s">
        <v>274</v>
      </c>
      <c r="L64" s="625" t="s">
        <v>76</v>
      </c>
      <c r="M64" s="625" t="s">
        <v>270</v>
      </c>
      <c r="N64" s="29"/>
      <c r="O64" s="29"/>
    </row>
    <row r="65" spans="4:15" ht="12.75" customHeight="1">
      <c r="D65" s="29"/>
      <c r="E65" s="29"/>
      <c r="F65" s="29"/>
      <c r="G65" s="29"/>
      <c r="I65" s="650"/>
      <c r="J65" s="650"/>
      <c r="K65" s="650"/>
      <c r="L65" s="650"/>
      <c r="M65" s="650"/>
      <c r="N65" s="29"/>
      <c r="O65" s="29"/>
    </row>
    <row r="66" spans="4:15" ht="12.75" customHeight="1">
      <c r="D66" s="100"/>
      <c r="E66" s="100"/>
      <c r="F66" s="100"/>
      <c r="G66" s="100"/>
      <c r="I66" s="650"/>
      <c r="J66" s="650"/>
      <c r="K66" s="650"/>
      <c r="L66" s="650"/>
      <c r="M66" s="650"/>
      <c r="N66" s="29"/>
      <c r="O66" s="29"/>
    </row>
    <row r="67" spans="2:15" ht="12.75" customHeight="1">
      <c r="B67" s="29"/>
      <c r="C67" s="94"/>
      <c r="I67" s="626"/>
      <c r="J67" s="626"/>
      <c r="K67" s="626"/>
      <c r="L67" s="626"/>
      <c r="M67" s="626"/>
      <c r="N67" s="100"/>
      <c r="O67" s="100"/>
    </row>
    <row r="68" spans="2:13" ht="12.75" customHeight="1">
      <c r="B68" s="172">
        <f>B60+1</f>
        <v>1506</v>
      </c>
      <c r="C68" s="122" t="s">
        <v>194</v>
      </c>
      <c r="D68" s="103"/>
      <c r="E68" s="74"/>
      <c r="F68" s="74"/>
      <c r="G68" s="74"/>
      <c r="H68" s="74"/>
      <c r="I68" s="520"/>
      <c r="J68" s="167">
        <f>ROUND((ROUND((1565)/2.20371,2)+754.5+781.23+741.07+747.96+768.9+788.05+851.02+872.89+887.64),2)</f>
        <v>7903.43</v>
      </c>
      <c r="K68" s="521">
        <f>IF(OR(I68*J68=0,I68="",J68=""),0,ROUND(I68*J68,0))</f>
        <v>0</v>
      </c>
      <c r="L68" s="123">
        <v>0.45</v>
      </c>
      <c r="M68" s="521">
        <f>IF(OR(K68*L68=0,K68="",L68=""),"",ROUND(K68*L68,0))</f>
      </c>
    </row>
    <row r="69" spans="2:17" ht="12.75" customHeight="1">
      <c r="B69" s="172">
        <f>B68+1</f>
        <v>1507</v>
      </c>
      <c r="C69" s="122" t="s">
        <v>195</v>
      </c>
      <c r="D69" s="103"/>
      <c r="E69" s="74"/>
      <c r="F69" s="74"/>
      <c r="G69" s="74"/>
      <c r="H69" s="74"/>
      <c r="I69" s="520"/>
      <c r="J69" s="167">
        <f>ROUND((ROUND((783)/2.20371,2)+377.4+390.77+370.68+374.13+384.61+394.18+425.67+436.61+443.99),2)</f>
        <v>3953.35</v>
      </c>
      <c r="K69" s="521">
        <f>IF(OR(I69*J69=0,I69="",J69=""),0,ROUND(I69*J69,0))</f>
        <v>0</v>
      </c>
      <c r="L69" s="123">
        <v>0.45</v>
      </c>
      <c r="M69" s="521">
        <f>IF(OR(K69*L69=0,K69="",L69=""),"",ROUND(K69*L69,0))</f>
      </c>
      <c r="P69" s="106"/>
      <c r="Q69" s="106"/>
    </row>
    <row r="70" spans="2:17" ht="12.75" customHeight="1">
      <c r="B70" s="172">
        <f>B69+1</f>
        <v>1508</v>
      </c>
      <c r="C70" s="122" t="s">
        <v>123</v>
      </c>
      <c r="D70" s="103"/>
      <c r="E70" s="124"/>
      <c r="F70" s="74"/>
      <c r="G70" s="74"/>
      <c r="H70" s="74"/>
      <c r="I70" s="74"/>
      <c r="J70" s="74"/>
      <c r="K70" s="520"/>
      <c r="L70" s="123">
        <v>0.05</v>
      </c>
      <c r="M70" s="521">
        <f>IF(OR(K70*L70=0,K70="",L70=""),"",ROUND(K70*L70,0))</f>
      </c>
      <c r="P70" s="106"/>
      <c r="Q70" s="106"/>
    </row>
    <row r="71" spans="2:17" ht="12.75" customHeight="1">
      <c r="B71" s="172">
        <f>B70+1</f>
        <v>1509</v>
      </c>
      <c r="C71" s="122" t="s">
        <v>124</v>
      </c>
      <c r="D71" s="103"/>
      <c r="E71" s="124"/>
      <c r="F71" s="74"/>
      <c r="G71" s="74"/>
      <c r="H71" s="74"/>
      <c r="I71" s="520"/>
      <c r="J71" s="167">
        <f>(2866+2937+3171.67+3253.18+3308.16)</f>
        <v>15536.01</v>
      </c>
      <c r="K71" s="521">
        <f>IF(OR(I71*J71=0,I71="",J71=""),0,ROUND(I71*J71,0))</f>
        <v>0</v>
      </c>
      <c r="L71" s="302">
        <v>0.8</v>
      </c>
      <c r="M71" s="523">
        <f>IF(OR(K71*L71=0,K71="",L71=""),"",ROUND(K71*L71,0))</f>
      </c>
      <c r="P71" s="106"/>
      <c r="Q71" s="106"/>
    </row>
    <row r="72" spans="2:17" ht="12.75" customHeight="1">
      <c r="B72" s="172">
        <f>B71+1</f>
        <v>1510</v>
      </c>
      <c r="C72" s="240" t="str">
        <f>"Totaal (regels "&amp;B68&amp;" t/m "&amp;B71&amp;")"</f>
        <v>Totaal (regels 1506 t/m 1509)</v>
      </c>
      <c r="D72" s="172"/>
      <c r="E72" s="172"/>
      <c r="F72" s="239"/>
      <c r="G72" s="286"/>
      <c r="H72" s="286"/>
      <c r="I72" s="286"/>
      <c r="J72" s="286"/>
      <c r="K72" s="286"/>
      <c r="L72" s="289"/>
      <c r="M72" s="524">
        <f>SUM(M68:M71)</f>
        <v>0</v>
      </c>
      <c r="P72" s="106"/>
      <c r="Q72" s="106"/>
    </row>
    <row r="73" spans="2:17" ht="12.75" customHeight="1">
      <c r="B73" s="241"/>
      <c r="C73" s="29"/>
      <c r="D73" s="29"/>
      <c r="E73" s="29"/>
      <c r="F73" s="29"/>
      <c r="G73" s="29"/>
      <c r="H73" s="29"/>
      <c r="I73" s="29"/>
      <c r="J73" s="29"/>
      <c r="K73" s="29"/>
      <c r="L73" s="29"/>
      <c r="M73" s="29"/>
      <c r="P73" s="106"/>
      <c r="Q73" s="106"/>
    </row>
    <row r="74" spans="3:17" ht="12.75" customHeight="1" hidden="1">
      <c r="C74" s="125"/>
      <c r="D74" s="125"/>
      <c r="H74" s="125"/>
      <c r="I74" s="125"/>
      <c r="J74" s="126"/>
      <c r="K74" s="127"/>
      <c r="L74" s="128"/>
      <c r="M74" s="129"/>
      <c r="P74" s="106"/>
      <c r="Q74" s="106"/>
    </row>
    <row r="75" spans="3:17" ht="12.75" customHeight="1" hidden="1">
      <c r="C75" s="125"/>
      <c r="D75" s="125"/>
      <c r="H75" s="125"/>
      <c r="I75" s="125"/>
      <c r="J75" s="126"/>
      <c r="K75" s="127"/>
      <c r="L75" s="128"/>
      <c r="M75" s="129"/>
      <c r="P75" s="106"/>
      <c r="Q75" s="106"/>
    </row>
    <row r="76" spans="3:13" ht="12.75" customHeight="1" hidden="1">
      <c r="C76" s="102"/>
      <c r="H76" s="130"/>
      <c r="I76" s="130"/>
      <c r="J76" s="130"/>
      <c r="K76" s="130"/>
      <c r="L76" s="130"/>
      <c r="M76" s="130"/>
    </row>
    <row r="77" spans="3:19" ht="12.75" customHeight="1" hidden="1">
      <c r="C77" s="125"/>
      <c r="D77" s="125"/>
      <c r="H77" s="125"/>
      <c r="I77" s="125"/>
      <c r="J77" s="126"/>
      <c r="K77" s="127"/>
      <c r="L77" s="128"/>
      <c r="M77" s="129"/>
      <c r="P77" s="106"/>
      <c r="Q77" s="106"/>
      <c r="S77" s="131"/>
    </row>
    <row r="78" spans="3:19" ht="12.75" customHeight="1" hidden="1">
      <c r="C78" s="125"/>
      <c r="D78" s="125"/>
      <c r="H78" s="125"/>
      <c r="I78" s="125"/>
      <c r="J78" s="126"/>
      <c r="K78" s="127"/>
      <c r="L78" s="128"/>
      <c r="M78" s="129"/>
      <c r="P78" s="106"/>
      <c r="Q78" s="106"/>
      <c r="S78" s="131"/>
    </row>
    <row r="79" spans="3:19" ht="12.75" customHeight="1" hidden="1">
      <c r="C79" s="125"/>
      <c r="D79" s="125"/>
      <c r="H79" s="125"/>
      <c r="I79" s="125"/>
      <c r="J79" s="126"/>
      <c r="K79" s="127"/>
      <c r="L79" s="128"/>
      <c r="M79" s="129"/>
      <c r="P79" s="106"/>
      <c r="Q79" s="106"/>
      <c r="S79" s="131"/>
    </row>
    <row r="80" spans="3:19" ht="12.75" customHeight="1" hidden="1">
      <c r="C80" s="125"/>
      <c r="D80" s="125"/>
      <c r="H80" s="125"/>
      <c r="I80" s="125"/>
      <c r="J80" s="126"/>
      <c r="K80" s="127"/>
      <c r="L80" s="128"/>
      <c r="M80" s="129"/>
      <c r="P80" s="106"/>
      <c r="Q80" s="106"/>
      <c r="S80" s="131"/>
    </row>
    <row r="81" spans="3:19" ht="12.75" customHeight="1" hidden="1">
      <c r="C81" s="125"/>
      <c r="D81" s="125"/>
      <c r="H81" s="125"/>
      <c r="I81" s="125"/>
      <c r="J81" s="126"/>
      <c r="K81" s="127"/>
      <c r="L81" s="128"/>
      <c r="M81" s="129"/>
      <c r="P81" s="106"/>
      <c r="Q81" s="106"/>
      <c r="S81" s="131"/>
    </row>
    <row r="82" spans="3:19" ht="12.75" customHeight="1" hidden="1">
      <c r="C82" s="125"/>
      <c r="D82" s="125"/>
      <c r="H82" s="125"/>
      <c r="I82" s="125"/>
      <c r="J82" s="126"/>
      <c r="K82" s="127"/>
      <c r="L82" s="128"/>
      <c r="M82" s="129"/>
      <c r="P82" s="106"/>
      <c r="Q82" s="106"/>
      <c r="S82" s="131"/>
    </row>
    <row r="83" spans="3:19" ht="12.75" customHeight="1" hidden="1">
      <c r="C83" s="125"/>
      <c r="D83" s="125"/>
      <c r="H83" s="125"/>
      <c r="I83" s="125"/>
      <c r="J83" s="126"/>
      <c r="K83" s="127"/>
      <c r="L83" s="128"/>
      <c r="M83" s="129"/>
      <c r="P83" s="106"/>
      <c r="Q83" s="106"/>
      <c r="S83" s="131"/>
    </row>
    <row r="84" spans="3:19" ht="12.75" customHeight="1" hidden="1">
      <c r="C84" s="125"/>
      <c r="D84" s="125"/>
      <c r="H84" s="125"/>
      <c r="I84" s="125"/>
      <c r="J84" s="126"/>
      <c r="K84" s="127"/>
      <c r="L84" s="128"/>
      <c r="M84" s="129"/>
      <c r="P84" s="106"/>
      <c r="Q84" s="106"/>
      <c r="S84" s="131"/>
    </row>
    <row r="85" spans="3:19" ht="12.75" customHeight="1" hidden="1">
      <c r="C85" s="125"/>
      <c r="D85" s="125"/>
      <c r="H85" s="125"/>
      <c r="I85" s="125"/>
      <c r="J85" s="126"/>
      <c r="K85" s="127"/>
      <c r="L85" s="128"/>
      <c r="M85" s="129"/>
      <c r="P85" s="106"/>
      <c r="Q85" s="106"/>
      <c r="S85" s="131"/>
    </row>
    <row r="86" spans="3:13" ht="12.75" customHeight="1" hidden="1">
      <c r="C86" s="130"/>
      <c r="D86" s="102"/>
      <c r="M86" s="132"/>
    </row>
    <row r="87" ht="12.75" customHeight="1" hidden="1">
      <c r="C87" s="125"/>
    </row>
    <row r="88" ht="12.75" customHeight="1" hidden="1">
      <c r="C88" s="102"/>
    </row>
    <row r="89" spans="3:17" ht="12.75" customHeight="1" hidden="1">
      <c r="C89" s="125"/>
      <c r="D89" s="125"/>
      <c r="H89" s="125"/>
      <c r="I89" s="125"/>
      <c r="J89" s="126"/>
      <c r="K89" s="127"/>
      <c r="L89" s="128"/>
      <c r="M89" s="129"/>
      <c r="P89" s="106"/>
      <c r="Q89" s="106"/>
    </row>
    <row r="90" spans="3:17" ht="12.75" customHeight="1" hidden="1">
      <c r="C90" s="125"/>
      <c r="D90" s="125"/>
      <c r="H90" s="125"/>
      <c r="I90" s="125"/>
      <c r="J90" s="126"/>
      <c r="K90" s="127"/>
      <c r="L90" s="128"/>
      <c r="M90" s="129"/>
      <c r="P90" s="106"/>
      <c r="Q90" s="106"/>
    </row>
    <row r="91" spans="3:17" ht="12.75" customHeight="1" hidden="1">
      <c r="C91" s="125"/>
      <c r="D91" s="125"/>
      <c r="H91" s="125"/>
      <c r="I91" s="125"/>
      <c r="J91" s="126"/>
      <c r="K91" s="127"/>
      <c r="L91" s="128"/>
      <c r="M91" s="129"/>
      <c r="P91" s="106"/>
      <c r="Q91" s="106"/>
    </row>
    <row r="92" spans="3:19" ht="12.75" customHeight="1" hidden="1">
      <c r="C92" s="125"/>
      <c r="D92" s="125"/>
      <c r="H92" s="125"/>
      <c r="I92" s="125"/>
      <c r="J92" s="126"/>
      <c r="K92" s="127"/>
      <c r="L92" s="128"/>
      <c r="M92" s="129"/>
      <c r="P92" s="106"/>
      <c r="Q92" s="106"/>
      <c r="S92" s="131"/>
    </row>
    <row r="93" spans="3:13" ht="12.75" customHeight="1" hidden="1">
      <c r="C93" s="130"/>
      <c r="D93" s="102"/>
      <c r="M93" s="132"/>
    </row>
    <row r="94" ht="12.75" customHeight="1" hidden="1">
      <c r="C94" s="125"/>
    </row>
    <row r="95" spans="3:20" ht="12.75" customHeight="1" hidden="1">
      <c r="C95" s="102"/>
      <c r="S95" s="133"/>
      <c r="T95" s="133"/>
    </row>
    <row r="96" spans="3:20" ht="12.75" customHeight="1" hidden="1">
      <c r="C96" s="125"/>
      <c r="D96" s="125"/>
      <c r="H96" s="125"/>
      <c r="I96" s="125"/>
      <c r="J96" s="126"/>
      <c r="K96" s="127"/>
      <c r="L96" s="128"/>
      <c r="M96" s="129"/>
      <c r="P96" s="106"/>
      <c r="Q96" s="106"/>
      <c r="S96" s="134"/>
      <c r="T96" s="131"/>
    </row>
    <row r="97" spans="3:20" ht="12.75" customHeight="1" hidden="1">
      <c r="C97" s="125"/>
      <c r="D97" s="125"/>
      <c r="H97" s="125"/>
      <c r="I97" s="125"/>
      <c r="J97" s="126"/>
      <c r="K97" s="127"/>
      <c r="L97" s="128"/>
      <c r="M97" s="129"/>
      <c r="P97" s="106"/>
      <c r="Q97" s="106"/>
      <c r="S97" s="134"/>
      <c r="T97" s="131"/>
    </row>
    <row r="98" spans="3:20" ht="12.75" customHeight="1" hidden="1">
      <c r="C98" s="125"/>
      <c r="D98" s="125"/>
      <c r="H98" s="125"/>
      <c r="I98" s="125"/>
      <c r="J98" s="126"/>
      <c r="K98" s="127"/>
      <c r="L98" s="128"/>
      <c r="M98" s="129"/>
      <c r="P98" s="106"/>
      <c r="Q98" s="106"/>
      <c r="S98" s="134"/>
      <c r="T98" s="131"/>
    </row>
    <row r="99" spans="3:20" ht="12.75" customHeight="1" hidden="1">
      <c r="C99" s="125"/>
      <c r="D99" s="125"/>
      <c r="H99" s="125"/>
      <c r="I99" s="125"/>
      <c r="J99" s="126"/>
      <c r="K99" s="127"/>
      <c r="L99" s="128"/>
      <c r="M99" s="129"/>
      <c r="P99" s="106"/>
      <c r="Q99" s="106"/>
      <c r="S99" s="134"/>
      <c r="T99" s="131"/>
    </row>
    <row r="100" spans="3:20" ht="12.75" customHeight="1" hidden="1">
      <c r="C100" s="125"/>
      <c r="D100" s="125"/>
      <c r="H100" s="125"/>
      <c r="I100" s="125"/>
      <c r="J100" s="126"/>
      <c r="K100" s="127"/>
      <c r="L100" s="128"/>
      <c r="M100" s="129"/>
      <c r="P100" s="106"/>
      <c r="Q100" s="106"/>
      <c r="S100" s="134"/>
      <c r="T100" s="131"/>
    </row>
    <row r="101" spans="3:20" ht="12.75" customHeight="1" hidden="1">
      <c r="C101" s="125"/>
      <c r="D101" s="125"/>
      <c r="H101" s="125"/>
      <c r="I101" s="125"/>
      <c r="J101" s="126"/>
      <c r="K101" s="127"/>
      <c r="L101" s="128"/>
      <c r="M101" s="129"/>
      <c r="P101" s="106"/>
      <c r="Q101" s="106"/>
      <c r="S101" s="134"/>
      <c r="T101" s="131"/>
    </row>
    <row r="102" spans="3:20" ht="12.75" customHeight="1" hidden="1">
      <c r="C102" s="125"/>
      <c r="D102" s="125"/>
      <c r="H102" s="125"/>
      <c r="I102" s="125"/>
      <c r="J102" s="126"/>
      <c r="K102" s="127"/>
      <c r="L102" s="128"/>
      <c r="M102" s="129"/>
      <c r="P102" s="106"/>
      <c r="Q102" s="106"/>
      <c r="S102" s="134"/>
      <c r="T102" s="131"/>
    </row>
    <row r="103" spans="3:20" ht="12.75" customHeight="1" hidden="1">
      <c r="C103" s="125"/>
      <c r="D103" s="125"/>
      <c r="H103" s="125"/>
      <c r="I103" s="125"/>
      <c r="J103" s="126"/>
      <c r="K103" s="127"/>
      <c r="L103" s="128"/>
      <c r="M103" s="129"/>
      <c r="P103" s="106"/>
      <c r="Q103" s="106"/>
      <c r="S103" s="134"/>
      <c r="T103" s="131"/>
    </row>
    <row r="104" spans="3:13" ht="12.75" customHeight="1" hidden="1">
      <c r="C104" s="130"/>
      <c r="D104" s="102"/>
      <c r="M104" s="132"/>
    </row>
    <row r="105" ht="12.75" customHeight="1" hidden="1">
      <c r="C105" s="125"/>
    </row>
    <row r="106" ht="12.75" customHeight="1" hidden="1">
      <c r="C106" s="102"/>
    </row>
    <row r="107" spans="3:17" ht="12.75" customHeight="1" hidden="1">
      <c r="C107" s="125"/>
      <c r="D107" s="125"/>
      <c r="H107" s="125"/>
      <c r="I107" s="125"/>
      <c r="J107" s="126"/>
      <c r="K107" s="127"/>
      <c r="L107" s="128"/>
      <c r="M107" s="132"/>
      <c r="P107" s="106"/>
      <c r="Q107" s="106"/>
    </row>
    <row r="108" ht="12.75" customHeight="1" hidden="1">
      <c r="C108" s="125"/>
    </row>
    <row r="109" spans="3:13" ht="12.75" customHeight="1" hidden="1">
      <c r="C109" s="130"/>
      <c r="D109" s="47"/>
      <c r="M109" s="132"/>
    </row>
    <row r="110" ht="12.75" customHeight="1" hidden="1"/>
    <row r="111" ht="12.75" customHeight="1" hidden="1"/>
    <row r="112" ht="12.75" customHeight="1" hidden="1"/>
    <row r="113" ht="12.75" customHeight="1" hidden="1"/>
    <row r="114" ht="12.75" customHeight="1" hidden="1"/>
  </sheetData>
  <sheetProtection password="C7EC" sheet="1" objects="1" scenarios="1"/>
  <mergeCells count="21">
    <mergeCell ref="B41:L42"/>
    <mergeCell ref="I47:I51"/>
    <mergeCell ref="J47:J51"/>
    <mergeCell ref="K47:K51"/>
    <mergeCell ref="L47:L51"/>
    <mergeCell ref="M8:M11"/>
    <mergeCell ref="I26:I29"/>
    <mergeCell ref="J26:J29"/>
    <mergeCell ref="K26:K29"/>
    <mergeCell ref="L26:L29"/>
    <mergeCell ref="M26:M29"/>
    <mergeCell ref="I8:I11"/>
    <mergeCell ref="J8:J11"/>
    <mergeCell ref="K8:K11"/>
    <mergeCell ref="L8:L11"/>
    <mergeCell ref="M47:M51"/>
    <mergeCell ref="I64:I67"/>
    <mergeCell ref="J64:J67"/>
    <mergeCell ref="K64:K67"/>
    <mergeCell ref="L64:L67"/>
    <mergeCell ref="M64:M67"/>
  </mergeCells>
  <conditionalFormatting sqref="I71 I68:I69 K70 I52 K53 I30:I39 I12:I21">
    <cfRule type="expression" priority="1" dxfId="1" stopIfTrue="1">
      <formula>$I$7=TRUE</formula>
    </cfRule>
  </conditionalFormatting>
  <dataValidations count="4">
    <dataValidation type="custom" allowBlank="1" showInputMessage="1" showErrorMessage="1" errorTitle="Onjuiste invoer" error="Hier kan alleen een geheel positief aantal worden ingevuld." sqref="I71 I30:I39 I68:I69 K53 I52 K70">
      <formula1>AND($C$1="ja",I71=ROUND(I71,0),I71&gt;=0)</formula1>
    </dataValidation>
    <dataValidation type="decimal" operator="greaterThanOrEqual" allowBlank="1" showInputMessage="1" showErrorMessage="1" errorTitle="Onjuiste invoer." error="Voor de invoer in deze cel geldt:&#10;&#10;- het getal mag niet negatief zijn.&#10;" sqref="I57:I58">
      <formula1>0</formula1>
    </dataValidation>
    <dataValidation allowBlank="1" showInputMessage="1" showErrorMessage="1" errorTitle="Onjuiste invoer" error="De invoer moet een geheel getal zijn.&#10;" sqref="P6:IV11 P43:IV45"/>
    <dataValidation type="custom" allowBlank="1" showInputMessage="1" showErrorMessage="1" errorTitle="Onjuiste invoer" error="Hier kan alleen een geheel positief aantal worden ingevuld." sqref="I12:I21">
      <formula1>AND(I12=ROUND(I12,0),I12&gt;=0)</formula1>
    </dataValidation>
  </dataValidations>
  <printOptions/>
  <pageMargins left="0.3937007874015748" right="0.3937007874015748" top="0.7874015748031497" bottom="0.3937007874015748" header="0.5118110236220472" footer="0.5118110236220472"/>
  <pageSetup firstPageNumber="5" useFirstPageNumber="1" horizontalDpi="600" verticalDpi="600" orientation="landscape" paperSize="9" scale="86" r:id="rId2"/>
  <headerFooter alignWithMargins="0">
    <oddHeader>&amp;LAWBZ-BREED CALCULATIEMODEL RENTEKOSTEN 2010
&amp;R&amp;G</oddHeader>
  </headerFooter>
  <rowBreaks count="1" manualBreakCount="1">
    <brk id="43" min="1" max="13" man="1"/>
  </rowBreaks>
  <ignoredErrors>
    <ignoredError sqref="K68:K69 K52 K71 M68:M69 M70:M71" emptyCellReference="1"/>
  </ignoredErrors>
  <legacyDrawingHF r:id="rId1"/>
</worksheet>
</file>

<file path=xl/worksheets/sheet2.xml><?xml version="1.0" encoding="utf-8"?>
<worksheet xmlns="http://schemas.openxmlformats.org/spreadsheetml/2006/main" xmlns:r="http://schemas.openxmlformats.org/officeDocument/2006/relationships">
  <dimension ref="B2:I13"/>
  <sheetViews>
    <sheetView workbookViewId="0" topLeftCell="A1">
      <selection activeCell="B10" sqref="B10"/>
    </sheetView>
  </sheetViews>
  <sheetFormatPr defaultColWidth="9.140625" defaultRowHeight="12.75" customHeight="1" zeroHeight="1"/>
  <cols>
    <col min="1" max="1" width="1.421875" style="529" customWidth="1"/>
    <col min="2" max="2" width="12.28125" style="529" customWidth="1"/>
    <col min="3" max="3" width="14.28125" style="529" customWidth="1"/>
    <col min="4" max="4" width="12.28125" style="529" customWidth="1"/>
    <col min="5" max="5" width="46.57421875" style="530" customWidth="1"/>
    <col min="6" max="6" width="65.140625" style="531" customWidth="1"/>
    <col min="7" max="7" width="2.140625" style="529" customWidth="1"/>
    <col min="8" max="10" width="12.28125" style="529" hidden="1" customWidth="1"/>
    <col min="11" max="16384" width="0" style="529" hidden="1" customWidth="1"/>
  </cols>
  <sheetData>
    <row r="1" ht="12.75"/>
    <row r="2" ht="12.75">
      <c r="B2" s="532" t="s">
        <v>289</v>
      </c>
    </row>
    <row r="3" ht="12.75">
      <c r="B3" s="530"/>
    </row>
    <row r="4" ht="12.75">
      <c r="B4" s="533" t="s">
        <v>297</v>
      </c>
    </row>
    <row r="5" ht="12.75">
      <c r="B5" s="533" t="s">
        <v>290</v>
      </c>
    </row>
    <row r="6" ht="12.75"/>
    <row r="7" spans="2:9" s="534" customFormat="1" ht="12.75">
      <c r="B7" s="542" t="s">
        <v>291</v>
      </c>
      <c r="C7" s="542" t="s">
        <v>292</v>
      </c>
      <c r="D7" s="543" t="s">
        <v>293</v>
      </c>
      <c r="E7" s="542" t="s">
        <v>294</v>
      </c>
      <c r="F7" s="543" t="s">
        <v>295</v>
      </c>
      <c r="G7" s="535"/>
      <c r="H7" s="535"/>
      <c r="I7" s="535"/>
    </row>
    <row r="8" spans="2:9" ht="18.75" customHeight="1">
      <c r="B8" s="536">
        <v>40570</v>
      </c>
      <c r="C8" s="537"/>
      <c r="D8" s="538"/>
      <c r="E8" s="539"/>
      <c r="F8" s="540" t="s">
        <v>296</v>
      </c>
      <c r="G8" s="541"/>
      <c r="H8" s="541"/>
      <c r="I8" s="541"/>
    </row>
    <row r="9" spans="2:9" ht="18.75" customHeight="1">
      <c r="B9" s="536">
        <v>40577</v>
      </c>
      <c r="C9" s="537" t="s">
        <v>300</v>
      </c>
      <c r="D9" s="538"/>
      <c r="E9" s="539" t="s">
        <v>301</v>
      </c>
      <c r="F9" s="540" t="s">
        <v>302</v>
      </c>
      <c r="G9" s="541"/>
      <c r="H9" s="541"/>
      <c r="I9" s="541"/>
    </row>
    <row r="10" spans="2:9" ht="18.75" customHeight="1">
      <c r="B10" s="536">
        <v>40577</v>
      </c>
      <c r="C10" s="537" t="s">
        <v>300</v>
      </c>
      <c r="D10" s="538"/>
      <c r="E10" s="539" t="s">
        <v>303</v>
      </c>
      <c r="F10" s="540" t="s">
        <v>304</v>
      </c>
      <c r="G10" s="541"/>
      <c r="H10" s="541"/>
      <c r="I10" s="541"/>
    </row>
    <row r="11" spans="2:9" ht="18.75" customHeight="1">
      <c r="B11" s="536"/>
      <c r="C11" s="537"/>
      <c r="D11" s="538"/>
      <c r="E11" s="539"/>
      <c r="F11" s="540"/>
      <c r="G11" s="541"/>
      <c r="H11" s="541"/>
      <c r="I11" s="541"/>
    </row>
    <row r="12" spans="2:9" ht="18.75" customHeight="1">
      <c r="B12" s="536"/>
      <c r="C12" s="537"/>
      <c r="D12" s="538"/>
      <c r="E12" s="539"/>
      <c r="F12" s="540"/>
      <c r="G12" s="541"/>
      <c r="H12" s="541"/>
      <c r="I12" s="541"/>
    </row>
    <row r="13" spans="2:6" ht="18.75" customHeight="1">
      <c r="B13" s="536"/>
      <c r="C13" s="537"/>
      <c r="D13" s="538"/>
      <c r="E13" s="539"/>
      <c r="F13" s="540"/>
    </row>
    <row r="14" ht="12.75"/>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customHeight="1" hidden="1"/>
    <row r="33" ht="12.75" customHeight="1" hidden="1"/>
  </sheetData>
  <sheetProtection password="C7EC"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Blad3"/>
  <dimension ref="A1:N101"/>
  <sheetViews>
    <sheetView showGridLines="0" zoomScaleSheetLayoutView="95" workbookViewId="0" topLeftCell="A1">
      <selection activeCell="C4" sqref="C4"/>
    </sheetView>
  </sheetViews>
  <sheetFormatPr defaultColWidth="9.140625" defaultRowHeight="12.75" zeroHeight="1"/>
  <cols>
    <col min="1" max="1" width="3.140625" style="8" customWidth="1"/>
    <col min="2" max="2" width="5.57421875" style="22" customWidth="1"/>
    <col min="3" max="3" width="60.8515625" style="9" customWidth="1"/>
    <col min="4" max="4" width="9.140625" style="238" customWidth="1"/>
    <col min="5" max="5" width="14.28125" style="9" customWidth="1"/>
    <col min="6" max="6" width="2.8515625" style="9" customWidth="1"/>
    <col min="7" max="7" width="13.7109375" style="238" customWidth="1"/>
    <col min="8" max="8" width="2.00390625" style="238" customWidth="1"/>
    <col min="9" max="9" width="6.8515625" style="9" customWidth="1"/>
    <col min="10" max="10" width="2.421875" style="9" customWidth="1"/>
    <col min="11" max="16384" width="9.140625" style="9" hidden="1" customWidth="1"/>
  </cols>
  <sheetData>
    <row r="1" spans="2:9" ht="12.75">
      <c r="B1" s="9"/>
      <c r="E1" s="10"/>
      <c r="F1" s="8"/>
      <c r="I1" s="10"/>
    </row>
    <row r="2" spans="2:10" s="3" customFormat="1" ht="12.75" customHeight="1">
      <c r="B2" s="1" t="s">
        <v>107</v>
      </c>
      <c r="I2" s="361" t="s">
        <v>201</v>
      </c>
      <c r="J2" s="12"/>
    </row>
    <row r="3" spans="1:10" s="3" customFormat="1" ht="12.75" customHeight="1">
      <c r="A3" s="1"/>
      <c r="B3" s="1"/>
      <c r="C3" s="1"/>
      <c r="E3" s="1"/>
      <c r="F3" s="1"/>
      <c r="I3" s="13"/>
      <c r="J3" s="13"/>
    </row>
    <row r="4" spans="1:10" s="14" customFormat="1" ht="12.75" customHeight="1">
      <c r="A4" s="15"/>
      <c r="B4" s="276"/>
      <c r="C4" s="432" t="s">
        <v>298</v>
      </c>
      <c r="I4" s="277">
        <v>2</v>
      </c>
      <c r="J4" s="277"/>
    </row>
    <row r="5" spans="1:9" s="3" customFormat="1" ht="12.75" customHeight="1">
      <c r="A5" s="15"/>
      <c r="B5" s="276"/>
      <c r="C5" s="15"/>
      <c r="I5" s="277"/>
    </row>
    <row r="6" spans="2:10" s="3" customFormat="1" ht="12.75" customHeight="1">
      <c r="B6" s="17" t="str">
        <f>'A-D'!B2</f>
        <v>A.</v>
      </c>
      <c r="C6" s="17" t="str">
        <f>'A-D'!C2</f>
        <v>Boekwaarde investeringen vaste activa </v>
      </c>
      <c r="I6" s="277">
        <v>5</v>
      </c>
      <c r="J6" s="278"/>
    </row>
    <row r="7" spans="2:9" s="3" customFormat="1" ht="12.75" customHeight="1">
      <c r="B7" s="17" t="str">
        <f>'A-D'!B24</f>
        <v>B.</v>
      </c>
      <c r="C7" s="279" t="str">
        <f>'A-D'!C24</f>
        <v>Onderhanden bouwprojecten </v>
      </c>
      <c r="I7" s="277">
        <v>5</v>
      </c>
    </row>
    <row r="8" spans="2:10" s="3" customFormat="1" ht="12.75" customHeight="1">
      <c r="B8" s="17" t="str">
        <f>'A-D'!B49</f>
        <v>C.</v>
      </c>
      <c r="C8" s="280" t="str">
        <f>'A-D'!C49</f>
        <v>Werkelijke boekwaarde instandhoudingsinvesteringen</v>
      </c>
      <c r="I8" s="277">
        <v>6</v>
      </c>
      <c r="J8" s="278"/>
    </row>
    <row r="9" spans="1:14" ht="12.75" customHeight="1">
      <c r="A9" s="9"/>
      <c r="B9" s="17" t="str">
        <f>'A-D'!B74</f>
        <v>D.</v>
      </c>
      <c r="C9" s="17" t="str">
        <f>'A-D'!C74</f>
        <v>Normatief werkkapitaal</v>
      </c>
      <c r="F9" s="3"/>
      <c r="I9" s="277">
        <v>6</v>
      </c>
      <c r="J9" s="277"/>
      <c r="K9" s="16"/>
      <c r="L9" s="16"/>
      <c r="M9" s="16"/>
      <c r="N9" s="16"/>
    </row>
    <row r="10" spans="1:10" s="14" customFormat="1" ht="12.75" customHeight="1">
      <c r="A10" s="3"/>
      <c r="B10" s="17" t="str">
        <f>E!B2</f>
        <v>E. </v>
      </c>
      <c r="C10" s="281" t="str">
        <f>E!C2</f>
        <v>Langlopende leningen 1)</v>
      </c>
      <c r="F10" s="17"/>
      <c r="I10" s="277">
        <v>7</v>
      </c>
      <c r="J10" s="277"/>
    </row>
    <row r="11" spans="1:10" s="14" customFormat="1" ht="12.75" customHeight="1">
      <c r="A11" s="3"/>
      <c r="B11" s="17" t="str">
        <f>'F-G'!B2</f>
        <v>F.</v>
      </c>
      <c r="C11" s="282" t="str">
        <f>'F-G'!C2</f>
        <v>Eigen vermogen</v>
      </c>
      <c r="F11" s="17"/>
      <c r="I11" s="277">
        <v>9</v>
      </c>
      <c r="J11" s="277"/>
    </row>
    <row r="12" spans="1:9" ht="12.75" customHeight="1">
      <c r="A12" s="14"/>
      <c r="B12" s="17" t="str">
        <f>'F-G'!B25</f>
        <v>G. </v>
      </c>
      <c r="C12" s="17" t="str">
        <f>'F-G'!C25</f>
        <v>Rentekosten langlopende leningen</v>
      </c>
      <c r="F12" s="15"/>
      <c r="I12" s="3">
        <v>9</v>
      </c>
    </row>
    <row r="13" spans="2:9" ht="12.75" customHeight="1">
      <c r="B13" s="22" t="str">
        <f>H!B4</f>
        <v>H. </v>
      </c>
      <c r="C13" s="9" t="str">
        <f>H!C4</f>
        <v>Toerekening aanvaardbare rentekosten naar zorgaanbieder</v>
      </c>
      <c r="I13" s="152">
        <v>10</v>
      </c>
    </row>
    <row r="14" ht="12.75" customHeight="1">
      <c r="J14" s="14"/>
    </row>
    <row r="15" spans="3:10" ht="12.75" customHeight="1">
      <c r="C15" s="136" t="s">
        <v>125</v>
      </c>
      <c r="J15" s="14"/>
    </row>
    <row r="16" spans="2:10" ht="12.75" customHeight="1">
      <c r="B16" s="22" t="str">
        <f>GGZ!B2</f>
        <v>I.1</v>
      </c>
      <c r="C16" s="610" t="str">
        <f>GGZ!C2</f>
        <v>GGZ: Normatieve boekwaarde medische en overige inventarissen </v>
      </c>
      <c r="D16" s="611"/>
      <c r="E16" s="611"/>
      <c r="F16" s="611"/>
      <c r="G16" s="611"/>
      <c r="H16" s="359"/>
      <c r="I16" s="152">
        <v>11</v>
      </c>
      <c r="J16" s="14"/>
    </row>
    <row r="17" spans="2:10" ht="12.75" customHeight="1">
      <c r="B17" s="22" t="str">
        <f>GHZ!B4</f>
        <v>I.2</v>
      </c>
      <c r="C17" s="610" t="str">
        <f>GHZ!C4</f>
        <v>GHZ: Normatieve boekwaarde medische en overige inventarissen en instandhouding</v>
      </c>
      <c r="D17" s="611"/>
      <c r="E17" s="611"/>
      <c r="F17" s="611"/>
      <c r="G17" s="611"/>
      <c r="H17" s="359"/>
      <c r="I17" s="152">
        <v>12</v>
      </c>
      <c r="J17" s="14"/>
    </row>
    <row r="18" spans="1:9" ht="12.75" customHeight="1">
      <c r="A18" s="9"/>
      <c r="B18" s="17" t="str">
        <f>'V&amp;V'!B4</f>
        <v>I.3</v>
      </c>
      <c r="C18" s="17" t="str">
        <f>CONCATENATE('V&amp;V'!C4)</f>
        <v>V&amp;V: Normatieve boekwaarde med. en overige inventarissen en instandhouding</v>
      </c>
      <c r="F18" s="18"/>
      <c r="I18" s="277">
        <v>14</v>
      </c>
    </row>
    <row r="19" ht="12.75" customHeight="1"/>
    <row r="20" spans="1:6" ht="12.75" customHeight="1" hidden="1">
      <c r="A20" s="9"/>
      <c r="F20" s="18"/>
    </row>
    <row r="21" spans="1:9" s="14" customFormat="1" ht="12.75" customHeight="1" hidden="1">
      <c r="A21" s="9"/>
      <c r="B21" s="5"/>
      <c r="C21" s="17"/>
      <c r="D21" s="238"/>
      <c r="E21" s="9"/>
      <c r="F21" s="9"/>
      <c r="G21" s="238"/>
      <c r="H21" s="238"/>
      <c r="I21" s="277"/>
    </row>
    <row r="22" spans="1:8" ht="12.75" customHeight="1" hidden="1">
      <c r="A22" s="9"/>
      <c r="D22" s="14"/>
      <c r="E22" s="14"/>
      <c r="F22" s="19"/>
      <c r="G22" s="14"/>
      <c r="H22" s="14"/>
    </row>
    <row r="23" spans="1:9" s="14" customFormat="1" ht="12.75" hidden="1">
      <c r="A23" s="15"/>
      <c r="C23" s="276"/>
      <c r="D23" s="238"/>
      <c r="E23" s="9"/>
      <c r="F23" s="9"/>
      <c r="G23" s="238"/>
      <c r="H23" s="238"/>
      <c r="I23" s="277"/>
    </row>
    <row r="24" spans="1:9" ht="11.25" hidden="1">
      <c r="A24" s="15"/>
      <c r="B24" s="17"/>
      <c r="C24" s="17"/>
      <c r="D24" s="14"/>
      <c r="E24" s="14"/>
      <c r="F24" s="19"/>
      <c r="G24" s="14"/>
      <c r="H24" s="14"/>
      <c r="I24" s="277"/>
    </row>
    <row r="25" spans="1:10" ht="12.75" hidden="1">
      <c r="A25" s="15"/>
      <c r="B25" s="17"/>
      <c r="C25" s="17"/>
      <c r="I25" s="277"/>
      <c r="J25" s="277"/>
    </row>
    <row r="26" spans="1:10" ht="12.75" hidden="1">
      <c r="A26" s="3"/>
      <c r="B26" s="17"/>
      <c r="C26" s="17"/>
      <c r="I26" s="277"/>
      <c r="J26" s="277"/>
    </row>
    <row r="27" spans="9:10" ht="12.75" hidden="1">
      <c r="I27" s="277"/>
      <c r="J27" s="277"/>
    </row>
    <row r="28" ht="12.75" hidden="1">
      <c r="J28" s="277"/>
    </row>
    <row r="29" spans="9:10" ht="12.75" hidden="1">
      <c r="I29" s="283"/>
      <c r="J29" s="277"/>
    </row>
    <row r="30" spans="9:10" ht="12.75" hidden="1">
      <c r="I30" s="283"/>
      <c r="J30" s="12"/>
    </row>
    <row r="31" spans="1:10" s="3" customFormat="1" ht="12.75" hidden="1">
      <c r="A31" s="8"/>
      <c r="B31" s="22"/>
      <c r="C31" s="9"/>
      <c r="D31" s="238"/>
      <c r="E31" s="9"/>
      <c r="F31" s="9"/>
      <c r="G31" s="238"/>
      <c r="H31" s="238"/>
      <c r="I31" s="283"/>
      <c r="J31" s="12"/>
    </row>
    <row r="32" spans="1:10" s="14" customFormat="1" ht="11.25" hidden="1">
      <c r="A32" s="3"/>
      <c r="B32" s="3"/>
      <c r="C32" s="3"/>
      <c r="D32" s="3"/>
      <c r="E32" s="5"/>
      <c r="F32" s="3"/>
      <c r="G32" s="3"/>
      <c r="H32" s="3"/>
      <c r="I32" s="284"/>
      <c r="J32" s="12"/>
    </row>
    <row r="33" spans="1:10" s="3" customFormat="1" ht="11.25" hidden="1">
      <c r="A33" s="14"/>
      <c r="B33" s="14"/>
      <c r="C33" s="14"/>
      <c r="D33" s="14"/>
      <c r="E33" s="5"/>
      <c r="F33" s="19"/>
      <c r="G33" s="14"/>
      <c r="H33" s="14"/>
      <c r="I33" s="284"/>
      <c r="J33" s="12"/>
    </row>
    <row r="34" spans="5:10" s="3" customFormat="1" ht="11.25" hidden="1">
      <c r="E34" s="5"/>
      <c r="F34" s="20"/>
      <c r="I34" s="285"/>
      <c r="J34" s="12"/>
    </row>
    <row r="35" spans="5:10" s="3" customFormat="1" ht="11.25" hidden="1">
      <c r="E35" s="5"/>
      <c r="I35" s="284"/>
      <c r="J35" s="12"/>
    </row>
    <row r="36" spans="5:9" s="3" customFormat="1" ht="11.25" hidden="1">
      <c r="E36" s="5"/>
      <c r="I36" s="284"/>
    </row>
    <row r="37" s="3" customFormat="1" ht="11.25" hidden="1"/>
    <row r="38" s="3" customFormat="1" ht="11.25" hidden="1"/>
    <row r="39" s="3" customFormat="1" ht="11.25" hidden="1"/>
    <row r="40" s="3" customFormat="1" ht="11.25" hidden="1"/>
    <row r="41" s="3" customFormat="1" ht="11.25" hidden="1"/>
    <row r="42" s="3" customFormat="1" ht="11.25" hidden="1">
      <c r="B42" s="11"/>
    </row>
    <row r="43" s="3" customFormat="1" ht="146.25" customHeight="1" hidden="1">
      <c r="B43" s="11"/>
    </row>
    <row r="44" spans="1:2" s="3" customFormat="1" ht="11.25" hidden="1">
      <c r="A44" s="1"/>
      <c r="B44" s="11"/>
    </row>
    <row r="45" spans="1:2" s="3" customFormat="1" ht="11.25" hidden="1">
      <c r="A45" s="1"/>
      <c r="B45" s="11"/>
    </row>
    <row r="46" spans="1:2" s="3" customFormat="1" ht="11.25" hidden="1">
      <c r="A46" s="1"/>
      <c r="B46" s="11"/>
    </row>
    <row r="47" spans="1:2" s="3" customFormat="1" ht="11.25" hidden="1">
      <c r="A47" s="1"/>
      <c r="B47" s="11"/>
    </row>
    <row r="48" spans="1:2" s="3" customFormat="1" ht="11.25" hidden="1">
      <c r="A48" s="1"/>
      <c r="B48" s="11"/>
    </row>
    <row r="49" spans="1:2" s="3" customFormat="1" ht="11.25" hidden="1">
      <c r="A49" s="1"/>
      <c r="B49" s="11"/>
    </row>
    <row r="50" spans="1:2" s="3" customFormat="1" ht="11.25" hidden="1">
      <c r="A50" s="1"/>
      <c r="B50" s="11"/>
    </row>
    <row r="51" spans="1:2" s="3" customFormat="1" ht="11.25" hidden="1">
      <c r="A51" s="1"/>
      <c r="B51" s="11"/>
    </row>
    <row r="52" spans="1:2" s="3" customFormat="1" ht="11.25" hidden="1">
      <c r="A52" s="1"/>
      <c r="B52" s="11"/>
    </row>
    <row r="53" spans="1:2" s="3" customFormat="1" ht="11.25" hidden="1">
      <c r="A53" s="1"/>
      <c r="B53" s="11"/>
    </row>
    <row r="54" spans="1:2" s="3" customFormat="1" ht="11.25" hidden="1">
      <c r="A54" s="1"/>
      <c r="B54" s="11"/>
    </row>
    <row r="55" spans="1:2" s="3" customFormat="1" ht="11.25" hidden="1">
      <c r="A55" s="1"/>
      <c r="B55" s="11"/>
    </row>
    <row r="56" spans="1:2" s="3" customFormat="1" ht="11.25" hidden="1">
      <c r="A56" s="1"/>
      <c r="B56" s="11"/>
    </row>
    <row r="57" spans="1:2" s="3" customFormat="1" ht="11.25" hidden="1">
      <c r="A57" s="1"/>
      <c r="B57" s="11"/>
    </row>
    <row r="58" spans="1:2" s="3" customFormat="1" ht="11.25" hidden="1">
      <c r="A58" s="1"/>
      <c r="B58" s="11"/>
    </row>
    <row r="59" spans="1:2" s="3" customFormat="1" ht="11.25" hidden="1">
      <c r="A59" s="1"/>
      <c r="B59" s="11"/>
    </row>
    <row r="60" spans="1:2" s="3" customFormat="1" ht="11.25" hidden="1">
      <c r="A60" s="1"/>
      <c r="B60" s="11"/>
    </row>
    <row r="61" spans="1:2" s="3" customFormat="1" ht="11.25" hidden="1">
      <c r="A61" s="1"/>
      <c r="B61" s="11"/>
    </row>
    <row r="62" spans="1:2" s="3" customFormat="1" ht="11.25" hidden="1">
      <c r="A62" s="1"/>
      <c r="B62" s="11"/>
    </row>
    <row r="63" spans="1:2" s="3" customFormat="1" ht="11.25" hidden="1">
      <c r="A63" s="1"/>
      <c r="B63" s="11"/>
    </row>
    <row r="64" spans="1:2" s="3" customFormat="1" ht="11.25" hidden="1">
      <c r="A64" s="1"/>
      <c r="B64" s="11"/>
    </row>
    <row r="65" spans="1:2" s="3" customFormat="1" ht="11.25" hidden="1">
      <c r="A65" s="1"/>
      <c r="B65" s="11"/>
    </row>
    <row r="66" spans="1:2" s="3" customFormat="1" ht="11.25" hidden="1">
      <c r="A66" s="1"/>
      <c r="B66" s="11"/>
    </row>
    <row r="67" spans="1:2" s="3" customFormat="1" ht="11.25" hidden="1">
      <c r="A67" s="1"/>
      <c r="B67" s="11"/>
    </row>
    <row r="68" spans="1:2" s="3" customFormat="1" ht="11.25" hidden="1">
      <c r="A68" s="1"/>
      <c r="B68" s="11"/>
    </row>
    <row r="69" spans="1:2" s="3" customFormat="1" ht="11.25" hidden="1">
      <c r="A69" s="1"/>
      <c r="B69" s="11"/>
    </row>
    <row r="70" spans="1:2" s="3" customFormat="1" ht="11.25" hidden="1">
      <c r="A70" s="1"/>
      <c r="B70" s="11"/>
    </row>
    <row r="71" spans="1:2" s="3" customFormat="1" ht="11.25" hidden="1">
      <c r="A71" s="1"/>
      <c r="B71" s="11"/>
    </row>
    <row r="72" spans="1:2" s="3" customFormat="1" ht="11.25" hidden="1">
      <c r="A72" s="1"/>
      <c r="B72" s="11"/>
    </row>
    <row r="73" spans="1:2" s="3" customFormat="1" ht="11.25" hidden="1">
      <c r="A73" s="1"/>
      <c r="B73" s="11"/>
    </row>
    <row r="74" spans="1:2" s="3" customFormat="1" ht="11.25" hidden="1">
      <c r="A74" s="1"/>
      <c r="B74" s="11"/>
    </row>
    <row r="75" spans="1:2" s="3" customFormat="1" ht="11.25" hidden="1">
      <c r="A75" s="1"/>
      <c r="B75" s="11"/>
    </row>
    <row r="76" spans="1:2" s="3" customFormat="1" ht="11.25" hidden="1">
      <c r="A76" s="1"/>
      <c r="B76" s="11"/>
    </row>
    <row r="77" spans="1:2" s="3" customFormat="1" ht="11.25" hidden="1">
      <c r="A77" s="1"/>
      <c r="B77" s="11"/>
    </row>
    <row r="78" spans="1:2" s="3" customFormat="1" ht="11.25" hidden="1">
      <c r="A78" s="1"/>
      <c r="B78" s="11"/>
    </row>
    <row r="79" spans="1:2" s="3" customFormat="1" ht="11.25" hidden="1">
      <c r="A79" s="1"/>
      <c r="B79" s="11"/>
    </row>
    <row r="80" spans="1:2" s="3" customFormat="1" ht="11.25" hidden="1">
      <c r="A80" s="1"/>
      <c r="B80" s="11"/>
    </row>
    <row r="81" spans="1:2" s="3" customFormat="1" ht="11.25" hidden="1">
      <c r="A81" s="1"/>
      <c r="B81" s="11"/>
    </row>
    <row r="82" spans="1:2" s="3" customFormat="1" ht="11.25" hidden="1">
      <c r="A82" s="1"/>
      <c r="B82" s="11"/>
    </row>
    <row r="83" spans="1:2" s="3" customFormat="1" ht="11.25" hidden="1">
      <c r="A83" s="1"/>
      <c r="B83" s="11"/>
    </row>
    <row r="84" spans="1:2" s="3" customFormat="1" ht="11.25" hidden="1">
      <c r="A84" s="1"/>
      <c r="B84" s="11"/>
    </row>
    <row r="85" spans="1:2" s="3" customFormat="1" ht="11.25" hidden="1">
      <c r="A85" s="1"/>
      <c r="B85" s="11"/>
    </row>
    <row r="86" spans="1:2" s="3" customFormat="1" ht="11.25" hidden="1">
      <c r="A86" s="1"/>
      <c r="B86" s="11"/>
    </row>
    <row r="87" spans="1:2" s="3" customFormat="1" ht="11.25" hidden="1">
      <c r="A87" s="1"/>
      <c r="B87" s="11"/>
    </row>
    <row r="88" spans="1:2" s="3" customFormat="1" ht="11.25" hidden="1">
      <c r="A88" s="1"/>
      <c r="B88" s="11"/>
    </row>
    <row r="89" spans="1:2" s="3" customFormat="1" ht="11.25" hidden="1">
      <c r="A89" s="1"/>
      <c r="B89" s="11"/>
    </row>
    <row r="90" spans="1:2" s="3" customFormat="1" ht="11.25" hidden="1">
      <c r="A90" s="1"/>
      <c r="B90" s="11"/>
    </row>
    <row r="91" spans="1:2" s="3" customFormat="1" ht="11.25" hidden="1">
      <c r="A91" s="1"/>
      <c r="B91" s="11"/>
    </row>
    <row r="92" spans="1:2" s="3" customFormat="1" ht="11.25" hidden="1">
      <c r="A92" s="1"/>
      <c r="B92" s="11"/>
    </row>
    <row r="93" spans="1:2" s="3" customFormat="1" ht="11.25" hidden="1">
      <c r="A93" s="1"/>
      <c r="B93" s="11"/>
    </row>
    <row r="94" spans="1:2" s="3" customFormat="1" ht="11.25" hidden="1">
      <c r="A94" s="1"/>
      <c r="B94" s="11"/>
    </row>
    <row r="95" spans="1:2" s="3" customFormat="1" ht="11.25" hidden="1">
      <c r="A95" s="1"/>
      <c r="B95" s="11"/>
    </row>
    <row r="96" spans="1:2" s="3" customFormat="1" ht="11.25" hidden="1">
      <c r="A96" s="1"/>
      <c r="B96" s="11"/>
    </row>
    <row r="97" spans="1:2" s="3" customFormat="1" ht="11.25" hidden="1">
      <c r="A97" s="1"/>
      <c r="B97" s="11"/>
    </row>
    <row r="98" spans="1:2" s="3" customFormat="1" ht="11.25" hidden="1">
      <c r="A98" s="1"/>
      <c r="B98" s="11"/>
    </row>
    <row r="99" spans="1:9" ht="11.25" hidden="1">
      <c r="A99" s="1"/>
      <c r="B99" s="11"/>
      <c r="C99" s="3"/>
      <c r="D99" s="3"/>
      <c r="E99" s="3"/>
      <c r="F99" s="3"/>
      <c r="G99" s="3"/>
      <c r="H99" s="3"/>
      <c r="I99" s="3"/>
    </row>
    <row r="100" ht="12.75" hidden="1">
      <c r="A100" s="1"/>
    </row>
    <row r="101" ht="24.75" customHeight="1" hidden="1">
      <c r="A101" s="1"/>
    </row>
    <row r="102" ht="12.75" hidden="1"/>
    <row r="103" ht="12.75" hidden="1"/>
    <row r="104" ht="12.75" hidden="1"/>
    <row r="105" ht="12.75" hidden="1"/>
    <row r="106" ht="12.75" hidden="1"/>
    <row r="107" ht="12.75" hidden="1"/>
    <row r="108" ht="12.75" hidden="1"/>
    <row r="109" ht="12.75" hidden="1"/>
  </sheetData>
  <sheetProtection password="C7EC" sheet="1" objects="1" scenarios="1"/>
  <mergeCells count="2">
    <mergeCell ref="C17:G17"/>
    <mergeCell ref="C16:G16"/>
  </mergeCells>
  <printOptions/>
  <pageMargins left="0.3937007874015748" right="0.3937007874015748" top="0.3937007874015748" bottom="0.3937007874015748" header="0.5118110236220472" footer="0.5118110236220472"/>
  <pageSetup firstPageNumber="1" useFirstPageNumber="1" horizontalDpi="300" verticalDpi="300" orientation="landscape" pageOrder="overThenDown" paperSize="9" scale="95" r:id="rId2"/>
  <headerFooter alignWithMargins="0">
    <oddHeader>&amp;LAWBZ-BREED CALCULATIEMODEL RENTEKOSTEN 2010
&amp;R&amp;G</oddHeader>
    <oddFooter>&amp;R&amp;P</oddFooter>
  </headerFooter>
  <legacyDrawingHF r:id="rId1"/>
</worksheet>
</file>

<file path=xl/worksheets/sheet4.xml><?xml version="1.0" encoding="utf-8"?>
<worksheet xmlns="http://schemas.openxmlformats.org/spreadsheetml/2006/main" xmlns:r="http://schemas.openxmlformats.org/officeDocument/2006/relationships">
  <dimension ref="B1:Q129"/>
  <sheetViews>
    <sheetView showGridLines="0" zoomScaleSheetLayoutView="95" workbookViewId="0" topLeftCell="A1">
      <selection activeCell="A1" sqref="A1"/>
    </sheetView>
  </sheetViews>
  <sheetFormatPr defaultColWidth="9.140625" defaultRowHeight="11.25" customHeight="1" zeroHeight="1"/>
  <cols>
    <col min="1" max="1" width="2.7109375" style="21" customWidth="1"/>
    <col min="2" max="14" width="9.140625" style="21" customWidth="1"/>
    <col min="15" max="15" width="9.421875" style="21" customWidth="1"/>
    <col min="16" max="16" width="2.57421875" style="21" customWidth="1"/>
    <col min="17" max="255" width="0" style="21" hidden="1" customWidth="1"/>
    <col min="256" max="16384" width="13.140625" style="21" hidden="1" customWidth="1"/>
  </cols>
  <sheetData>
    <row r="1" spans="15:17" ht="11.25" customHeight="1">
      <c r="O1" s="369" t="str">
        <f>"Pagina "&amp;$Q$1&amp;""</f>
        <v>Pagina 2</v>
      </c>
      <c r="Q1" s="21">
        <v>2</v>
      </c>
    </row>
    <row r="2" ht="11.25" customHeight="1">
      <c r="B2" s="191" t="s">
        <v>138</v>
      </c>
    </row>
    <row r="3" ht="11.25" customHeight="1"/>
    <row r="4" spans="2:14" ht="11.25" customHeight="1">
      <c r="B4" s="612" t="s">
        <v>275</v>
      </c>
      <c r="C4" s="612"/>
      <c r="D4" s="612"/>
      <c r="E4" s="612"/>
      <c r="F4" s="612"/>
      <c r="G4" s="612"/>
      <c r="H4" s="612"/>
      <c r="I4" s="612"/>
      <c r="J4" s="612"/>
      <c r="K4" s="612"/>
      <c r="L4" s="612"/>
      <c r="M4" s="612"/>
      <c r="N4" s="612"/>
    </row>
    <row r="5" spans="2:14" ht="11.25" customHeight="1">
      <c r="B5" s="612"/>
      <c r="C5" s="612"/>
      <c r="D5" s="612"/>
      <c r="E5" s="612"/>
      <c r="F5" s="612"/>
      <c r="G5" s="612"/>
      <c r="H5" s="612"/>
      <c r="I5" s="612"/>
      <c r="J5" s="612"/>
      <c r="K5" s="612"/>
      <c r="L5" s="612"/>
      <c r="M5" s="612"/>
      <c r="N5" s="612"/>
    </row>
    <row r="6" spans="2:14" ht="11.25" customHeight="1">
      <c r="B6" s="612"/>
      <c r="C6" s="612"/>
      <c r="D6" s="612"/>
      <c r="E6" s="612"/>
      <c r="F6" s="612"/>
      <c r="G6" s="612"/>
      <c r="H6" s="612"/>
      <c r="I6" s="612"/>
      <c r="J6" s="612"/>
      <c r="K6" s="612"/>
      <c r="L6" s="612"/>
      <c r="M6" s="612"/>
      <c r="N6" s="612"/>
    </row>
    <row r="7" spans="2:14" ht="11.25" customHeight="1">
      <c r="B7" s="612"/>
      <c r="C7" s="612"/>
      <c r="D7" s="612"/>
      <c r="E7" s="612"/>
      <c r="F7" s="612"/>
      <c r="G7" s="612"/>
      <c r="H7" s="612"/>
      <c r="I7" s="612"/>
      <c r="J7" s="612"/>
      <c r="K7" s="612"/>
      <c r="L7" s="612"/>
      <c r="M7" s="612"/>
      <c r="N7" s="612"/>
    </row>
    <row r="8" spans="2:14" ht="11.25">
      <c r="B8" s="613"/>
      <c r="C8" s="613"/>
      <c r="D8" s="613"/>
      <c r="E8" s="613"/>
      <c r="F8" s="613"/>
      <c r="G8" s="613"/>
      <c r="H8" s="613"/>
      <c r="I8" s="613"/>
      <c r="J8" s="613"/>
      <c r="K8" s="613"/>
      <c r="L8" s="613"/>
      <c r="M8" s="613"/>
      <c r="N8" s="613"/>
    </row>
    <row r="9" spans="2:14" ht="25.5" customHeight="1">
      <c r="B9" s="612" t="s">
        <v>276</v>
      </c>
      <c r="C9" s="612"/>
      <c r="D9" s="612"/>
      <c r="E9" s="612"/>
      <c r="F9" s="612"/>
      <c r="G9" s="612"/>
      <c r="H9" s="612"/>
      <c r="I9" s="612"/>
      <c r="J9" s="612"/>
      <c r="K9" s="612"/>
      <c r="L9" s="612"/>
      <c r="M9" s="612"/>
      <c r="N9" s="612"/>
    </row>
    <row r="10" spans="2:14" ht="11.25">
      <c r="B10" s="192"/>
      <c r="C10" s="192"/>
      <c r="D10" s="192"/>
      <c r="E10" s="192"/>
      <c r="F10" s="192"/>
      <c r="G10" s="192"/>
      <c r="H10" s="192"/>
      <c r="I10" s="192"/>
      <c r="J10" s="192"/>
      <c r="K10" s="192"/>
      <c r="L10" s="192"/>
      <c r="M10" s="192"/>
      <c r="N10" s="192"/>
    </row>
    <row r="11" spans="2:14" ht="11.25" customHeight="1">
      <c r="B11" s="612" t="s">
        <v>277</v>
      </c>
      <c r="C11" s="612"/>
      <c r="D11" s="612"/>
      <c r="E11" s="612"/>
      <c r="F11" s="612"/>
      <c r="G11" s="612"/>
      <c r="H11" s="612"/>
      <c r="I11" s="612"/>
      <c r="J11" s="612"/>
      <c r="K11" s="612"/>
      <c r="L11" s="612"/>
      <c r="M11" s="612"/>
      <c r="N11" s="612"/>
    </row>
    <row r="12" spans="2:14" ht="11.25" customHeight="1">
      <c r="B12" s="612"/>
      <c r="C12" s="612"/>
      <c r="D12" s="612"/>
      <c r="E12" s="612"/>
      <c r="F12" s="612"/>
      <c r="G12" s="612"/>
      <c r="H12" s="612"/>
      <c r="I12" s="612"/>
      <c r="J12" s="612"/>
      <c r="K12" s="612"/>
      <c r="L12" s="612"/>
      <c r="M12" s="612"/>
      <c r="N12" s="612"/>
    </row>
    <row r="13" spans="2:14" ht="11.25">
      <c r="B13" s="612"/>
      <c r="C13" s="612"/>
      <c r="D13" s="612"/>
      <c r="E13" s="612"/>
      <c r="F13" s="612"/>
      <c r="G13" s="612"/>
      <c r="H13" s="612"/>
      <c r="I13" s="612"/>
      <c r="J13" s="612"/>
      <c r="K13" s="612"/>
      <c r="L13" s="612"/>
      <c r="M13" s="612"/>
      <c r="N13" s="612"/>
    </row>
    <row r="14" spans="2:14" ht="11.25" customHeight="1">
      <c r="B14" s="612" t="s">
        <v>210</v>
      </c>
      <c r="C14" s="612"/>
      <c r="D14" s="612"/>
      <c r="E14" s="612"/>
      <c r="F14" s="612"/>
      <c r="G14" s="612"/>
      <c r="H14" s="612"/>
      <c r="I14" s="612"/>
      <c r="J14" s="612"/>
      <c r="K14" s="612"/>
      <c r="L14" s="612"/>
      <c r="M14" s="612"/>
      <c r="N14" s="612"/>
    </row>
    <row r="15" spans="2:14" ht="11.25" customHeight="1">
      <c r="B15" s="192"/>
      <c r="C15" s="192"/>
      <c r="D15" s="192"/>
      <c r="E15" s="192"/>
      <c r="F15" s="192"/>
      <c r="G15" s="192"/>
      <c r="H15" s="192"/>
      <c r="I15" s="192"/>
      <c r="J15" s="192"/>
      <c r="K15" s="192"/>
      <c r="L15" s="192"/>
      <c r="M15" s="192"/>
      <c r="N15" s="192"/>
    </row>
    <row r="16" spans="2:14" ht="11.25" customHeight="1">
      <c r="B16" s="612" t="s">
        <v>278</v>
      </c>
      <c r="C16" s="612"/>
      <c r="D16" s="612"/>
      <c r="E16" s="612"/>
      <c r="F16" s="612"/>
      <c r="G16" s="612"/>
      <c r="H16" s="612"/>
      <c r="I16" s="612"/>
      <c r="J16" s="612"/>
      <c r="K16" s="612"/>
      <c r="L16" s="612"/>
      <c r="M16" s="612"/>
      <c r="N16" s="612"/>
    </row>
    <row r="17" spans="2:14" ht="11.25">
      <c r="B17" s="612"/>
      <c r="C17" s="612"/>
      <c r="D17" s="612"/>
      <c r="E17" s="612"/>
      <c r="F17" s="612"/>
      <c r="G17" s="612"/>
      <c r="H17" s="612"/>
      <c r="I17" s="612"/>
      <c r="J17" s="612"/>
      <c r="K17" s="612"/>
      <c r="L17" s="612"/>
      <c r="M17" s="612"/>
      <c r="N17" s="612"/>
    </row>
    <row r="18" spans="2:14" ht="11.25">
      <c r="B18" s="192"/>
      <c r="C18" s="192"/>
      <c r="D18" s="192"/>
      <c r="E18" s="192"/>
      <c r="F18" s="192"/>
      <c r="G18" s="192"/>
      <c r="H18" s="192"/>
      <c r="I18" s="192"/>
      <c r="J18" s="192"/>
      <c r="K18" s="192"/>
      <c r="L18" s="192"/>
      <c r="M18" s="192"/>
      <c r="N18" s="192"/>
    </row>
    <row r="19" spans="2:14" ht="11.25" customHeight="1">
      <c r="B19" s="613" t="s">
        <v>279</v>
      </c>
      <c r="C19" s="613"/>
      <c r="D19" s="613"/>
      <c r="E19" s="613"/>
      <c r="F19" s="613"/>
      <c r="G19" s="613"/>
      <c r="H19" s="613"/>
      <c r="I19" s="613"/>
      <c r="J19" s="613"/>
      <c r="K19" s="613"/>
      <c r="L19" s="613"/>
      <c r="M19" s="613"/>
      <c r="N19" s="613"/>
    </row>
    <row r="20" ht="11.25" customHeight="1">
      <c r="B20" s="21" t="s">
        <v>251</v>
      </c>
    </row>
    <row r="21" ht="11.25" customHeight="1">
      <c r="B21" s="21" t="s">
        <v>250</v>
      </c>
    </row>
    <row r="22" ht="11.25" customHeight="1"/>
    <row r="23" ht="11.25" customHeight="1">
      <c r="B23" s="191" t="s">
        <v>139</v>
      </c>
    </row>
    <row r="24" ht="11.25" customHeight="1"/>
    <row r="25" ht="11.25" customHeight="1">
      <c r="B25" s="191" t="s">
        <v>249</v>
      </c>
    </row>
    <row r="26" spans="2:14" ht="11.25" customHeight="1">
      <c r="B26" s="612" t="s">
        <v>280</v>
      </c>
      <c r="C26" s="612"/>
      <c r="D26" s="612"/>
      <c r="E26" s="612"/>
      <c r="F26" s="612"/>
      <c r="G26" s="612"/>
      <c r="H26" s="612"/>
      <c r="I26" s="612"/>
      <c r="J26" s="612"/>
      <c r="K26" s="612"/>
      <c r="L26" s="612"/>
      <c r="M26" s="612"/>
      <c r="N26" s="612"/>
    </row>
    <row r="27" spans="2:14" ht="11.25" customHeight="1">
      <c r="B27" s="612"/>
      <c r="C27" s="612"/>
      <c r="D27" s="612"/>
      <c r="E27" s="612"/>
      <c r="F27" s="612"/>
      <c r="G27" s="612"/>
      <c r="H27" s="612"/>
      <c r="I27" s="612"/>
      <c r="J27" s="612"/>
      <c r="K27" s="612"/>
      <c r="L27" s="612"/>
      <c r="M27" s="612"/>
      <c r="N27" s="612"/>
    </row>
    <row r="28" spans="2:14" ht="11.25" customHeight="1">
      <c r="B28" s="612"/>
      <c r="C28" s="612"/>
      <c r="D28" s="612"/>
      <c r="E28" s="612"/>
      <c r="F28" s="612"/>
      <c r="G28" s="612"/>
      <c r="H28" s="612"/>
      <c r="I28" s="612"/>
      <c r="J28" s="612"/>
      <c r="K28" s="612"/>
      <c r="L28" s="612"/>
      <c r="M28" s="612"/>
      <c r="N28" s="612"/>
    </row>
    <row r="29" spans="2:14" ht="29.25" customHeight="1">
      <c r="B29" s="612"/>
      <c r="C29" s="612"/>
      <c r="D29" s="612"/>
      <c r="E29" s="612"/>
      <c r="F29" s="612"/>
      <c r="G29" s="612"/>
      <c r="H29" s="612"/>
      <c r="I29" s="612"/>
      <c r="J29" s="612"/>
      <c r="K29" s="612"/>
      <c r="L29" s="612"/>
      <c r="M29" s="612"/>
      <c r="N29" s="612"/>
    </row>
    <row r="30" ht="11.25" customHeight="1"/>
    <row r="31" ht="11.25" customHeight="1">
      <c r="B31" s="191" t="s">
        <v>140</v>
      </c>
    </row>
    <row r="32" spans="2:14" ht="11.25" customHeight="1">
      <c r="B32" s="612" t="s">
        <v>211</v>
      </c>
      <c r="C32" s="612"/>
      <c r="D32" s="612"/>
      <c r="E32" s="612"/>
      <c r="F32" s="612"/>
      <c r="G32" s="612"/>
      <c r="H32" s="612"/>
      <c r="I32" s="612"/>
      <c r="J32" s="612"/>
      <c r="K32" s="612"/>
      <c r="L32" s="612"/>
      <c r="M32" s="612"/>
      <c r="N32" s="612"/>
    </row>
    <row r="33" spans="2:14" ht="11.25" customHeight="1">
      <c r="B33" s="612"/>
      <c r="C33" s="612"/>
      <c r="D33" s="612"/>
      <c r="E33" s="612"/>
      <c r="F33" s="612"/>
      <c r="G33" s="612"/>
      <c r="H33" s="612"/>
      <c r="I33" s="612"/>
      <c r="J33" s="612"/>
      <c r="K33" s="612"/>
      <c r="L33" s="612"/>
      <c r="M33" s="612"/>
      <c r="N33" s="612"/>
    </row>
    <row r="34" spans="2:14" ht="29.25" customHeight="1">
      <c r="B34" s="612"/>
      <c r="C34" s="612"/>
      <c r="D34" s="612"/>
      <c r="E34" s="612"/>
      <c r="F34" s="612"/>
      <c r="G34" s="612"/>
      <c r="H34" s="612"/>
      <c r="I34" s="612"/>
      <c r="J34" s="612"/>
      <c r="K34" s="612"/>
      <c r="L34" s="612"/>
      <c r="M34" s="612"/>
      <c r="N34" s="612"/>
    </row>
    <row r="35" ht="11.25" customHeight="1"/>
    <row r="36" ht="11.25" customHeight="1">
      <c r="B36" s="191" t="s">
        <v>214</v>
      </c>
    </row>
    <row r="37" spans="2:14" ht="11.25" customHeight="1">
      <c r="B37" s="612" t="s">
        <v>281</v>
      </c>
      <c r="C37" s="612"/>
      <c r="D37" s="612"/>
      <c r="E37" s="612"/>
      <c r="F37" s="612"/>
      <c r="G37" s="612"/>
      <c r="H37" s="612"/>
      <c r="I37" s="612"/>
      <c r="J37" s="612"/>
      <c r="K37" s="612"/>
      <c r="L37" s="612"/>
      <c r="M37" s="612"/>
      <c r="N37" s="612"/>
    </row>
    <row r="38" spans="2:14" ht="11.25" customHeight="1">
      <c r="B38" s="612"/>
      <c r="C38" s="612"/>
      <c r="D38" s="612"/>
      <c r="E38" s="612"/>
      <c r="F38" s="612"/>
      <c r="G38" s="612"/>
      <c r="H38" s="612"/>
      <c r="I38" s="612"/>
      <c r="J38" s="612"/>
      <c r="K38" s="612"/>
      <c r="L38" s="612"/>
      <c r="M38" s="612"/>
      <c r="N38" s="612"/>
    </row>
    <row r="39" spans="2:14" ht="11.25" customHeight="1">
      <c r="B39" s="612"/>
      <c r="C39" s="612"/>
      <c r="D39" s="612"/>
      <c r="E39" s="612"/>
      <c r="F39" s="612"/>
      <c r="G39" s="612"/>
      <c r="H39" s="612"/>
      <c r="I39" s="612"/>
      <c r="J39" s="612"/>
      <c r="K39" s="612"/>
      <c r="L39" s="612"/>
      <c r="M39" s="612"/>
      <c r="N39" s="612"/>
    </row>
    <row r="40" spans="2:14" ht="11.25" customHeight="1">
      <c r="B40" s="612"/>
      <c r="C40" s="612"/>
      <c r="D40" s="612"/>
      <c r="E40" s="612"/>
      <c r="F40" s="612"/>
      <c r="G40" s="612"/>
      <c r="H40" s="612"/>
      <c r="I40" s="612"/>
      <c r="J40" s="612"/>
      <c r="K40" s="612"/>
      <c r="L40" s="612"/>
      <c r="M40" s="612"/>
      <c r="N40" s="612"/>
    </row>
    <row r="41" spans="2:14" ht="11.25" customHeight="1">
      <c r="B41" s="612"/>
      <c r="C41" s="612"/>
      <c r="D41" s="612"/>
      <c r="E41" s="612"/>
      <c r="F41" s="612"/>
      <c r="G41" s="612"/>
      <c r="H41" s="612"/>
      <c r="I41" s="612"/>
      <c r="J41" s="612"/>
      <c r="K41" s="612"/>
      <c r="L41" s="612"/>
      <c r="M41" s="612"/>
      <c r="N41" s="612"/>
    </row>
    <row r="42" spans="2:14" ht="11.25" customHeight="1">
      <c r="B42" s="612"/>
      <c r="C42" s="612"/>
      <c r="D42" s="612"/>
      <c r="E42" s="612"/>
      <c r="F42" s="612"/>
      <c r="G42" s="612"/>
      <c r="H42" s="612"/>
      <c r="I42" s="612"/>
      <c r="J42" s="612"/>
      <c r="K42" s="612"/>
      <c r="L42" s="612"/>
      <c r="M42" s="612"/>
      <c r="N42" s="612"/>
    </row>
    <row r="43" spans="2:14" ht="11.25" customHeight="1">
      <c r="B43" s="612"/>
      <c r="C43" s="612"/>
      <c r="D43" s="612"/>
      <c r="E43" s="612"/>
      <c r="F43" s="612"/>
      <c r="G43" s="612"/>
      <c r="H43" s="612"/>
      <c r="I43" s="612"/>
      <c r="J43" s="612"/>
      <c r="K43" s="612"/>
      <c r="L43" s="612"/>
      <c r="M43" s="612"/>
      <c r="N43" s="612"/>
    </row>
    <row r="44" spans="2:14" ht="23.25" customHeight="1">
      <c r="B44" s="612"/>
      <c r="C44" s="612"/>
      <c r="D44" s="612"/>
      <c r="E44" s="612"/>
      <c r="F44" s="612"/>
      <c r="G44" s="612"/>
      <c r="H44" s="612"/>
      <c r="I44" s="612"/>
      <c r="J44" s="612"/>
      <c r="K44" s="612"/>
      <c r="L44" s="612"/>
      <c r="M44" s="612"/>
      <c r="N44" s="612"/>
    </row>
    <row r="45" spans="3:17" ht="11.25" customHeight="1">
      <c r="C45" s="193"/>
      <c r="D45" s="193"/>
      <c r="E45" s="193"/>
      <c r="F45" s="193"/>
      <c r="G45" s="193"/>
      <c r="H45" s="193"/>
      <c r="I45" s="193"/>
      <c r="J45" s="193"/>
      <c r="K45" s="193"/>
      <c r="L45" s="193"/>
      <c r="M45" s="193"/>
      <c r="N45" s="193"/>
      <c r="O45" s="369" t="str">
        <f>"Pagina "&amp;$Q$45&amp;""</f>
        <v>Pagina 3</v>
      </c>
      <c r="Q45" s="21">
        <f>Q1+1</f>
        <v>3</v>
      </c>
    </row>
    <row r="46" spans="2:15" ht="11.25" customHeight="1">
      <c r="B46" s="191" t="s">
        <v>212</v>
      </c>
      <c r="C46" s="193"/>
      <c r="D46" s="193"/>
      <c r="E46" s="193"/>
      <c r="F46" s="193"/>
      <c r="G46" s="193"/>
      <c r="H46" s="193"/>
      <c r="I46" s="193"/>
      <c r="J46" s="193"/>
      <c r="K46" s="193"/>
      <c r="L46" s="193"/>
      <c r="M46" s="193"/>
      <c r="N46" s="193"/>
      <c r="O46" s="369"/>
    </row>
    <row r="47" spans="2:14" ht="11.25" customHeight="1">
      <c r="B47" s="612" t="s">
        <v>282</v>
      </c>
      <c r="C47" s="612"/>
      <c r="D47" s="612"/>
      <c r="E47" s="612"/>
      <c r="F47" s="612"/>
      <c r="G47" s="612"/>
      <c r="H47" s="612"/>
      <c r="I47" s="612"/>
      <c r="J47" s="612"/>
      <c r="K47" s="612"/>
      <c r="L47" s="612"/>
      <c r="M47" s="612"/>
      <c r="N47" s="612"/>
    </row>
    <row r="48" spans="2:14" ht="11.25" customHeight="1">
      <c r="B48" s="612"/>
      <c r="C48" s="612"/>
      <c r="D48" s="612"/>
      <c r="E48" s="612"/>
      <c r="F48" s="612"/>
      <c r="G48" s="612"/>
      <c r="H48" s="612"/>
      <c r="I48" s="612"/>
      <c r="J48" s="612"/>
      <c r="K48" s="612"/>
      <c r="L48" s="612"/>
      <c r="M48" s="612"/>
      <c r="N48" s="612"/>
    </row>
    <row r="49" spans="2:14" ht="11.25" customHeight="1">
      <c r="B49" s="612" t="s">
        <v>283</v>
      </c>
      <c r="C49" s="612"/>
      <c r="D49" s="612"/>
      <c r="E49" s="612"/>
      <c r="F49" s="612"/>
      <c r="G49" s="612"/>
      <c r="H49" s="612"/>
      <c r="I49" s="612"/>
      <c r="J49" s="612"/>
      <c r="K49" s="612"/>
      <c r="L49" s="612"/>
      <c r="M49" s="612"/>
      <c r="N49" s="612"/>
    </row>
    <row r="50" spans="2:14" ht="12.75" customHeight="1">
      <c r="B50" s="612"/>
      <c r="C50" s="612"/>
      <c r="D50" s="612"/>
      <c r="E50" s="612"/>
      <c r="F50" s="612"/>
      <c r="G50" s="612"/>
      <c r="H50" s="612"/>
      <c r="I50" s="612"/>
      <c r="J50" s="612"/>
      <c r="K50" s="612"/>
      <c r="L50" s="612"/>
      <c r="M50" s="612"/>
      <c r="N50" s="612"/>
    </row>
    <row r="51" spans="2:14" ht="11.25" customHeight="1">
      <c r="B51" s="612" t="s">
        <v>284</v>
      </c>
      <c r="C51" s="612"/>
      <c r="D51" s="612"/>
      <c r="E51" s="612"/>
      <c r="F51" s="612"/>
      <c r="G51" s="612"/>
      <c r="H51" s="612"/>
      <c r="I51" s="612"/>
      <c r="J51" s="612"/>
      <c r="K51" s="612"/>
      <c r="L51" s="612"/>
      <c r="M51" s="612"/>
      <c r="N51" s="612"/>
    </row>
    <row r="52" spans="2:14" ht="11.25" customHeight="1">
      <c r="B52" s="612"/>
      <c r="C52" s="612"/>
      <c r="D52" s="612"/>
      <c r="E52" s="612"/>
      <c r="F52" s="612"/>
      <c r="G52" s="612"/>
      <c r="H52" s="612"/>
      <c r="I52" s="612"/>
      <c r="J52" s="612"/>
      <c r="K52" s="612"/>
      <c r="L52" s="612"/>
      <c r="M52" s="612"/>
      <c r="N52" s="612"/>
    </row>
    <row r="53" spans="2:14" ht="11.25">
      <c r="B53" s="612"/>
      <c r="C53" s="612"/>
      <c r="D53" s="612"/>
      <c r="E53" s="612"/>
      <c r="F53" s="612"/>
      <c r="G53" s="612"/>
      <c r="H53" s="612"/>
      <c r="I53" s="612"/>
      <c r="J53" s="612"/>
      <c r="K53" s="612"/>
      <c r="L53" s="612"/>
      <c r="M53" s="612"/>
      <c r="N53" s="612"/>
    </row>
    <row r="54" ht="11.25" customHeight="1">
      <c r="B54" s="191" t="s">
        <v>0</v>
      </c>
    </row>
    <row r="55" spans="2:14" ht="11.25" customHeight="1">
      <c r="B55" s="612" t="s">
        <v>1</v>
      </c>
      <c r="C55" s="612"/>
      <c r="D55" s="612"/>
      <c r="E55" s="612"/>
      <c r="F55" s="612"/>
      <c r="G55" s="612"/>
      <c r="H55" s="612"/>
      <c r="I55" s="612"/>
      <c r="J55" s="612"/>
      <c r="K55" s="612"/>
      <c r="L55" s="612"/>
      <c r="M55" s="612"/>
      <c r="N55" s="612"/>
    </row>
    <row r="56" spans="2:14" ht="11.25" customHeight="1">
      <c r="B56" s="612"/>
      <c r="C56" s="612"/>
      <c r="D56" s="612"/>
      <c r="E56" s="612"/>
      <c r="F56" s="612"/>
      <c r="G56" s="612"/>
      <c r="H56" s="612"/>
      <c r="I56" s="612"/>
      <c r="J56" s="612"/>
      <c r="K56" s="612"/>
      <c r="L56" s="612"/>
      <c r="M56" s="612"/>
      <c r="N56" s="612"/>
    </row>
    <row r="57" spans="2:14" ht="24" customHeight="1">
      <c r="B57" s="612"/>
      <c r="C57" s="612"/>
      <c r="D57" s="612"/>
      <c r="E57" s="612"/>
      <c r="F57" s="612"/>
      <c r="G57" s="612"/>
      <c r="H57" s="612"/>
      <c r="I57" s="612"/>
      <c r="J57" s="612"/>
      <c r="K57" s="612"/>
      <c r="L57" s="612"/>
      <c r="M57" s="612"/>
      <c r="N57" s="612"/>
    </row>
    <row r="58" spans="2:14" ht="11.25">
      <c r="B58" s="192"/>
      <c r="C58" s="192"/>
      <c r="D58" s="192"/>
      <c r="E58" s="192"/>
      <c r="F58" s="192"/>
      <c r="G58" s="192"/>
      <c r="H58" s="192"/>
      <c r="I58" s="192"/>
      <c r="J58" s="192"/>
      <c r="K58" s="192"/>
      <c r="L58" s="192"/>
      <c r="M58" s="192"/>
      <c r="N58" s="192"/>
    </row>
    <row r="59" spans="2:14" ht="11.25" customHeight="1">
      <c r="B59" s="612" t="s">
        <v>2</v>
      </c>
      <c r="C59" s="612"/>
      <c r="D59" s="612"/>
      <c r="E59" s="612"/>
      <c r="F59" s="612"/>
      <c r="G59" s="612"/>
      <c r="H59" s="612"/>
      <c r="I59" s="612"/>
      <c r="J59" s="612"/>
      <c r="K59" s="612"/>
      <c r="L59" s="612"/>
      <c r="M59" s="612"/>
      <c r="N59" s="612"/>
    </row>
    <row r="60" spans="2:14" ht="11.25" customHeight="1">
      <c r="B60" s="612"/>
      <c r="C60" s="612"/>
      <c r="D60" s="612"/>
      <c r="E60" s="612"/>
      <c r="F60" s="612"/>
      <c r="G60" s="612"/>
      <c r="H60" s="612"/>
      <c r="I60" s="612"/>
      <c r="J60" s="612"/>
      <c r="K60" s="612"/>
      <c r="L60" s="612"/>
      <c r="M60" s="612"/>
      <c r="N60" s="612"/>
    </row>
    <row r="61" spans="2:14" ht="11.25">
      <c r="B61" s="616"/>
      <c r="C61" s="616"/>
      <c r="D61" s="616"/>
      <c r="E61" s="616"/>
      <c r="F61" s="616"/>
      <c r="G61" s="616"/>
      <c r="H61" s="616"/>
      <c r="I61" s="616"/>
      <c r="J61" s="616"/>
      <c r="K61" s="616"/>
      <c r="L61" s="616"/>
      <c r="M61" s="616"/>
      <c r="N61" s="616"/>
    </row>
    <row r="62" spans="2:14" ht="15.75" customHeight="1">
      <c r="B62" s="360"/>
      <c r="C62" s="360"/>
      <c r="D62" s="360"/>
      <c r="E62" s="360"/>
      <c r="F62" s="360"/>
      <c r="G62" s="360"/>
      <c r="H62" s="360"/>
      <c r="I62" s="360"/>
      <c r="J62" s="360"/>
      <c r="K62" s="360"/>
      <c r="L62" s="360"/>
      <c r="M62" s="360"/>
      <c r="N62" s="360"/>
    </row>
    <row r="63" spans="2:14" ht="11.25" customHeight="1">
      <c r="B63" s="612" t="s">
        <v>3</v>
      </c>
      <c r="C63" s="612"/>
      <c r="D63" s="612"/>
      <c r="E63" s="612"/>
      <c r="F63" s="612"/>
      <c r="G63" s="612"/>
      <c r="H63" s="612"/>
      <c r="I63" s="612"/>
      <c r="J63" s="612"/>
      <c r="K63" s="612"/>
      <c r="L63" s="612"/>
      <c r="M63" s="612"/>
      <c r="N63" s="612"/>
    </row>
    <row r="64" spans="2:14" ht="11.25" customHeight="1">
      <c r="B64" s="612"/>
      <c r="C64" s="612"/>
      <c r="D64" s="612"/>
      <c r="E64" s="612"/>
      <c r="F64" s="612"/>
      <c r="G64" s="612"/>
      <c r="H64" s="612"/>
      <c r="I64" s="612"/>
      <c r="J64" s="612"/>
      <c r="K64" s="612"/>
      <c r="L64" s="612"/>
      <c r="M64" s="612"/>
      <c r="N64" s="612"/>
    </row>
    <row r="65" spans="2:14" ht="11.25" customHeight="1">
      <c r="B65" s="612"/>
      <c r="C65" s="612"/>
      <c r="D65" s="612"/>
      <c r="E65" s="612"/>
      <c r="F65" s="612"/>
      <c r="G65" s="612"/>
      <c r="H65" s="612"/>
      <c r="I65" s="612"/>
      <c r="J65" s="612"/>
      <c r="K65" s="612"/>
      <c r="L65" s="612"/>
      <c r="M65" s="612"/>
      <c r="N65" s="612"/>
    </row>
    <row r="66" spans="2:14" ht="11.25" customHeight="1">
      <c r="B66" s="612"/>
      <c r="C66" s="612"/>
      <c r="D66" s="612"/>
      <c r="E66" s="612"/>
      <c r="F66" s="612"/>
      <c r="G66" s="612"/>
      <c r="H66" s="612"/>
      <c r="I66" s="612"/>
      <c r="J66" s="612"/>
      <c r="K66" s="612"/>
      <c r="L66" s="612"/>
      <c r="M66" s="612"/>
      <c r="N66" s="612"/>
    </row>
    <row r="67" spans="2:14" ht="11.25" customHeight="1">
      <c r="B67" s="612"/>
      <c r="C67" s="612"/>
      <c r="D67" s="612"/>
      <c r="E67" s="612"/>
      <c r="F67" s="612"/>
      <c r="G67" s="612"/>
      <c r="H67" s="612"/>
      <c r="I67" s="612"/>
      <c r="J67" s="612"/>
      <c r="K67" s="612"/>
      <c r="L67" s="612"/>
      <c r="M67" s="612"/>
      <c r="N67" s="612"/>
    </row>
    <row r="68" spans="2:14" ht="15" customHeight="1">
      <c r="B68" s="612"/>
      <c r="C68" s="612"/>
      <c r="D68" s="612"/>
      <c r="E68" s="612"/>
      <c r="F68" s="612"/>
      <c r="G68" s="612"/>
      <c r="H68" s="612"/>
      <c r="I68" s="612"/>
      <c r="J68" s="612"/>
      <c r="K68" s="612"/>
      <c r="L68" s="612"/>
      <c r="M68" s="612"/>
      <c r="N68" s="612"/>
    </row>
    <row r="69" spans="2:14" ht="11.25">
      <c r="B69" s="192"/>
      <c r="C69" s="192"/>
      <c r="D69" s="192"/>
      <c r="E69" s="192"/>
      <c r="F69" s="192"/>
      <c r="G69" s="192"/>
      <c r="H69" s="192"/>
      <c r="I69" s="192"/>
      <c r="J69" s="192"/>
      <c r="K69" s="192"/>
      <c r="L69" s="192"/>
      <c r="M69" s="192"/>
      <c r="N69" s="192"/>
    </row>
    <row r="70" spans="2:14" ht="11.25" customHeight="1">
      <c r="B70" s="612" t="s">
        <v>141</v>
      </c>
      <c r="C70" s="612"/>
      <c r="D70" s="612"/>
      <c r="E70" s="612"/>
      <c r="F70" s="612"/>
      <c r="G70" s="612"/>
      <c r="H70" s="612"/>
      <c r="I70" s="612"/>
      <c r="J70" s="612"/>
      <c r="K70" s="612"/>
      <c r="L70" s="612"/>
      <c r="M70" s="612"/>
      <c r="N70" s="612"/>
    </row>
    <row r="71" spans="2:14" ht="11.25" customHeight="1">
      <c r="B71" s="612"/>
      <c r="C71" s="612"/>
      <c r="D71" s="612"/>
      <c r="E71" s="612"/>
      <c r="F71" s="612"/>
      <c r="G71" s="612"/>
      <c r="H71" s="612"/>
      <c r="I71" s="612"/>
      <c r="J71" s="612"/>
      <c r="K71" s="612"/>
      <c r="L71" s="612"/>
      <c r="M71" s="612"/>
      <c r="N71" s="612"/>
    </row>
    <row r="72" spans="2:14" ht="11.25" customHeight="1">
      <c r="B72" s="612"/>
      <c r="C72" s="612"/>
      <c r="D72" s="612"/>
      <c r="E72" s="612"/>
      <c r="F72" s="612"/>
      <c r="G72" s="612"/>
      <c r="H72" s="612"/>
      <c r="I72" s="612"/>
      <c r="J72" s="612"/>
      <c r="K72" s="612"/>
      <c r="L72" s="612"/>
      <c r="M72" s="612"/>
      <c r="N72" s="612"/>
    </row>
    <row r="73" spans="2:14" ht="11.25" customHeight="1">
      <c r="B73" s="612"/>
      <c r="C73" s="612"/>
      <c r="D73" s="612"/>
      <c r="E73" s="612"/>
      <c r="F73" s="612"/>
      <c r="G73" s="612"/>
      <c r="H73" s="612"/>
      <c r="I73" s="612"/>
      <c r="J73" s="612"/>
      <c r="K73" s="612"/>
      <c r="L73" s="612"/>
      <c r="M73" s="612"/>
      <c r="N73" s="612"/>
    </row>
    <row r="74" spans="2:14" ht="11.25" customHeight="1">
      <c r="B74" s="192"/>
      <c r="C74" s="192"/>
      <c r="D74" s="192"/>
      <c r="E74" s="192"/>
      <c r="F74" s="192"/>
      <c r="G74" s="192"/>
      <c r="H74" s="192"/>
      <c r="I74" s="192"/>
      <c r="J74" s="192"/>
      <c r="K74" s="192"/>
      <c r="L74" s="192"/>
      <c r="M74" s="192"/>
      <c r="N74" s="192"/>
    </row>
    <row r="75" spans="2:14" ht="11.25" customHeight="1">
      <c r="B75" s="612" t="s">
        <v>4</v>
      </c>
      <c r="C75" s="612"/>
      <c r="D75" s="612"/>
      <c r="E75" s="612"/>
      <c r="F75" s="612"/>
      <c r="G75" s="612"/>
      <c r="H75" s="612"/>
      <c r="I75" s="612"/>
      <c r="J75" s="612"/>
      <c r="K75" s="612"/>
      <c r="L75" s="612"/>
      <c r="M75" s="612"/>
      <c r="N75" s="612"/>
    </row>
    <row r="76" spans="2:14" ht="11.25" customHeight="1">
      <c r="B76" s="612"/>
      <c r="C76" s="612"/>
      <c r="D76" s="612"/>
      <c r="E76" s="612"/>
      <c r="F76" s="612"/>
      <c r="G76" s="612"/>
      <c r="H76" s="612"/>
      <c r="I76" s="612"/>
      <c r="J76" s="612"/>
      <c r="K76" s="612"/>
      <c r="L76" s="612"/>
      <c r="M76" s="612"/>
      <c r="N76" s="612"/>
    </row>
    <row r="77" spans="2:14" ht="11.25" customHeight="1">
      <c r="B77" s="612"/>
      <c r="C77" s="612"/>
      <c r="D77" s="612"/>
      <c r="E77" s="612"/>
      <c r="F77" s="612"/>
      <c r="G77" s="612"/>
      <c r="H77" s="612"/>
      <c r="I77" s="612"/>
      <c r="J77" s="612"/>
      <c r="K77" s="612"/>
      <c r="L77" s="612"/>
      <c r="M77" s="612"/>
      <c r="N77" s="612"/>
    </row>
    <row r="78" spans="2:14" ht="11.25" customHeight="1">
      <c r="B78" s="612"/>
      <c r="C78" s="612"/>
      <c r="D78" s="612"/>
      <c r="E78" s="612"/>
      <c r="F78" s="612"/>
      <c r="G78" s="612"/>
      <c r="H78" s="612"/>
      <c r="I78" s="612"/>
      <c r="J78" s="612"/>
      <c r="K78" s="612"/>
      <c r="L78" s="612"/>
      <c r="M78" s="612"/>
      <c r="N78" s="612"/>
    </row>
    <row r="79" spans="2:14" ht="11.25" customHeight="1">
      <c r="B79" s="612"/>
      <c r="C79" s="612"/>
      <c r="D79" s="612"/>
      <c r="E79" s="612"/>
      <c r="F79" s="612"/>
      <c r="G79" s="612"/>
      <c r="H79" s="612"/>
      <c r="I79" s="612"/>
      <c r="J79" s="612"/>
      <c r="K79" s="612"/>
      <c r="L79" s="612"/>
      <c r="M79" s="612"/>
      <c r="N79" s="612"/>
    </row>
    <row r="80" spans="2:14" ht="11.25" customHeight="1">
      <c r="B80" s="192"/>
      <c r="C80" s="192"/>
      <c r="D80" s="192"/>
      <c r="E80" s="192"/>
      <c r="F80" s="192"/>
      <c r="G80" s="192"/>
      <c r="H80" s="192"/>
      <c r="I80" s="192"/>
      <c r="J80" s="192"/>
      <c r="K80" s="192"/>
      <c r="L80" s="192"/>
      <c r="M80" s="192"/>
      <c r="N80" s="192"/>
    </row>
    <row r="81" spans="2:14" ht="11.25" customHeight="1">
      <c r="B81" s="612" t="s">
        <v>189</v>
      </c>
      <c r="C81" s="612"/>
      <c r="D81" s="612"/>
      <c r="E81" s="612"/>
      <c r="F81" s="612"/>
      <c r="G81" s="612"/>
      <c r="H81" s="612"/>
      <c r="I81" s="612"/>
      <c r="J81" s="612"/>
      <c r="K81" s="612"/>
      <c r="L81" s="612"/>
      <c r="M81" s="612"/>
      <c r="N81" s="612"/>
    </row>
    <row r="82" spans="2:14" ht="11.25" customHeight="1">
      <c r="B82" s="612"/>
      <c r="C82" s="612"/>
      <c r="D82" s="612"/>
      <c r="E82" s="612"/>
      <c r="F82" s="612"/>
      <c r="G82" s="612"/>
      <c r="H82" s="612"/>
      <c r="I82" s="612"/>
      <c r="J82" s="612"/>
      <c r="K82" s="612"/>
      <c r="L82" s="612"/>
      <c r="M82" s="612"/>
      <c r="N82" s="612"/>
    </row>
    <row r="83" spans="2:14" ht="11.25" customHeight="1">
      <c r="B83" s="612"/>
      <c r="C83" s="612"/>
      <c r="D83" s="612"/>
      <c r="E83" s="612"/>
      <c r="F83" s="612"/>
      <c r="G83" s="612"/>
      <c r="H83" s="612"/>
      <c r="I83" s="612"/>
      <c r="J83" s="612"/>
      <c r="K83" s="612"/>
      <c r="L83" s="612"/>
      <c r="M83" s="612"/>
      <c r="N83" s="612"/>
    </row>
    <row r="84" spans="2:14" ht="11.25" customHeight="1">
      <c r="B84" s="612"/>
      <c r="C84" s="612"/>
      <c r="D84" s="612"/>
      <c r="E84" s="612"/>
      <c r="F84" s="612"/>
      <c r="G84" s="612"/>
      <c r="H84" s="612"/>
      <c r="I84" s="612"/>
      <c r="J84" s="612"/>
      <c r="K84" s="612"/>
      <c r="L84" s="612"/>
      <c r="M84" s="612"/>
      <c r="N84" s="612"/>
    </row>
    <row r="85" spans="2:14" ht="11.25" customHeight="1">
      <c r="B85" s="612"/>
      <c r="C85" s="612"/>
      <c r="D85" s="612"/>
      <c r="E85" s="612"/>
      <c r="F85" s="612"/>
      <c r="G85" s="612"/>
      <c r="H85" s="612"/>
      <c r="I85" s="612"/>
      <c r="J85" s="612"/>
      <c r="K85" s="612"/>
      <c r="L85" s="612"/>
      <c r="M85" s="612"/>
      <c r="N85" s="612"/>
    </row>
    <row r="86" spans="2:14" ht="11.25" customHeight="1">
      <c r="B86" s="612" t="s">
        <v>142</v>
      </c>
      <c r="C86" s="612"/>
      <c r="D86" s="612"/>
      <c r="E86" s="612"/>
      <c r="F86" s="612"/>
      <c r="G86" s="612"/>
      <c r="H86" s="612"/>
      <c r="I86" s="612"/>
      <c r="J86" s="612"/>
      <c r="K86" s="612"/>
      <c r="L86" s="612"/>
      <c r="M86" s="612"/>
      <c r="N86" s="612"/>
    </row>
    <row r="87" spans="2:14" ht="16.5" customHeight="1">
      <c r="B87" s="612"/>
      <c r="C87" s="612"/>
      <c r="D87" s="612"/>
      <c r="E87" s="612"/>
      <c r="F87" s="612"/>
      <c r="G87" s="612"/>
      <c r="H87" s="612"/>
      <c r="I87" s="612"/>
      <c r="J87" s="612"/>
      <c r="K87" s="612"/>
      <c r="L87" s="612"/>
      <c r="M87" s="612"/>
      <c r="N87" s="612"/>
    </row>
    <row r="88" spans="15:17" ht="11.25" customHeight="1">
      <c r="O88" s="369" t="str">
        <f>"Pagina "&amp;$Q$88&amp;""</f>
        <v>Pagina 4</v>
      </c>
      <c r="Q88" s="21">
        <f>Q45+1</f>
        <v>4</v>
      </c>
    </row>
    <row r="89" spans="2:14" ht="11.25" customHeight="1">
      <c r="B89" s="614" t="s">
        <v>299</v>
      </c>
      <c r="C89" s="612"/>
      <c r="D89" s="612"/>
      <c r="E89" s="612"/>
      <c r="F89" s="612"/>
      <c r="G89" s="612"/>
      <c r="H89" s="612"/>
      <c r="I89" s="612"/>
      <c r="J89" s="612"/>
      <c r="K89" s="612"/>
      <c r="L89" s="612"/>
      <c r="M89" s="612"/>
      <c r="N89" s="612"/>
    </row>
    <row r="90" spans="2:14" ht="11.25" customHeight="1">
      <c r="B90" s="612" t="s">
        <v>9</v>
      </c>
      <c r="C90" s="615"/>
      <c r="D90" s="615"/>
      <c r="E90" s="615"/>
      <c r="F90" s="615"/>
      <c r="G90" s="615"/>
      <c r="H90" s="615"/>
      <c r="I90" s="615"/>
      <c r="J90" s="615"/>
      <c r="K90" s="615"/>
      <c r="L90" s="615"/>
      <c r="M90" s="615"/>
      <c r="N90" s="615"/>
    </row>
    <row r="91" spans="2:14" ht="11.25" customHeight="1">
      <c r="B91" s="615"/>
      <c r="C91" s="615"/>
      <c r="D91" s="615"/>
      <c r="E91" s="615"/>
      <c r="F91" s="615"/>
      <c r="G91" s="615"/>
      <c r="H91" s="615"/>
      <c r="I91" s="615"/>
      <c r="J91" s="615"/>
      <c r="K91" s="615"/>
      <c r="L91" s="615"/>
      <c r="M91" s="615"/>
      <c r="N91" s="615"/>
    </row>
    <row r="92" spans="2:14" ht="15" customHeight="1">
      <c r="B92" s="615"/>
      <c r="C92" s="615"/>
      <c r="D92" s="615"/>
      <c r="E92" s="615"/>
      <c r="F92" s="615"/>
      <c r="G92" s="615"/>
      <c r="H92" s="615"/>
      <c r="I92" s="615"/>
      <c r="J92" s="615"/>
      <c r="K92" s="615"/>
      <c r="L92" s="615"/>
      <c r="M92" s="615"/>
      <c r="N92" s="615"/>
    </row>
    <row r="93" ht="11.25" customHeight="1"/>
    <row r="94" ht="11.25" customHeight="1">
      <c r="B94" s="191" t="s">
        <v>213</v>
      </c>
    </row>
    <row r="95" spans="2:14" ht="11.25" customHeight="1">
      <c r="B95" s="612" t="s">
        <v>190</v>
      </c>
      <c r="C95" s="612"/>
      <c r="D95" s="612"/>
      <c r="E95" s="612"/>
      <c r="F95" s="612"/>
      <c r="G95" s="612"/>
      <c r="H95" s="612"/>
      <c r="I95" s="612"/>
      <c r="J95" s="612"/>
      <c r="K95" s="612"/>
      <c r="L95" s="612"/>
      <c r="M95" s="612"/>
      <c r="N95" s="612"/>
    </row>
    <row r="96" spans="2:14" ht="11.25" customHeight="1">
      <c r="B96" s="612"/>
      <c r="C96" s="612"/>
      <c r="D96" s="612"/>
      <c r="E96" s="612"/>
      <c r="F96" s="612"/>
      <c r="G96" s="612"/>
      <c r="H96" s="612"/>
      <c r="I96" s="612"/>
      <c r="J96" s="612"/>
      <c r="K96" s="612"/>
      <c r="L96" s="612"/>
      <c r="M96" s="612"/>
      <c r="N96" s="612"/>
    </row>
    <row r="97" spans="2:14" ht="15" customHeight="1">
      <c r="B97" s="612"/>
      <c r="C97" s="612"/>
      <c r="D97" s="612"/>
      <c r="E97" s="612"/>
      <c r="F97" s="612"/>
      <c r="G97" s="612"/>
      <c r="H97" s="612"/>
      <c r="I97" s="612"/>
      <c r="J97" s="612"/>
      <c r="K97" s="612"/>
      <c r="L97" s="612"/>
      <c r="M97" s="612"/>
      <c r="N97" s="612"/>
    </row>
    <row r="98" spans="2:14" ht="11.25">
      <c r="B98" s="192"/>
      <c r="C98" s="192"/>
      <c r="D98" s="192"/>
      <c r="E98" s="192"/>
      <c r="F98" s="192"/>
      <c r="G98" s="192"/>
      <c r="H98" s="192"/>
      <c r="I98" s="192"/>
      <c r="J98" s="192"/>
      <c r="K98" s="192"/>
      <c r="L98" s="192"/>
      <c r="M98" s="192"/>
      <c r="N98" s="192"/>
    </row>
    <row r="99" spans="2:14" ht="11.25" customHeight="1">
      <c r="B99" s="612" t="s">
        <v>5</v>
      </c>
      <c r="C99" s="612"/>
      <c r="D99" s="612"/>
      <c r="E99" s="612"/>
      <c r="F99" s="612"/>
      <c r="G99" s="612"/>
      <c r="H99" s="612"/>
      <c r="I99" s="612"/>
      <c r="J99" s="612"/>
      <c r="K99" s="612"/>
      <c r="L99" s="612"/>
      <c r="M99" s="612"/>
      <c r="N99" s="612"/>
    </row>
    <row r="100" spans="2:14" ht="11.25" customHeight="1">
      <c r="B100" s="612"/>
      <c r="C100" s="612"/>
      <c r="D100" s="612"/>
      <c r="E100" s="612"/>
      <c r="F100" s="612"/>
      <c r="G100" s="612"/>
      <c r="H100" s="612"/>
      <c r="I100" s="612"/>
      <c r="J100" s="612"/>
      <c r="K100" s="612"/>
      <c r="L100" s="612"/>
      <c r="M100" s="612"/>
      <c r="N100" s="612"/>
    </row>
    <row r="101" spans="2:14" ht="11.25" customHeight="1">
      <c r="B101" s="612"/>
      <c r="C101" s="612"/>
      <c r="D101" s="612"/>
      <c r="E101" s="612"/>
      <c r="F101" s="612"/>
      <c r="G101" s="612"/>
      <c r="H101" s="612"/>
      <c r="I101" s="612"/>
      <c r="J101" s="612"/>
      <c r="K101" s="612"/>
      <c r="L101" s="612"/>
      <c r="M101" s="612"/>
      <c r="N101" s="612"/>
    </row>
    <row r="102" spans="2:14" ht="11.25" customHeight="1">
      <c r="B102" s="612"/>
      <c r="C102" s="612"/>
      <c r="D102" s="612"/>
      <c r="E102" s="612"/>
      <c r="F102" s="612"/>
      <c r="G102" s="612"/>
      <c r="H102" s="612"/>
      <c r="I102" s="612"/>
      <c r="J102" s="612"/>
      <c r="K102" s="612"/>
      <c r="L102" s="612"/>
      <c r="M102" s="612"/>
      <c r="N102" s="612"/>
    </row>
    <row r="103" spans="2:14" ht="11.25" customHeight="1">
      <c r="B103" s="612"/>
      <c r="C103" s="612"/>
      <c r="D103" s="612"/>
      <c r="E103" s="612"/>
      <c r="F103" s="612"/>
      <c r="G103" s="612"/>
      <c r="H103" s="612"/>
      <c r="I103" s="612"/>
      <c r="J103" s="612"/>
      <c r="K103" s="612"/>
      <c r="L103" s="612"/>
      <c r="M103" s="612"/>
      <c r="N103" s="612"/>
    </row>
    <row r="104" spans="2:14" ht="15" customHeight="1">
      <c r="B104" s="612"/>
      <c r="C104" s="612"/>
      <c r="D104" s="612"/>
      <c r="E104" s="612"/>
      <c r="F104" s="612"/>
      <c r="G104" s="612"/>
      <c r="H104" s="612"/>
      <c r="I104" s="612"/>
      <c r="J104" s="612"/>
      <c r="K104" s="612"/>
      <c r="L104" s="612"/>
      <c r="M104" s="612"/>
      <c r="N104" s="612"/>
    </row>
    <row r="105" spans="2:14" ht="11.25" customHeight="1">
      <c r="B105" s="193"/>
      <c r="C105" s="193"/>
      <c r="D105" s="193"/>
      <c r="E105" s="193"/>
      <c r="F105" s="193"/>
      <c r="G105" s="193"/>
      <c r="H105" s="193"/>
      <c r="I105" s="193"/>
      <c r="J105" s="193"/>
      <c r="K105" s="193"/>
      <c r="L105" s="193"/>
      <c r="M105" s="193"/>
      <c r="N105" s="193"/>
    </row>
    <row r="106" ht="11.25" customHeight="1">
      <c r="B106" s="191" t="s">
        <v>10</v>
      </c>
    </row>
    <row r="107" ht="11.25" customHeight="1">
      <c r="B107" s="21" t="s">
        <v>143</v>
      </c>
    </row>
    <row r="108" ht="11.25" customHeight="1"/>
    <row r="109" ht="11.25" customHeight="1">
      <c r="B109" s="191" t="s">
        <v>11</v>
      </c>
    </row>
    <row r="110" spans="2:14" ht="11.25" customHeight="1">
      <c r="B110" s="612" t="s">
        <v>144</v>
      </c>
      <c r="C110" s="612"/>
      <c r="D110" s="612"/>
      <c r="E110" s="612"/>
      <c r="F110" s="612"/>
      <c r="G110" s="612"/>
      <c r="H110" s="612"/>
      <c r="I110" s="612"/>
      <c r="J110" s="612"/>
      <c r="K110" s="612"/>
      <c r="L110" s="612"/>
      <c r="M110" s="612"/>
      <c r="N110" s="612"/>
    </row>
    <row r="111" spans="2:14" ht="11.25">
      <c r="B111" s="612"/>
      <c r="C111" s="612"/>
      <c r="D111" s="612"/>
      <c r="E111" s="612"/>
      <c r="F111" s="612"/>
      <c r="G111" s="612"/>
      <c r="H111" s="612"/>
      <c r="I111" s="612"/>
      <c r="J111" s="612"/>
      <c r="K111" s="612"/>
      <c r="L111" s="612"/>
      <c r="M111" s="612"/>
      <c r="N111" s="612"/>
    </row>
    <row r="112" spans="2:14" ht="11.25" customHeight="1">
      <c r="B112" s="194"/>
      <c r="C112" s="194"/>
      <c r="D112" s="194"/>
      <c r="E112" s="194"/>
      <c r="F112" s="194"/>
      <c r="G112" s="194"/>
      <c r="H112" s="194"/>
      <c r="I112" s="194"/>
      <c r="J112" s="194"/>
      <c r="K112" s="194"/>
      <c r="L112" s="194"/>
      <c r="M112" s="194"/>
      <c r="N112" s="194"/>
    </row>
    <row r="113" ht="11.25" customHeight="1">
      <c r="B113" s="191" t="s">
        <v>13</v>
      </c>
    </row>
    <row r="114" spans="2:14" ht="11.25" customHeight="1">
      <c r="B114" s="612" t="s">
        <v>188</v>
      </c>
      <c r="C114" s="612"/>
      <c r="D114" s="612"/>
      <c r="E114" s="612"/>
      <c r="F114" s="612"/>
      <c r="G114" s="612"/>
      <c r="H114" s="612"/>
      <c r="I114" s="612"/>
      <c r="J114" s="612"/>
      <c r="K114" s="612"/>
      <c r="L114" s="612"/>
      <c r="M114" s="612"/>
      <c r="N114" s="612"/>
    </row>
    <row r="115" spans="2:14" ht="11.25" customHeight="1">
      <c r="B115" s="612"/>
      <c r="C115" s="612"/>
      <c r="D115" s="612"/>
      <c r="E115" s="612"/>
      <c r="F115" s="612"/>
      <c r="G115" s="612"/>
      <c r="H115" s="612"/>
      <c r="I115" s="612"/>
      <c r="J115" s="612"/>
      <c r="K115" s="612"/>
      <c r="L115" s="612"/>
      <c r="M115" s="612"/>
      <c r="N115" s="612"/>
    </row>
    <row r="116" ht="11.25" customHeight="1"/>
    <row r="117" ht="11.25" customHeight="1">
      <c r="B117" s="191" t="s">
        <v>14</v>
      </c>
    </row>
    <row r="118" spans="2:14" ht="11.25" customHeight="1">
      <c r="B118" s="612" t="s">
        <v>8</v>
      </c>
      <c r="C118" s="612"/>
      <c r="D118" s="612"/>
      <c r="E118" s="612"/>
      <c r="F118" s="612"/>
      <c r="G118" s="612"/>
      <c r="H118" s="612"/>
      <c r="I118" s="612"/>
      <c r="J118" s="612"/>
      <c r="K118" s="612"/>
      <c r="L118" s="612"/>
      <c r="M118" s="612"/>
      <c r="N118" s="612"/>
    </row>
    <row r="119" spans="2:14" ht="15" customHeight="1">
      <c r="B119" s="612"/>
      <c r="C119" s="612"/>
      <c r="D119" s="612"/>
      <c r="E119" s="612"/>
      <c r="F119" s="612"/>
      <c r="G119" s="612"/>
      <c r="H119" s="612"/>
      <c r="I119" s="612"/>
      <c r="J119" s="612"/>
      <c r="K119" s="612"/>
      <c r="L119" s="612"/>
      <c r="M119" s="612"/>
      <c r="N119" s="612"/>
    </row>
    <row r="120" spans="2:14" ht="11.25">
      <c r="B120" s="192"/>
      <c r="C120" s="192"/>
      <c r="D120" s="192"/>
      <c r="E120" s="192"/>
      <c r="F120" s="192"/>
      <c r="G120" s="192"/>
      <c r="H120" s="192"/>
      <c r="I120" s="192"/>
      <c r="J120" s="192"/>
      <c r="K120" s="192"/>
      <c r="L120" s="192"/>
      <c r="M120" s="192"/>
      <c r="N120" s="192"/>
    </row>
    <row r="121" spans="2:14" ht="15" customHeight="1">
      <c r="B121" s="612" t="s">
        <v>187</v>
      </c>
      <c r="C121" s="612"/>
      <c r="D121" s="612"/>
      <c r="E121" s="612"/>
      <c r="F121" s="612"/>
      <c r="G121" s="612"/>
      <c r="H121" s="612"/>
      <c r="I121" s="612"/>
      <c r="J121" s="612"/>
      <c r="K121" s="612"/>
      <c r="L121" s="612"/>
      <c r="M121" s="612"/>
      <c r="N121" s="612"/>
    </row>
    <row r="122" spans="2:14" ht="11.25">
      <c r="B122" s="192"/>
      <c r="C122" s="192"/>
      <c r="D122" s="192"/>
      <c r="E122" s="192"/>
      <c r="F122" s="192"/>
      <c r="G122" s="192"/>
      <c r="H122" s="192"/>
      <c r="I122" s="192"/>
      <c r="J122" s="192"/>
      <c r="K122" s="192"/>
      <c r="L122" s="192"/>
      <c r="M122" s="192"/>
      <c r="N122" s="192"/>
    </row>
    <row r="123" spans="2:14" ht="11.25" customHeight="1">
      <c r="B123" s="612" t="s">
        <v>186</v>
      </c>
      <c r="C123" s="612"/>
      <c r="D123" s="612"/>
      <c r="E123" s="612"/>
      <c r="F123" s="612"/>
      <c r="G123" s="612"/>
      <c r="H123" s="612"/>
      <c r="I123" s="612"/>
      <c r="J123" s="612"/>
      <c r="K123" s="612"/>
      <c r="L123" s="612"/>
      <c r="M123" s="612"/>
      <c r="N123" s="612"/>
    </row>
    <row r="124" spans="2:14" ht="11.25" customHeight="1">
      <c r="B124" s="612"/>
      <c r="C124" s="612"/>
      <c r="D124" s="612"/>
      <c r="E124" s="612"/>
      <c r="F124" s="612"/>
      <c r="G124" s="612"/>
      <c r="H124" s="612"/>
      <c r="I124" s="612"/>
      <c r="J124" s="612"/>
      <c r="K124" s="612"/>
      <c r="L124" s="612"/>
      <c r="M124" s="612"/>
      <c r="N124" s="612"/>
    </row>
    <row r="125" ht="9" customHeight="1"/>
    <row r="126" ht="11.25" customHeight="1">
      <c r="B126" s="94" t="s">
        <v>6</v>
      </c>
    </row>
    <row r="127" spans="2:14" ht="11.25" customHeight="1">
      <c r="B127" s="612" t="s">
        <v>7</v>
      </c>
      <c r="C127" s="612"/>
      <c r="D127" s="612"/>
      <c r="E127" s="612"/>
      <c r="F127" s="612"/>
      <c r="G127" s="612"/>
      <c r="H127" s="612"/>
      <c r="I127" s="612"/>
      <c r="J127" s="612"/>
      <c r="K127" s="612"/>
      <c r="L127" s="612"/>
      <c r="M127" s="612"/>
      <c r="N127" s="612"/>
    </row>
    <row r="128" spans="2:14" ht="11.25" customHeight="1">
      <c r="B128" s="612"/>
      <c r="C128" s="612"/>
      <c r="D128" s="612"/>
      <c r="E128" s="612"/>
      <c r="F128" s="612"/>
      <c r="G128" s="612"/>
      <c r="H128" s="612"/>
      <c r="I128" s="612"/>
      <c r="J128" s="612"/>
      <c r="K128" s="612"/>
      <c r="L128" s="612"/>
      <c r="M128" s="612"/>
      <c r="N128" s="612"/>
    </row>
    <row r="129" spans="2:14" ht="15" customHeight="1">
      <c r="B129" s="612"/>
      <c r="C129" s="612"/>
      <c r="D129" s="612"/>
      <c r="E129" s="612"/>
      <c r="F129" s="612"/>
      <c r="G129" s="612"/>
      <c r="H129" s="612"/>
      <c r="I129" s="612"/>
      <c r="J129" s="612"/>
      <c r="K129" s="612"/>
      <c r="L129" s="612"/>
      <c r="M129" s="612"/>
      <c r="N129" s="612"/>
    </row>
    <row r="130" ht="11.25" customHeight="1"/>
    <row r="131" ht="11.25" customHeight="1" hidden="1"/>
    <row r="132" ht="11.25" customHeight="1" hidden="1"/>
    <row r="133" ht="11.25" customHeight="1" hidden="1"/>
    <row r="134" ht="11.25" customHeight="1" hidden="1"/>
    <row r="135" ht="11.25" customHeight="1" hidden="1"/>
    <row r="136" ht="11.25" customHeight="1" hidden="1"/>
    <row r="137" ht="11.25" customHeight="1" hidden="1"/>
    <row r="138" ht="11.25" customHeight="1" hidden="1"/>
    <row r="139" ht="11.25" customHeight="1" hidden="1"/>
    <row r="140" ht="11.25" customHeight="1" hidden="1"/>
    <row r="141" ht="11.25" customHeight="1" hidden="1"/>
    <row r="142" ht="11.25" customHeight="1" hidden="1"/>
    <row r="143" ht="11.25" customHeight="1" hidden="1"/>
    <row r="144" ht="11.25" customHeight="1" hidden="1"/>
    <row r="145" ht="11.25" customHeight="1" hidden="1"/>
  </sheetData>
  <sheetProtection password="C7EC" sheet="1" objects="1" scenarios="1"/>
  <mergeCells count="29">
    <mergeCell ref="B86:N87"/>
    <mergeCell ref="B59:N61"/>
    <mergeCell ref="B14:N14"/>
    <mergeCell ref="B75:N79"/>
    <mergeCell ref="B81:N85"/>
    <mergeCell ref="B19:N19"/>
    <mergeCell ref="B95:N97"/>
    <mergeCell ref="B16:N17"/>
    <mergeCell ref="B26:N29"/>
    <mergeCell ref="B32:N34"/>
    <mergeCell ref="B37:N44"/>
    <mergeCell ref="B55:N57"/>
    <mergeCell ref="B63:N68"/>
    <mergeCell ref="B89:N89"/>
    <mergeCell ref="B70:N73"/>
    <mergeCell ref="B90:N92"/>
    <mergeCell ref="B4:N8"/>
    <mergeCell ref="B47:N48"/>
    <mergeCell ref="B49:N50"/>
    <mergeCell ref="B51:N53"/>
    <mergeCell ref="B9:N9"/>
    <mergeCell ref="B11:N13"/>
    <mergeCell ref="B127:N129"/>
    <mergeCell ref="B99:N104"/>
    <mergeCell ref="B110:N111"/>
    <mergeCell ref="B121:N121"/>
    <mergeCell ref="B118:N119"/>
    <mergeCell ref="B123:N124"/>
    <mergeCell ref="B114:N115"/>
  </mergeCells>
  <printOptions/>
  <pageMargins left="0.75" right="0.75" top="1" bottom="1" header="0.5" footer="0.5"/>
  <pageSetup firstPageNumber="2" useFirstPageNumber="1" horizontalDpi="600" verticalDpi="600" orientation="landscape" paperSize="9" scale="83" r:id="rId2"/>
  <headerFooter alignWithMargins="0">
    <oddHeader>&amp;LAWBZ-BREED CALCULATIEMODEL RENTEKOSTEN 2010
&amp;R&amp;G</oddHeader>
  </headerFooter>
  <rowBreaks count="1" manualBreakCount="1">
    <brk id="87" max="255" man="1"/>
  </rowBreaks>
  <legacyDrawingHF r:id="rId1"/>
</worksheet>
</file>

<file path=xl/worksheets/sheet5.xml><?xml version="1.0" encoding="utf-8"?>
<worksheet xmlns="http://schemas.openxmlformats.org/spreadsheetml/2006/main" xmlns:r="http://schemas.openxmlformats.org/officeDocument/2006/relationships">
  <sheetPr codeName="Blad13"/>
  <dimension ref="B1:N92"/>
  <sheetViews>
    <sheetView showGridLines="0" zoomScaleSheetLayoutView="95" workbookViewId="0" topLeftCell="A1">
      <selection activeCell="D7" sqref="D7"/>
    </sheetView>
  </sheetViews>
  <sheetFormatPr defaultColWidth="9.140625" defaultRowHeight="12.75" zeroHeight="1"/>
  <cols>
    <col min="1" max="1" width="3.140625" style="5" customWidth="1"/>
    <col min="2" max="2" width="5.7109375" style="33" customWidth="1"/>
    <col min="3" max="3" width="50.140625" style="5" customWidth="1"/>
    <col min="4" max="6" width="17.7109375" style="3" customWidth="1"/>
    <col min="7" max="7" width="18.421875" style="3" customWidth="1"/>
    <col min="8" max="8" width="17.7109375" style="5" customWidth="1"/>
    <col min="9" max="9" width="2.57421875" style="5" customWidth="1"/>
    <col min="10" max="10" width="10.7109375" style="5" hidden="1" customWidth="1"/>
    <col min="11" max="11" width="10.7109375" style="6" hidden="1" customWidth="1"/>
    <col min="12" max="16" width="10.7109375" style="5" hidden="1" customWidth="1"/>
    <col min="17" max="24" width="0" style="5" hidden="1" customWidth="1"/>
    <col min="25" max="25" width="1.7109375" style="5" hidden="1" customWidth="1"/>
    <col min="26" max="16384" width="0" style="5" hidden="1" customWidth="1"/>
  </cols>
  <sheetData>
    <row r="1" spans="2:10" ht="12.75" customHeight="1">
      <c r="B1" s="15"/>
      <c r="D1" s="23"/>
      <c r="E1" s="23"/>
      <c r="F1" s="151" t="b">
        <f>'Rentecalc.'!J4</f>
        <v>1</v>
      </c>
      <c r="G1" s="23"/>
      <c r="H1" s="369" t="str">
        <f>"Pagina "&amp;$J$1&amp;""</f>
        <v>Pagina 5</v>
      </c>
      <c r="J1" s="5">
        <v>5</v>
      </c>
    </row>
    <row r="2" spans="2:7" ht="12.75" customHeight="1">
      <c r="B2" s="195" t="s">
        <v>136</v>
      </c>
      <c r="C2" s="196" t="s">
        <v>137</v>
      </c>
      <c r="D2" s="23"/>
      <c r="E2" s="23"/>
      <c r="F2" s="23"/>
      <c r="G2" s="23"/>
    </row>
    <row r="3" spans="2:7" ht="12.75" customHeight="1">
      <c r="B3" s="195"/>
      <c r="C3" s="5" t="s">
        <v>15</v>
      </c>
      <c r="D3" s="23"/>
      <c r="E3" s="23"/>
      <c r="F3" s="23"/>
      <c r="G3" s="23"/>
    </row>
    <row r="4" s="7" customFormat="1" ht="12.75" customHeight="1"/>
    <row r="5" spans="2:8" s="7" customFormat="1" ht="12.75">
      <c r="B5" s="197"/>
      <c r="C5" s="367"/>
      <c r="D5" s="338" t="s">
        <v>101</v>
      </c>
      <c r="E5" s="339" t="s">
        <v>220</v>
      </c>
      <c r="F5" s="340" t="s">
        <v>96</v>
      </c>
      <c r="G5" s="617" t="s">
        <v>75</v>
      </c>
      <c r="H5" s="618"/>
    </row>
    <row r="6" spans="2:8" s="6" customFormat="1" ht="12" customHeight="1">
      <c r="B6" s="195"/>
      <c r="C6" s="368"/>
      <c r="D6" s="341"/>
      <c r="E6" s="341"/>
      <c r="F6" s="341"/>
      <c r="G6" s="337" t="s">
        <v>95</v>
      </c>
      <c r="H6" s="321" t="s">
        <v>93</v>
      </c>
    </row>
    <row r="7" spans="2:11" ht="12" customHeight="1">
      <c r="B7" s="172">
        <v>501</v>
      </c>
      <c r="C7" s="198" t="str">
        <f>CONCATENATE("Stand per 31-12-",'Rentecalc.'!O1-1)</f>
        <v>Stand per 31-12-2009</v>
      </c>
      <c r="D7" s="468"/>
      <c r="E7" s="469"/>
      <c r="F7" s="475">
        <f>D7-E7</f>
        <v>0</v>
      </c>
      <c r="G7" s="336">
        <v>1</v>
      </c>
      <c r="H7" s="479">
        <f>F7*G7</f>
        <v>0</v>
      </c>
      <c r="K7" s="5"/>
    </row>
    <row r="8" spans="2:11" ht="12" customHeight="1">
      <c r="B8" s="172">
        <f aca="true" t="shared" si="0" ref="B8:B21">B7+1</f>
        <v>502</v>
      </c>
      <c r="C8" s="200" t="str">
        <f>CONCATENATE("Geheel afgeschreven in ",'Rentecalc.'!O1-1)</f>
        <v>Geheel afgeschreven in 2009</v>
      </c>
      <c r="D8" s="470"/>
      <c r="E8" s="471"/>
      <c r="F8" s="476">
        <f>D8-E8</f>
        <v>0</v>
      </c>
      <c r="G8" s="201"/>
      <c r="H8" s="480"/>
      <c r="K8" s="5"/>
    </row>
    <row r="9" spans="2:11" ht="12" customHeight="1">
      <c r="B9" s="172">
        <f t="shared" si="0"/>
        <v>503</v>
      </c>
      <c r="C9" s="200" t="s">
        <v>35</v>
      </c>
      <c r="D9" s="471"/>
      <c r="E9" s="472"/>
      <c r="F9" s="476">
        <f aca="true" t="shared" si="1" ref="F9:F20">D9-E9</f>
        <v>0</v>
      </c>
      <c r="G9" s="199">
        <v>0.9583</v>
      </c>
      <c r="H9" s="480">
        <f aca="true" t="shared" si="2" ref="H9:H20">F9*G9</f>
        <v>0</v>
      </c>
      <c r="K9" s="5"/>
    </row>
    <row r="10" spans="2:11" ht="12" customHeight="1">
      <c r="B10" s="172">
        <f t="shared" si="0"/>
        <v>504</v>
      </c>
      <c r="C10" s="200" t="s">
        <v>36</v>
      </c>
      <c r="D10" s="471"/>
      <c r="E10" s="472"/>
      <c r="F10" s="476">
        <f t="shared" si="1"/>
        <v>0</v>
      </c>
      <c r="G10" s="199">
        <v>0.875</v>
      </c>
      <c r="H10" s="480">
        <f t="shared" si="2"/>
        <v>0</v>
      </c>
      <c r="K10" s="5"/>
    </row>
    <row r="11" spans="2:11" ht="12" customHeight="1">
      <c r="B11" s="172">
        <f t="shared" si="0"/>
        <v>505</v>
      </c>
      <c r="C11" s="200" t="s">
        <v>37</v>
      </c>
      <c r="D11" s="471"/>
      <c r="E11" s="472"/>
      <c r="F11" s="476">
        <f t="shared" si="1"/>
        <v>0</v>
      </c>
      <c r="G11" s="199">
        <v>0.7917</v>
      </c>
      <c r="H11" s="480">
        <f t="shared" si="2"/>
        <v>0</v>
      </c>
      <c r="K11" s="5"/>
    </row>
    <row r="12" spans="2:11" ht="12" customHeight="1">
      <c r="B12" s="172">
        <f t="shared" si="0"/>
        <v>506</v>
      </c>
      <c r="C12" s="200" t="s">
        <v>38</v>
      </c>
      <c r="D12" s="471"/>
      <c r="E12" s="472"/>
      <c r="F12" s="476">
        <f t="shared" si="1"/>
        <v>0</v>
      </c>
      <c r="G12" s="199">
        <v>0.7083</v>
      </c>
      <c r="H12" s="480">
        <f t="shared" si="2"/>
        <v>0</v>
      </c>
      <c r="K12" s="5"/>
    </row>
    <row r="13" spans="2:11" ht="12" customHeight="1">
      <c r="B13" s="172">
        <f t="shared" si="0"/>
        <v>507</v>
      </c>
      <c r="C13" s="200" t="s">
        <v>39</v>
      </c>
      <c r="D13" s="471"/>
      <c r="E13" s="472"/>
      <c r="F13" s="476">
        <f t="shared" si="1"/>
        <v>0</v>
      </c>
      <c r="G13" s="199">
        <v>0.625</v>
      </c>
      <c r="H13" s="480">
        <f t="shared" si="2"/>
        <v>0</v>
      </c>
      <c r="K13" s="5"/>
    </row>
    <row r="14" spans="2:11" ht="12" customHeight="1">
      <c r="B14" s="172">
        <f t="shared" si="0"/>
        <v>508</v>
      </c>
      <c r="C14" s="200" t="s">
        <v>40</v>
      </c>
      <c r="D14" s="471"/>
      <c r="E14" s="472"/>
      <c r="F14" s="476">
        <f t="shared" si="1"/>
        <v>0</v>
      </c>
      <c r="G14" s="199">
        <v>0.5417</v>
      </c>
      <c r="H14" s="480">
        <f t="shared" si="2"/>
        <v>0</v>
      </c>
      <c r="K14" s="5"/>
    </row>
    <row r="15" spans="2:11" ht="12" customHeight="1">
      <c r="B15" s="172">
        <f t="shared" si="0"/>
        <v>509</v>
      </c>
      <c r="C15" s="200" t="s">
        <v>41</v>
      </c>
      <c r="D15" s="471"/>
      <c r="E15" s="472"/>
      <c r="F15" s="476">
        <f t="shared" si="1"/>
        <v>0</v>
      </c>
      <c r="G15" s="199">
        <v>0.4583</v>
      </c>
      <c r="H15" s="480">
        <f t="shared" si="2"/>
        <v>0</v>
      </c>
      <c r="K15" s="5"/>
    </row>
    <row r="16" spans="2:11" ht="12" customHeight="1">
      <c r="B16" s="172">
        <f t="shared" si="0"/>
        <v>510</v>
      </c>
      <c r="C16" s="200" t="s">
        <v>42</v>
      </c>
      <c r="D16" s="471"/>
      <c r="E16" s="472"/>
      <c r="F16" s="476">
        <f t="shared" si="1"/>
        <v>0</v>
      </c>
      <c r="G16" s="199">
        <v>0.375</v>
      </c>
      <c r="H16" s="480">
        <f t="shared" si="2"/>
        <v>0</v>
      </c>
      <c r="K16" s="5"/>
    </row>
    <row r="17" spans="2:11" ht="12" customHeight="1">
      <c r="B17" s="172">
        <f t="shared" si="0"/>
        <v>511</v>
      </c>
      <c r="C17" s="200" t="s">
        <v>43</v>
      </c>
      <c r="D17" s="471"/>
      <c r="E17" s="472"/>
      <c r="F17" s="476">
        <f t="shared" si="1"/>
        <v>0</v>
      </c>
      <c r="G17" s="199">
        <v>0.2917</v>
      </c>
      <c r="H17" s="480">
        <f t="shared" si="2"/>
        <v>0</v>
      </c>
      <c r="K17" s="5"/>
    </row>
    <row r="18" spans="2:11" ht="12" customHeight="1">
      <c r="B18" s="172">
        <f t="shared" si="0"/>
        <v>512</v>
      </c>
      <c r="C18" s="200" t="s">
        <v>44</v>
      </c>
      <c r="D18" s="471"/>
      <c r="E18" s="472"/>
      <c r="F18" s="476">
        <f t="shared" si="1"/>
        <v>0</v>
      </c>
      <c r="G18" s="199">
        <v>0.2083</v>
      </c>
      <c r="H18" s="480">
        <f t="shared" si="2"/>
        <v>0</v>
      </c>
      <c r="K18" s="5"/>
    </row>
    <row r="19" spans="2:11" ht="12" customHeight="1">
      <c r="B19" s="172">
        <f t="shared" si="0"/>
        <v>513</v>
      </c>
      <c r="C19" s="200" t="s">
        <v>45</v>
      </c>
      <c r="D19" s="471"/>
      <c r="E19" s="472"/>
      <c r="F19" s="476">
        <f t="shared" si="1"/>
        <v>0</v>
      </c>
      <c r="G19" s="199">
        <v>0.125</v>
      </c>
      <c r="H19" s="480">
        <f t="shared" si="2"/>
        <v>0</v>
      </c>
      <c r="K19" s="5"/>
    </row>
    <row r="20" spans="2:11" ht="12" customHeight="1">
      <c r="B20" s="172">
        <f t="shared" si="0"/>
        <v>514</v>
      </c>
      <c r="C20" s="202" t="s">
        <v>46</v>
      </c>
      <c r="D20" s="473"/>
      <c r="E20" s="474"/>
      <c r="F20" s="477">
        <f t="shared" si="1"/>
        <v>0</v>
      </c>
      <c r="G20" s="203">
        <v>0.0417</v>
      </c>
      <c r="H20" s="481">
        <f t="shared" si="2"/>
        <v>0</v>
      </c>
      <c r="K20" s="5"/>
    </row>
    <row r="21" spans="2:8" ht="12" customHeight="1">
      <c r="B21" s="172">
        <f t="shared" si="0"/>
        <v>515</v>
      </c>
      <c r="C21" s="204" t="str">
        <f>CONCATENATE("Stand per 31-12-",'Rentecalc.'!$O$1," (regels ",B7," t/m ",B20,")")</f>
        <v>Stand per 31-12-2010 (regels 501 t/m 514)</v>
      </c>
      <c r="D21" s="483">
        <f>D7-D8+SUM(D9:D20)</f>
        <v>0</v>
      </c>
      <c r="E21" s="478">
        <f>E7-E8+SUM(E9:E20)</f>
        <v>0</v>
      </c>
      <c r="F21" s="478">
        <f>SUM(F7:F20)</f>
        <v>0</v>
      </c>
      <c r="G21" s="372"/>
      <c r="H21" s="482">
        <f>SUM(H7:H20)</f>
        <v>0</v>
      </c>
    </row>
    <row r="22" spans="2:7" ht="11.25">
      <c r="B22" s="371" t="s">
        <v>221</v>
      </c>
      <c r="G22" s="5"/>
    </row>
    <row r="23" ht="11.25">
      <c r="B23" s="205"/>
    </row>
    <row r="24" spans="2:4" ht="12" customHeight="1">
      <c r="B24" s="195" t="s">
        <v>103</v>
      </c>
      <c r="C24" s="206" t="s">
        <v>135</v>
      </c>
      <c r="D24" s="23"/>
    </row>
    <row r="25" spans="2:4" ht="12" customHeight="1">
      <c r="B25" s="195"/>
      <c r="C25" s="5" t="s">
        <v>15</v>
      </c>
      <c r="D25" s="23"/>
    </row>
    <row r="26" spans="2:4" ht="12" customHeight="1">
      <c r="B26" s="195"/>
      <c r="D26" s="23"/>
    </row>
    <row r="27" spans="2:8" ht="12" customHeight="1">
      <c r="B27" s="197"/>
      <c r="C27" s="367"/>
      <c r="D27" s="601" t="s">
        <v>133</v>
      </c>
      <c r="E27" s="597" t="s">
        <v>134</v>
      </c>
      <c r="F27" s="621" t="s">
        <v>78</v>
      </c>
      <c r="G27" s="621"/>
      <c r="H27" s="622"/>
    </row>
    <row r="28" spans="2:8" ht="12" customHeight="1">
      <c r="B28" s="195"/>
      <c r="C28" s="370"/>
      <c r="D28" s="602"/>
      <c r="E28" s="598"/>
      <c r="F28" s="599"/>
      <c r="G28" s="599"/>
      <c r="H28" s="600"/>
    </row>
    <row r="29" spans="2:8" ht="12" customHeight="1">
      <c r="B29" s="195"/>
      <c r="C29" s="368"/>
      <c r="D29" s="596"/>
      <c r="E29" s="623"/>
      <c r="F29" s="337" t="s">
        <v>47</v>
      </c>
      <c r="G29" s="337" t="s">
        <v>48</v>
      </c>
      <c r="H29" s="321" t="s">
        <v>93</v>
      </c>
    </row>
    <row r="30" spans="2:8" ht="12" customHeight="1">
      <c r="B30" s="172">
        <f>B21+1</f>
        <v>516</v>
      </c>
      <c r="C30" s="198" t="str">
        <f>CONCATENATE("Stand per 31-12-",'Rentecalc.'!O1-1)</f>
        <v>Stand per 31-12-2009</v>
      </c>
      <c r="D30" s="468"/>
      <c r="E30" s="5"/>
      <c r="F30" s="342">
        <v>1</v>
      </c>
      <c r="G30" s="343"/>
      <c r="H30" s="334">
        <f>D30*F30</f>
        <v>0</v>
      </c>
    </row>
    <row r="31" spans="2:8" ht="12" customHeight="1">
      <c r="B31" s="172">
        <f>B30+1</f>
        <v>517</v>
      </c>
      <c r="C31" s="200" t="s">
        <v>49</v>
      </c>
      <c r="D31" s="471"/>
      <c r="E31" s="472"/>
      <c r="F31" s="207">
        <f>10.5/12</f>
        <v>0.875</v>
      </c>
      <c r="G31" s="207">
        <v>0.9583</v>
      </c>
      <c r="H31" s="39">
        <f>D31*F31-E31*G31</f>
        <v>0</v>
      </c>
    </row>
    <row r="32" spans="2:8" ht="12" customHeight="1">
      <c r="B32" s="172">
        <f aca="true" t="shared" si="3" ref="B32:B43">B31+1</f>
        <v>518</v>
      </c>
      <c r="C32" s="200" t="s">
        <v>50</v>
      </c>
      <c r="D32" s="471"/>
      <c r="E32" s="472"/>
      <c r="F32" s="207">
        <f>9.5/12</f>
        <v>0.7916666666666666</v>
      </c>
      <c r="G32" s="207">
        <v>0.875</v>
      </c>
      <c r="H32" s="39">
        <f aca="true" t="shared" si="4" ref="H32:H42">D32*F32-E32*G32</f>
        <v>0</v>
      </c>
    </row>
    <row r="33" spans="2:8" ht="12" customHeight="1">
      <c r="B33" s="172">
        <f t="shared" si="3"/>
        <v>519</v>
      </c>
      <c r="C33" s="200" t="s">
        <v>51</v>
      </c>
      <c r="D33" s="471"/>
      <c r="E33" s="472"/>
      <c r="F33" s="207">
        <f>8.5/12</f>
        <v>0.7083333333333334</v>
      </c>
      <c r="G33" s="207">
        <v>0.7917</v>
      </c>
      <c r="H33" s="39">
        <f t="shared" si="4"/>
        <v>0</v>
      </c>
    </row>
    <row r="34" spans="2:8" ht="12" customHeight="1">
      <c r="B34" s="172">
        <f t="shared" si="3"/>
        <v>520</v>
      </c>
      <c r="C34" s="200" t="s">
        <v>52</v>
      </c>
      <c r="D34" s="471"/>
      <c r="E34" s="472"/>
      <c r="F34" s="207">
        <f>7.5/12</f>
        <v>0.625</v>
      </c>
      <c r="G34" s="207">
        <v>0.7083</v>
      </c>
      <c r="H34" s="39">
        <f t="shared" si="4"/>
        <v>0</v>
      </c>
    </row>
    <row r="35" spans="2:8" ht="12" customHeight="1">
      <c r="B35" s="172">
        <f t="shared" si="3"/>
        <v>521</v>
      </c>
      <c r="C35" s="200" t="s">
        <v>53</v>
      </c>
      <c r="D35" s="471"/>
      <c r="E35" s="472"/>
      <c r="F35" s="207">
        <f>6.5/12</f>
        <v>0.5416666666666666</v>
      </c>
      <c r="G35" s="207">
        <v>0.625</v>
      </c>
      <c r="H35" s="39">
        <f t="shared" si="4"/>
        <v>0</v>
      </c>
    </row>
    <row r="36" spans="2:8" ht="12" customHeight="1">
      <c r="B36" s="172">
        <f t="shared" si="3"/>
        <v>522</v>
      </c>
      <c r="C36" s="200" t="s">
        <v>54</v>
      </c>
      <c r="D36" s="471"/>
      <c r="E36" s="472"/>
      <c r="F36" s="207">
        <f>5.5/12</f>
        <v>0.4583333333333333</v>
      </c>
      <c r="G36" s="207">
        <v>0.5417</v>
      </c>
      <c r="H36" s="39">
        <f t="shared" si="4"/>
        <v>0</v>
      </c>
    </row>
    <row r="37" spans="2:8" ht="12" customHeight="1">
      <c r="B37" s="172">
        <f t="shared" si="3"/>
        <v>523</v>
      </c>
      <c r="C37" s="200" t="s">
        <v>55</v>
      </c>
      <c r="D37" s="471"/>
      <c r="E37" s="472"/>
      <c r="F37" s="207">
        <f>4.5/12</f>
        <v>0.375</v>
      </c>
      <c r="G37" s="207">
        <v>0.4583</v>
      </c>
      <c r="H37" s="39">
        <f t="shared" si="4"/>
        <v>0</v>
      </c>
    </row>
    <row r="38" spans="2:8" ht="12" customHeight="1">
      <c r="B38" s="172">
        <f t="shared" si="3"/>
        <v>524</v>
      </c>
      <c r="C38" s="200" t="s">
        <v>56</v>
      </c>
      <c r="D38" s="471"/>
      <c r="E38" s="472"/>
      <c r="F38" s="207">
        <f>3.5/12</f>
        <v>0.2916666666666667</v>
      </c>
      <c r="G38" s="207">
        <v>0.375</v>
      </c>
      <c r="H38" s="39">
        <f t="shared" si="4"/>
        <v>0</v>
      </c>
    </row>
    <row r="39" spans="2:8" ht="12" customHeight="1">
      <c r="B39" s="172">
        <f t="shared" si="3"/>
        <v>525</v>
      </c>
      <c r="C39" s="200" t="s">
        <v>57</v>
      </c>
      <c r="D39" s="471"/>
      <c r="E39" s="472"/>
      <c r="F39" s="207">
        <f>2.5/12</f>
        <v>0.20833333333333334</v>
      </c>
      <c r="G39" s="207">
        <v>0.2917</v>
      </c>
      <c r="H39" s="39">
        <f t="shared" si="4"/>
        <v>0</v>
      </c>
    </row>
    <row r="40" spans="2:8" ht="12" customHeight="1">
      <c r="B40" s="172">
        <f t="shared" si="3"/>
        <v>526</v>
      </c>
      <c r="C40" s="200" t="s">
        <v>58</v>
      </c>
      <c r="D40" s="471"/>
      <c r="E40" s="472"/>
      <c r="F40" s="207">
        <f>1.5/12</f>
        <v>0.125</v>
      </c>
      <c r="G40" s="207">
        <v>0.2083</v>
      </c>
      <c r="H40" s="39">
        <f t="shared" si="4"/>
        <v>0</v>
      </c>
    </row>
    <row r="41" spans="2:8" ht="12" customHeight="1">
      <c r="B41" s="172">
        <f t="shared" si="3"/>
        <v>527</v>
      </c>
      <c r="C41" s="200" t="s">
        <v>59</v>
      </c>
      <c r="D41" s="471"/>
      <c r="E41" s="472"/>
      <c r="F41" s="207">
        <f>0.5/12</f>
        <v>0.041666666666666664</v>
      </c>
      <c r="G41" s="207">
        <v>0.125</v>
      </c>
      <c r="H41" s="39">
        <f t="shared" si="4"/>
        <v>0</v>
      </c>
    </row>
    <row r="42" spans="2:8" ht="12" customHeight="1">
      <c r="B42" s="172">
        <f t="shared" si="3"/>
        <v>528</v>
      </c>
      <c r="C42" s="200" t="s">
        <v>60</v>
      </c>
      <c r="D42" s="471"/>
      <c r="E42" s="472"/>
      <c r="F42" s="54">
        <f>-0.5/12</f>
        <v>-0.041666666666666664</v>
      </c>
      <c r="G42" s="207">
        <v>0.0417</v>
      </c>
      <c r="H42" s="39">
        <f t="shared" si="4"/>
        <v>0</v>
      </c>
    </row>
    <row r="43" spans="2:8" ht="12" customHeight="1">
      <c r="B43" s="172">
        <f t="shared" si="3"/>
        <v>529</v>
      </c>
      <c r="C43" s="204" t="str">
        <f>CONCATENATE("Stand per 31-12-",'Rentecalc.'!$O$1," (regels ",B30," t/m ",B42,")")</f>
        <v>Stand per 31-12-2010 (regels 516 t/m 528)</v>
      </c>
      <c r="D43" s="484">
        <f>SUM(D30:D42)</f>
        <v>0</v>
      </c>
      <c r="E43" s="478">
        <f>SUM(E31:E42)</f>
        <v>0</v>
      </c>
      <c r="F43" s="5"/>
      <c r="G43" s="5"/>
      <c r="H43" s="484">
        <f>SUM(H30:H42)</f>
        <v>0</v>
      </c>
    </row>
    <row r="44" spans="2:6" ht="12" customHeight="1">
      <c r="B44" s="172">
        <f>B43+1</f>
        <v>530</v>
      </c>
      <c r="C44" s="204" t="str">
        <f>CONCATENATE("Saldo per 31-12-",'Rentecalc.'!$O$1,)</f>
        <v>Saldo per 31-12-2010</v>
      </c>
      <c r="D44" s="484">
        <f>D43-E43</f>
        <v>0</v>
      </c>
      <c r="E44" s="5"/>
      <c r="F44" s="23"/>
    </row>
    <row r="45" spans="2:14" ht="12" customHeight="1">
      <c r="B45" s="172">
        <f>B44+1</f>
        <v>531</v>
      </c>
      <c r="C45" s="204" t="str">
        <f>CONCATENATE("Totaal regels ",B9," t/m ",B20," (onderdeel A)")</f>
        <v>Totaal regels 503 t/m 514 (onderdeel A)</v>
      </c>
      <c r="D45" s="55"/>
      <c r="E45" s="484">
        <f>SUM(D9:D20)</f>
        <v>0</v>
      </c>
      <c r="F45" s="23"/>
      <c r="J45" s="3"/>
      <c r="K45" s="23"/>
      <c r="L45" s="3"/>
      <c r="M45" s="3"/>
      <c r="N45" s="3"/>
    </row>
    <row r="46" spans="2:14" ht="12.75">
      <c r="B46" s="172">
        <f>B45+1</f>
        <v>532</v>
      </c>
      <c r="C46" s="204" t="s">
        <v>222</v>
      </c>
      <c r="D46" s="56"/>
      <c r="E46" s="485">
        <f>E43-E45</f>
        <v>0</v>
      </c>
      <c r="F46" s="38">
        <f>F43-F44</f>
        <v>0</v>
      </c>
      <c r="J46" s="3"/>
      <c r="K46" s="23"/>
      <c r="L46" s="3"/>
      <c r="M46" s="3"/>
      <c r="N46" s="3"/>
    </row>
    <row r="47" spans="2:14" ht="23.25" customHeight="1">
      <c r="B47" s="624" t="s">
        <v>223</v>
      </c>
      <c r="C47" s="609"/>
      <c r="D47" s="609"/>
      <c r="E47" s="609"/>
      <c r="F47" s="609"/>
      <c r="G47" s="609"/>
      <c r="H47" s="609"/>
      <c r="J47" s="3"/>
      <c r="K47" s="23"/>
      <c r="L47" s="3"/>
      <c r="M47" s="3"/>
      <c r="N47" s="3"/>
    </row>
    <row r="48" spans="2:14" ht="12" customHeight="1">
      <c r="B48" s="91"/>
      <c r="C48" s="212"/>
      <c r="D48" s="5"/>
      <c r="E48" s="5"/>
      <c r="F48" s="5"/>
      <c r="G48" s="344">
        <f>IF('Rentecalc.'!D4=650,1,0)</f>
        <v>0</v>
      </c>
      <c r="H48" s="369" t="str">
        <f>"Pagina "&amp;$J$48&amp;""</f>
        <v>Pagina 6</v>
      </c>
      <c r="J48" s="3">
        <f>J1+1</f>
        <v>6</v>
      </c>
      <c r="K48" s="23"/>
      <c r="L48" s="3"/>
      <c r="M48" s="3"/>
      <c r="N48" s="3"/>
    </row>
    <row r="49" spans="2:14" ht="12" customHeight="1">
      <c r="B49" s="195" t="s">
        <v>202</v>
      </c>
      <c r="C49" s="196" t="s">
        <v>185</v>
      </c>
      <c r="D49" s="5"/>
      <c r="E49" s="5"/>
      <c r="F49" s="5"/>
      <c r="G49" s="5"/>
      <c r="J49" s="163"/>
      <c r="K49" s="163"/>
      <c r="L49" s="163"/>
      <c r="M49" s="163"/>
      <c r="N49" s="163"/>
    </row>
    <row r="50" spans="2:14" ht="12" customHeight="1">
      <c r="B50" s="5"/>
      <c r="C50" s="299" t="s">
        <v>253</v>
      </c>
      <c r="D50" s="23"/>
      <c r="J50" s="163"/>
      <c r="L50" s="163"/>
      <c r="M50" s="163"/>
      <c r="N50" s="163"/>
    </row>
    <row r="51" spans="2:14" ht="12" customHeight="1">
      <c r="B51" s="195"/>
      <c r="C51" s="5" t="s">
        <v>15</v>
      </c>
      <c r="D51" s="23"/>
      <c r="J51" s="3"/>
      <c r="K51" s="23"/>
      <c r="L51" s="3"/>
      <c r="M51" s="3"/>
      <c r="N51" s="3"/>
    </row>
    <row r="52" spans="2:14" ht="12" customHeight="1">
      <c r="B52" s="195"/>
      <c r="D52" s="23"/>
      <c r="J52" s="3"/>
      <c r="K52" s="23"/>
      <c r="L52" s="3"/>
      <c r="M52" s="3"/>
      <c r="N52" s="3"/>
    </row>
    <row r="53" spans="2:14" ht="12" customHeight="1">
      <c r="B53" s="195"/>
      <c r="C53" s="373"/>
      <c r="D53" s="340" t="s">
        <v>101</v>
      </c>
      <c r="E53" s="340" t="s">
        <v>102</v>
      </c>
      <c r="F53" s="257" t="s">
        <v>96</v>
      </c>
      <c r="G53" s="619" t="s">
        <v>75</v>
      </c>
      <c r="H53" s="620"/>
      <c r="J53" s="3"/>
      <c r="K53" s="23"/>
      <c r="L53" s="3"/>
      <c r="M53" s="3"/>
      <c r="N53" s="3"/>
    </row>
    <row r="54" spans="2:14" ht="12" customHeight="1">
      <c r="B54" s="90"/>
      <c r="C54" s="374"/>
      <c r="D54" s="341"/>
      <c r="E54" s="341"/>
      <c r="F54" s="341"/>
      <c r="G54" s="337" t="s">
        <v>95</v>
      </c>
      <c r="H54" s="321" t="s">
        <v>93</v>
      </c>
      <c r="J54" s="3"/>
      <c r="K54" s="23"/>
      <c r="L54" s="3"/>
      <c r="M54" s="3"/>
      <c r="N54" s="3"/>
    </row>
    <row r="55" spans="2:14" ht="12" customHeight="1">
      <c r="B55" s="172">
        <f>600+1</f>
        <v>601</v>
      </c>
      <c r="C55" s="198" t="str">
        <f>CONCATENATE("Stand per 31-12-",'Rentecalc.'!O1-1)</f>
        <v>Stand per 31-12-2009</v>
      </c>
      <c r="D55" s="468"/>
      <c r="E55" s="486"/>
      <c r="F55" s="487">
        <f>D55-E55</f>
        <v>0</v>
      </c>
      <c r="G55" s="347">
        <v>1</v>
      </c>
      <c r="H55" s="479">
        <f>F55*G55</f>
        <v>0</v>
      </c>
      <c r="J55" s="3"/>
      <c r="K55" s="23"/>
      <c r="L55" s="3"/>
      <c r="M55" s="3"/>
      <c r="N55" s="3"/>
    </row>
    <row r="56" spans="2:14" ht="12" customHeight="1">
      <c r="B56" s="172">
        <f aca="true" t="shared" si="5" ref="B56:B72">B55+1</f>
        <v>602</v>
      </c>
      <c r="C56" s="200" t="str">
        <f>CONCATENATE("Geheel afgeschreven in ",'Rentecalc.'!O1-1)</f>
        <v>Geheel afgeschreven in 2009</v>
      </c>
      <c r="D56" s="470"/>
      <c r="E56" s="471"/>
      <c r="F56" s="476">
        <f>D56-E56</f>
        <v>0</v>
      </c>
      <c r="G56" s="213"/>
      <c r="H56" s="480"/>
      <c r="J56" s="3"/>
      <c r="K56" s="23"/>
      <c r="L56" s="3"/>
      <c r="M56" s="3"/>
      <c r="N56" s="3"/>
    </row>
    <row r="57" spans="2:14" ht="12" customHeight="1">
      <c r="B57" s="172">
        <f t="shared" si="5"/>
        <v>603</v>
      </c>
      <c r="C57" s="200" t="str">
        <f>CONCATENATE("Onderhanden werk per  31-12-",'Rentecalc.'!O1-1)</f>
        <v>Onderhanden werk per  31-12-2009</v>
      </c>
      <c r="D57" s="471"/>
      <c r="E57" s="5"/>
      <c r="F57" s="488">
        <f>D57</f>
        <v>0</v>
      </c>
      <c r="G57" s="213">
        <v>1</v>
      </c>
      <c r="H57" s="480">
        <f aca="true" t="shared" si="6" ref="H57:H70">F57*G57</f>
        <v>0</v>
      </c>
      <c r="J57" s="3"/>
      <c r="K57" s="23"/>
      <c r="L57" s="3"/>
      <c r="M57" s="3"/>
      <c r="N57" s="3"/>
    </row>
    <row r="58" spans="2:14" ht="12" customHeight="1">
      <c r="B58" s="172">
        <f t="shared" si="5"/>
        <v>604</v>
      </c>
      <c r="C58" s="200" t="s">
        <v>61</v>
      </c>
      <c r="D58" s="471"/>
      <c r="E58" s="5"/>
      <c r="F58" s="488">
        <f aca="true" t="shared" si="7" ref="F58:F68">D58</f>
        <v>0</v>
      </c>
      <c r="G58" s="207">
        <f>10.5/12</f>
        <v>0.875</v>
      </c>
      <c r="H58" s="480">
        <f t="shared" si="6"/>
        <v>0</v>
      </c>
      <c r="J58" s="3"/>
      <c r="K58" s="23"/>
      <c r="L58" s="3"/>
      <c r="M58" s="3"/>
      <c r="N58" s="3"/>
    </row>
    <row r="59" spans="2:14" ht="12" customHeight="1">
      <c r="B59" s="172">
        <f t="shared" si="5"/>
        <v>605</v>
      </c>
      <c r="C59" s="200" t="s">
        <v>62</v>
      </c>
      <c r="D59" s="471"/>
      <c r="E59" s="5"/>
      <c r="F59" s="488">
        <f t="shared" si="7"/>
        <v>0</v>
      </c>
      <c r="G59" s="207">
        <f>9.5/12</f>
        <v>0.7916666666666666</v>
      </c>
      <c r="H59" s="480">
        <f t="shared" si="6"/>
        <v>0</v>
      </c>
      <c r="J59" s="3"/>
      <c r="K59" s="23"/>
      <c r="L59" s="3"/>
      <c r="M59" s="3"/>
      <c r="N59" s="3"/>
    </row>
    <row r="60" spans="2:14" ht="12" customHeight="1">
      <c r="B60" s="172">
        <f t="shared" si="5"/>
        <v>606</v>
      </c>
      <c r="C60" s="200" t="s">
        <v>63</v>
      </c>
      <c r="D60" s="471"/>
      <c r="E60" s="5"/>
      <c r="F60" s="488">
        <f t="shared" si="7"/>
        <v>0</v>
      </c>
      <c r="G60" s="207">
        <f>8.5/12</f>
        <v>0.7083333333333334</v>
      </c>
      <c r="H60" s="480">
        <f t="shared" si="6"/>
        <v>0</v>
      </c>
      <c r="J60" s="3"/>
      <c r="K60" s="23"/>
      <c r="L60" s="3"/>
      <c r="M60" s="3"/>
      <c r="N60" s="3"/>
    </row>
    <row r="61" spans="2:14" ht="12" customHeight="1">
      <c r="B61" s="172">
        <f t="shared" si="5"/>
        <v>607</v>
      </c>
      <c r="C61" s="200" t="s">
        <v>64</v>
      </c>
      <c r="D61" s="471"/>
      <c r="E61" s="5"/>
      <c r="F61" s="488">
        <f t="shared" si="7"/>
        <v>0</v>
      </c>
      <c r="G61" s="207">
        <f>7.5/12</f>
        <v>0.625</v>
      </c>
      <c r="H61" s="480">
        <f t="shared" si="6"/>
        <v>0</v>
      </c>
      <c r="J61" s="3"/>
      <c r="K61" s="23"/>
      <c r="L61" s="3"/>
      <c r="M61" s="3"/>
      <c r="N61" s="3"/>
    </row>
    <row r="62" spans="2:14" ht="12" customHeight="1">
      <c r="B62" s="172">
        <f t="shared" si="5"/>
        <v>608</v>
      </c>
      <c r="C62" s="200" t="s">
        <v>65</v>
      </c>
      <c r="D62" s="471"/>
      <c r="E62" s="5"/>
      <c r="F62" s="488">
        <f t="shared" si="7"/>
        <v>0</v>
      </c>
      <c r="G62" s="207">
        <f>6.5/12</f>
        <v>0.5416666666666666</v>
      </c>
      <c r="H62" s="480">
        <f t="shared" si="6"/>
        <v>0</v>
      </c>
      <c r="J62" s="3"/>
      <c r="K62" s="23"/>
      <c r="L62" s="3"/>
      <c r="M62" s="3"/>
      <c r="N62" s="3"/>
    </row>
    <row r="63" spans="2:8" ht="12" customHeight="1">
      <c r="B63" s="172">
        <f t="shared" si="5"/>
        <v>609</v>
      </c>
      <c r="C63" s="200" t="s">
        <v>66</v>
      </c>
      <c r="D63" s="471"/>
      <c r="E63" s="5"/>
      <c r="F63" s="488">
        <f t="shared" si="7"/>
        <v>0</v>
      </c>
      <c r="G63" s="207">
        <f>5.5/12</f>
        <v>0.4583333333333333</v>
      </c>
      <c r="H63" s="480">
        <f t="shared" si="6"/>
        <v>0</v>
      </c>
    </row>
    <row r="64" spans="2:8" ht="11.25">
      <c r="B64" s="172">
        <f t="shared" si="5"/>
        <v>610</v>
      </c>
      <c r="C64" s="200" t="s">
        <v>67</v>
      </c>
      <c r="D64" s="471"/>
      <c r="E64" s="5"/>
      <c r="F64" s="488">
        <f t="shared" si="7"/>
        <v>0</v>
      </c>
      <c r="G64" s="207">
        <f>4.5/12</f>
        <v>0.375</v>
      </c>
      <c r="H64" s="480">
        <f t="shared" si="6"/>
        <v>0</v>
      </c>
    </row>
    <row r="65" spans="2:8" ht="11.25">
      <c r="B65" s="172">
        <f t="shared" si="5"/>
        <v>611</v>
      </c>
      <c r="C65" s="200" t="s">
        <v>68</v>
      </c>
      <c r="D65" s="471"/>
      <c r="E65" s="5"/>
      <c r="F65" s="488">
        <f t="shared" si="7"/>
        <v>0</v>
      </c>
      <c r="G65" s="207">
        <f>3.5/12</f>
        <v>0.2916666666666667</v>
      </c>
      <c r="H65" s="480">
        <f t="shared" si="6"/>
        <v>0</v>
      </c>
    </row>
    <row r="66" spans="2:8" ht="11.25">
      <c r="B66" s="172">
        <f t="shared" si="5"/>
        <v>612</v>
      </c>
      <c r="C66" s="200" t="s">
        <v>69</v>
      </c>
      <c r="D66" s="471"/>
      <c r="E66" s="5"/>
      <c r="F66" s="488">
        <f t="shared" si="7"/>
        <v>0</v>
      </c>
      <c r="G66" s="207">
        <f>2.5/12</f>
        <v>0.20833333333333334</v>
      </c>
      <c r="H66" s="480">
        <f t="shared" si="6"/>
        <v>0</v>
      </c>
    </row>
    <row r="67" spans="2:8" ht="11.25">
      <c r="B67" s="172">
        <f t="shared" si="5"/>
        <v>613</v>
      </c>
      <c r="C67" s="200" t="s">
        <v>70</v>
      </c>
      <c r="D67" s="471"/>
      <c r="E67" s="5"/>
      <c r="F67" s="488">
        <f t="shared" si="7"/>
        <v>0</v>
      </c>
      <c r="G67" s="207">
        <f>1.5/12</f>
        <v>0.125</v>
      </c>
      <c r="H67" s="480">
        <f t="shared" si="6"/>
        <v>0</v>
      </c>
    </row>
    <row r="68" spans="2:8" ht="12" customHeight="1">
      <c r="B68" s="172">
        <f t="shared" si="5"/>
        <v>614</v>
      </c>
      <c r="C68" s="200" t="s">
        <v>71</v>
      </c>
      <c r="D68" s="471"/>
      <c r="E68" s="5"/>
      <c r="F68" s="488">
        <f t="shared" si="7"/>
        <v>0</v>
      </c>
      <c r="G68" s="207">
        <f>0.5/12</f>
        <v>0.041666666666666664</v>
      </c>
      <c r="H68" s="480">
        <f t="shared" si="6"/>
        <v>0</v>
      </c>
    </row>
    <row r="69" spans="2:8" ht="12" customHeight="1">
      <c r="B69" s="172">
        <f t="shared" si="5"/>
        <v>615</v>
      </c>
      <c r="C69" s="200" t="s">
        <v>72</v>
      </c>
      <c r="D69" s="471"/>
      <c r="E69" s="5"/>
      <c r="F69" s="488">
        <f>D69</f>
        <v>0</v>
      </c>
      <c r="G69" s="54">
        <f>-0.5/12</f>
        <v>-0.041666666666666664</v>
      </c>
      <c r="H69" s="480">
        <f t="shared" si="6"/>
        <v>0</v>
      </c>
    </row>
    <row r="70" spans="2:8" ht="12" customHeight="1">
      <c r="B70" s="172">
        <f t="shared" si="5"/>
        <v>616</v>
      </c>
      <c r="C70" s="200" t="str">
        <f>CONCATENATE("Afschrijving ",'Rentecalc.'!O1)</f>
        <v>Afschrijving 2010</v>
      </c>
      <c r="D70" s="5"/>
      <c r="E70" s="470"/>
      <c r="F70" s="489">
        <f>E70</f>
        <v>0</v>
      </c>
      <c r="G70" s="213">
        <v>0.5</v>
      </c>
      <c r="H70" s="489">
        <f t="shared" si="6"/>
        <v>0</v>
      </c>
    </row>
    <row r="71" spans="2:7" ht="12" customHeight="1">
      <c r="B71" s="172">
        <f t="shared" si="5"/>
        <v>617</v>
      </c>
      <c r="C71" s="200" t="str">
        <f>CONCATENATE("Onderhanden werk per  31-12-",'Rentecalc.'!O1)</f>
        <v>Onderhanden werk per  31-12-2010</v>
      </c>
      <c r="D71" s="470"/>
      <c r="E71" s="5"/>
      <c r="F71" s="489">
        <f>D71</f>
        <v>0</v>
      </c>
      <c r="G71" s="5"/>
    </row>
    <row r="72" spans="2:8" ht="12" customHeight="1">
      <c r="B72" s="172">
        <f t="shared" si="5"/>
        <v>618</v>
      </c>
      <c r="C72" s="204" t="str">
        <f>CONCATENATE("Geactiveerd per 31-12-",'Rentecalc.'!O1," (regels ",B55," t/m ",B71,")")</f>
        <v>Geactiveerd per 31-12-2010 (regels 601 t/m 617)</v>
      </c>
      <c r="D72" s="484">
        <f>D55-D56+SUM(D57:D69)-D71</f>
        <v>0</v>
      </c>
      <c r="E72" s="490">
        <f>E55-E56+E70</f>
        <v>0</v>
      </c>
      <c r="F72" s="484">
        <f>F55+SUM(F57:F69)-F70-F71</f>
        <v>0</v>
      </c>
      <c r="G72" s="5"/>
      <c r="H72" s="484">
        <f>SUM(H55:H69)-H70</f>
        <v>0</v>
      </c>
    </row>
    <row r="73" ht="12" customHeight="1">
      <c r="B73" s="223"/>
    </row>
    <row r="74" spans="2:6" ht="12" customHeight="1">
      <c r="B74" s="90" t="s">
        <v>109</v>
      </c>
      <c r="C74" s="214" t="s">
        <v>104</v>
      </c>
      <c r="D74" s="215"/>
      <c r="E74" s="216"/>
      <c r="F74" s="216"/>
    </row>
    <row r="75" spans="2:8" ht="12" customHeight="1">
      <c r="B75" s="172">
        <f>B72+1</f>
        <v>619</v>
      </c>
      <c r="C75" s="73" t="str">
        <f>CONCATENATE("Aanvaardbare kosten op kasbasis volgens laatste rekenstaat ",'Rentecalc.'!$O$1," AWBZ én Zvw (voor GGZ)")</f>
        <v>Aanvaardbare kosten op kasbasis volgens laatste rekenstaat 2010 AWBZ én Zvw (voor GGZ)</v>
      </c>
      <c r="D75" s="217"/>
      <c r="E75" s="217"/>
      <c r="F75" s="218"/>
      <c r="G75" s="53"/>
      <c r="H75" s="491"/>
    </row>
    <row r="76" spans="2:8" ht="12" customHeight="1">
      <c r="B76" s="219">
        <f>B75+1</f>
        <v>620</v>
      </c>
      <c r="C76" s="89" t="s">
        <v>256</v>
      </c>
      <c r="D76" s="220"/>
      <c r="E76" s="220"/>
      <c r="F76" s="220"/>
      <c r="G76" s="220"/>
      <c r="H76" s="470"/>
    </row>
    <row r="77" spans="2:8" ht="12" customHeight="1">
      <c r="B77" s="219">
        <f>B76+1</f>
        <v>621</v>
      </c>
      <c r="C77" s="81" t="s">
        <v>108</v>
      </c>
      <c r="D77" s="220"/>
      <c r="E77" s="220"/>
      <c r="F77" s="221"/>
      <c r="G77" s="222"/>
      <c r="H77" s="491"/>
    </row>
    <row r="78" spans="2:8" ht="12" customHeight="1">
      <c r="B78" s="219">
        <f>B77+1</f>
        <v>622</v>
      </c>
      <c r="C78" s="433" t="str">
        <f>CONCATENATE("Normatief werkkapitaal (-/- 7,7% van (regel ",B75," -/- regel ",B76,")) + regel ",B77,")")</f>
        <v>Normatief werkkapitaal (-/- 7,7% van (regel 619 -/- regel 620)) + regel 621)</v>
      </c>
      <c r="D78" s="434"/>
      <c r="E78" s="434"/>
      <c r="F78" s="36"/>
      <c r="G78" s="37"/>
      <c r="H78" s="492">
        <f>(-0.077*(H75-H76))+H77</f>
        <v>0</v>
      </c>
    </row>
    <row r="79" spans="2:8" ht="12" customHeight="1">
      <c r="B79" s="223"/>
      <c r="G79" s="5"/>
      <c r="H79" s="29"/>
    </row>
    <row r="80" ht="12" customHeight="1" hidden="1">
      <c r="H80" s="29"/>
    </row>
    <row r="81" spans="8:11" ht="11.25" hidden="1">
      <c r="H81" s="29"/>
      <c r="J81" s="6"/>
      <c r="K81" s="5"/>
    </row>
    <row r="82" spans="8:11" ht="11.25" hidden="1">
      <c r="H82" s="29"/>
      <c r="K82" s="5"/>
    </row>
    <row r="83" ht="11.25" hidden="1">
      <c r="K83" s="5"/>
    </row>
    <row r="84" ht="11.25" hidden="1">
      <c r="K84" s="59"/>
    </row>
    <row r="85" spans="10:11" ht="11.25" hidden="1">
      <c r="J85" s="3"/>
      <c r="K85" s="3"/>
    </row>
    <row r="86" ht="12" customHeight="1" hidden="1"/>
    <row r="87" ht="11.25" hidden="1"/>
    <row r="88" ht="11.25" hidden="1"/>
    <row r="89" ht="11.25" hidden="1"/>
    <row r="90" ht="11.25" hidden="1"/>
    <row r="91" ht="11.25" customHeight="1" hidden="1"/>
    <row r="92" spans="9:10" ht="11.25" hidden="1">
      <c r="I92" s="6"/>
      <c r="J92" s="6"/>
    </row>
    <row r="93" ht="11.25" hidden="1"/>
    <row r="94" ht="11.25" hidden="1"/>
    <row r="95" ht="11.25" hidden="1"/>
    <row r="96" ht="11.25" hidden="1"/>
    <row r="97" ht="11.25" hidden="1"/>
    <row r="98" ht="11.25" hidden="1"/>
    <row r="99" ht="11.25" hidden="1"/>
    <row r="100" ht="11.25" hidden="1"/>
    <row r="101" ht="11.25" hidden="1"/>
    <row r="102" ht="11.25" hidden="1"/>
    <row r="103" ht="11.25" hidden="1"/>
    <row r="104" ht="11.25" hidden="1"/>
    <row r="105" ht="11.25" hidden="1"/>
    <row r="106" ht="11.25" hidden="1"/>
    <row r="107" ht="11.25" hidden="1"/>
    <row r="108" ht="11.25" hidden="1"/>
    <row r="109" ht="11.25" hidden="1"/>
    <row r="110" ht="11.25" hidden="1"/>
    <row r="111" ht="11.25" hidden="1"/>
    <row r="112" ht="11.25" hidden="1"/>
    <row r="113" ht="11.25" hidden="1"/>
    <row r="114" ht="11.25" hidden="1"/>
    <row r="115" ht="11.25" hidden="1"/>
    <row r="116" ht="11.25" hidden="1"/>
    <row r="117" ht="11.25" hidden="1"/>
    <row r="118" ht="11.25" hidden="1"/>
    <row r="119" ht="11.25" hidden="1"/>
    <row r="120" ht="11.25" hidden="1"/>
    <row r="121" ht="11.25" hidden="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6" customHeight="1" hidden="1"/>
    <row r="142" ht="11.25" hidden="1"/>
    <row r="143" ht="11.25" hidden="1"/>
    <row r="144" ht="11.25" hidden="1"/>
    <row r="145" ht="11.25" hidden="1"/>
    <row r="146" ht="11.25" hidden="1"/>
  </sheetData>
  <sheetProtection password="C7EC" sheet="1" objects="1" scenarios="1"/>
  <mergeCells count="6">
    <mergeCell ref="G5:H5"/>
    <mergeCell ref="G53:H53"/>
    <mergeCell ref="F27:H28"/>
    <mergeCell ref="D27:D29"/>
    <mergeCell ref="E27:E29"/>
    <mergeCell ref="B47:H47"/>
  </mergeCells>
  <conditionalFormatting sqref="J49:N49">
    <cfRule type="expression" priority="1" dxfId="0" stopIfTrue="1">
      <formula>$M49&lt;&gt;""</formula>
    </cfRule>
  </conditionalFormatting>
  <conditionalFormatting sqref="H75:H77 D55:D69 D71 E55:E56 E70 D30:D42 D7:E20 E31:E42">
    <cfRule type="expression" priority="2" dxfId="1" stopIfTrue="1">
      <formula>$F$1=TRUE</formula>
    </cfRule>
  </conditionalFormatting>
  <conditionalFormatting sqref="J50">
    <cfRule type="expression" priority="3" dxfId="0" stopIfTrue="1">
      <formula>#REF!&lt;&gt;""</formula>
    </cfRule>
  </conditionalFormatting>
  <conditionalFormatting sqref="D46:F46">
    <cfRule type="cellIs" priority="4" dxfId="4" operator="notEqual" stopIfTrue="1">
      <formula>0</formula>
    </cfRule>
  </conditionalFormatting>
  <dataValidations count="1">
    <dataValidation type="custom" showInputMessage="1" showErrorMessage="1" errorTitle="Onjuiste invoer" error="Hier kan alleen een geheel bedrag worden ingevuld." sqref="D55:D69 H75:H77 E55:E56 E70 D71 E31:E42 D30:D42 D7:E20">
      <formula1>AND(D55=ROUND(D55,0))</formula1>
    </dataValidation>
  </dataValidations>
  <printOptions/>
  <pageMargins left="0.3937007874015748" right="0.3937007874015748" top="0.7874015748031497" bottom="0.3937007874015748" header="0.5118110236220472" footer="0.5118110236220472"/>
  <pageSetup firstPageNumber="5" useFirstPageNumber="1" horizontalDpi="300" verticalDpi="300" orientation="landscape" paperSize="9" scale="86" r:id="rId2"/>
  <headerFooter alignWithMargins="0">
    <oddHeader>&amp;LAWBZ-BREED CALCULATIEMODEL RENTEKOSTEN 2010
&amp;R&amp;G</oddHeader>
  </headerFooter>
  <ignoredErrors>
    <ignoredError sqref="F7:F20 D21:H21 H30:H42 D43 E45:E46 F71 F46 D72:H72 F55:F69 H78" emptyCellReference="1"/>
    <ignoredError sqref="F70" emptyCellReference="1" formula="1"/>
  </ignoredErrors>
  <legacyDrawingHF r:id="rId1"/>
</worksheet>
</file>

<file path=xl/worksheets/sheet6.xml><?xml version="1.0" encoding="utf-8"?>
<worksheet xmlns="http://schemas.openxmlformats.org/spreadsheetml/2006/main" xmlns:r="http://schemas.openxmlformats.org/officeDocument/2006/relationships">
  <sheetPr codeName="Blad14"/>
  <dimension ref="A1:AP85"/>
  <sheetViews>
    <sheetView showGridLines="0" zoomScaleSheetLayoutView="100" workbookViewId="0" topLeftCell="A1">
      <selection activeCell="F6" sqref="F6"/>
    </sheetView>
  </sheetViews>
  <sheetFormatPr defaultColWidth="9.140625" defaultRowHeight="12.75" zeroHeight="1"/>
  <cols>
    <col min="1" max="1" width="5.7109375" style="29" customWidth="1"/>
    <col min="2" max="2" width="6.421875" style="33" customWidth="1"/>
    <col min="3" max="3" width="16.00390625" style="5" customWidth="1"/>
    <col min="4" max="4" width="12.140625" style="5" customWidth="1"/>
    <col min="5" max="5" width="15.140625" style="2" customWidth="1"/>
    <col min="6" max="7" width="5.8515625" style="5" customWidth="1"/>
    <col min="8" max="8" width="7.8515625" style="5" customWidth="1"/>
    <col min="9" max="9" width="12.140625" style="3" customWidth="1"/>
    <col min="10" max="10" width="10.7109375" style="3" customWidth="1"/>
    <col min="11" max="11" width="4.421875" style="3" customWidth="1"/>
    <col min="12" max="17" width="2.7109375" style="3" customWidth="1"/>
    <col min="18" max="18" width="11.8515625" style="3" customWidth="1"/>
    <col min="19" max="19" width="11.28125" style="3" customWidth="1"/>
    <col min="20" max="20" width="12.421875" style="5" customWidth="1"/>
    <col min="21" max="21" width="14.57421875" style="5" customWidth="1"/>
    <col min="22" max="22" width="3.28125" style="46" customWidth="1"/>
    <col min="23" max="24" width="4.28125" style="155" hidden="1" customWidth="1"/>
    <col min="25" max="25" width="4.7109375" style="155" hidden="1" customWidth="1"/>
    <col min="26" max="28" width="4.57421875" style="155" hidden="1" customWidth="1"/>
    <col min="29" max="29" width="6.28125" style="155" hidden="1" customWidth="1"/>
    <col min="30" max="30" width="7.8515625" style="155" hidden="1" customWidth="1"/>
    <col min="31" max="31" width="7.57421875" style="155" hidden="1" customWidth="1"/>
    <col min="32" max="32" width="13.7109375" style="155" hidden="1" customWidth="1"/>
    <col min="33" max="33" width="12.8515625" style="155" hidden="1" customWidth="1"/>
    <col min="34" max="34" width="13.28125" style="155" hidden="1" customWidth="1"/>
    <col min="35" max="35" width="12.421875" style="155" hidden="1" customWidth="1"/>
    <col min="36" max="36" width="12.8515625" style="155" hidden="1" customWidth="1"/>
    <col min="37" max="37" width="11.8515625" style="155" hidden="1" customWidth="1"/>
    <col min="38" max="39" width="10.28125" style="155" hidden="1" customWidth="1"/>
    <col min="40" max="42" width="10.28125" style="5" hidden="1" customWidth="1"/>
    <col min="43" max="16384" width="0" style="5" hidden="1" customWidth="1"/>
  </cols>
  <sheetData>
    <row r="1" spans="21:22" ht="11.25">
      <c r="U1" s="380" t="str">
        <f>"Pagina "&amp;X2&amp;""</f>
        <v>Pagina 7</v>
      </c>
      <c r="V1" s="438"/>
    </row>
    <row r="2" spans="1:41" s="60" customFormat="1" ht="12.75" customHeight="1">
      <c r="A2" s="378"/>
      <c r="B2" s="90" t="s">
        <v>208</v>
      </c>
      <c r="C2" s="224" t="s">
        <v>285</v>
      </c>
      <c r="D2" s="61"/>
      <c r="E2" s="358"/>
      <c r="R2" s="151" t="b">
        <f>'Rentecalc.'!J4</f>
        <v>1</v>
      </c>
      <c r="V2" s="410"/>
      <c r="W2" s="153"/>
      <c r="X2" s="153">
        <f>'A-D'!J48+1</f>
        <v>7</v>
      </c>
      <c r="Y2" s="153"/>
      <c r="Z2" s="153"/>
      <c r="AA2" s="153"/>
      <c r="AB2" s="153"/>
      <c r="AC2" s="153"/>
      <c r="AD2" s="153"/>
      <c r="AE2" s="153"/>
      <c r="AF2" s="153"/>
      <c r="AG2" s="153"/>
      <c r="AH2" s="153"/>
      <c r="AI2" s="153"/>
      <c r="AJ2" s="153"/>
      <c r="AK2" s="153"/>
      <c r="AL2" s="153"/>
      <c r="AM2" s="153"/>
      <c r="AN2" s="61"/>
      <c r="AO2" s="61"/>
    </row>
    <row r="3" spans="1:41" s="60" customFormat="1" ht="12.75" customHeight="1">
      <c r="A3" s="378"/>
      <c r="B3" s="90"/>
      <c r="C3" s="224"/>
      <c r="D3" s="61"/>
      <c r="E3" s="358"/>
      <c r="R3" s="527"/>
      <c r="S3" s="378"/>
      <c r="T3" s="378"/>
      <c r="U3" s="375"/>
      <c r="V3" s="439"/>
      <c r="W3" s="153"/>
      <c r="X3" s="153"/>
      <c r="Y3" s="153"/>
      <c r="Z3" s="153"/>
      <c r="AA3" s="153"/>
      <c r="AB3" s="153"/>
      <c r="AC3" s="153"/>
      <c r="AD3" s="153"/>
      <c r="AE3" s="153"/>
      <c r="AF3" s="153"/>
      <c r="AG3" s="153"/>
      <c r="AH3" s="153"/>
      <c r="AI3" s="153"/>
      <c r="AJ3" s="153"/>
      <c r="AK3" s="153"/>
      <c r="AL3" s="153"/>
      <c r="AM3" s="153"/>
      <c r="AN3" s="61"/>
      <c r="AO3" s="61"/>
    </row>
    <row r="4" spans="1:39" s="7" customFormat="1" ht="12.75" customHeight="1">
      <c r="A4" s="35"/>
      <c r="B4" s="545"/>
      <c r="C4" s="349" t="s">
        <v>77</v>
      </c>
      <c r="D4" s="349" t="s">
        <v>90</v>
      </c>
      <c r="E4" s="349" t="s">
        <v>18</v>
      </c>
      <c r="F4" s="349" t="s">
        <v>92</v>
      </c>
      <c r="G4" s="349" t="s">
        <v>74</v>
      </c>
      <c r="H4" s="349" t="s">
        <v>21</v>
      </c>
      <c r="I4" s="349" t="s">
        <v>78</v>
      </c>
      <c r="J4" s="629" t="str">
        <f>CONCATENATE("Storting/Aflossing ",'Rentecalc.'!O1)</f>
        <v>Storting/Aflossing 2010</v>
      </c>
      <c r="K4" s="630"/>
      <c r="L4" s="630"/>
      <c r="M4" s="630"/>
      <c r="N4" s="630"/>
      <c r="O4" s="630"/>
      <c r="P4" s="630"/>
      <c r="Q4" s="630"/>
      <c r="R4" s="349" t="s">
        <v>78</v>
      </c>
      <c r="S4" s="349" t="s">
        <v>94</v>
      </c>
      <c r="T4" s="349" t="s">
        <v>26</v>
      </c>
      <c r="U4" s="350" t="s">
        <v>23</v>
      </c>
      <c r="V4" s="440"/>
      <c r="W4" s="154"/>
      <c r="X4" s="154"/>
      <c r="Y4" s="154"/>
      <c r="Z4" s="154"/>
      <c r="AA4" s="154"/>
      <c r="AB4" s="154"/>
      <c r="AC4" s="154"/>
      <c r="AD4" s="154"/>
      <c r="AE4" s="154"/>
      <c r="AF4" s="154"/>
      <c r="AG4" s="154"/>
      <c r="AH4" s="154"/>
      <c r="AI4" s="154"/>
      <c r="AJ4" s="154"/>
      <c r="AK4" s="154"/>
      <c r="AL4" s="154"/>
      <c r="AM4" s="154"/>
    </row>
    <row r="5" spans="2:22" ht="12.75" customHeight="1">
      <c r="B5" s="546"/>
      <c r="C5" s="351"/>
      <c r="D5" s="352" t="s">
        <v>229</v>
      </c>
      <c r="E5" s="352" t="s">
        <v>230</v>
      </c>
      <c r="F5" s="352" t="s">
        <v>19</v>
      </c>
      <c r="G5" s="352" t="s">
        <v>20</v>
      </c>
      <c r="H5" s="352" t="s">
        <v>231</v>
      </c>
      <c r="I5" s="353" t="str">
        <f>CONCATENATE("31-12-",'Rentecalc.'!O1-1," ")</f>
        <v>31-12-2009 </v>
      </c>
      <c r="J5" s="352" t="s">
        <v>93</v>
      </c>
      <c r="K5" s="352" t="s">
        <v>232</v>
      </c>
      <c r="L5" s="635" t="s">
        <v>233</v>
      </c>
      <c r="M5" s="635"/>
      <c r="N5" s="635"/>
      <c r="O5" s="635"/>
      <c r="P5" s="635"/>
      <c r="Q5" s="635"/>
      <c r="R5" s="353" t="str">
        <f>CONCATENATE("31-12-",'Rentecalc.'!O1," ")</f>
        <v>31-12-2010 </v>
      </c>
      <c r="S5" s="354" t="s">
        <v>29</v>
      </c>
      <c r="T5" s="354" t="s">
        <v>22</v>
      </c>
      <c r="U5" s="354" t="s">
        <v>234</v>
      </c>
      <c r="V5" s="440"/>
    </row>
    <row r="6" spans="2:41" ht="12.75" customHeight="1">
      <c r="B6" s="547">
        <v>701</v>
      </c>
      <c r="C6" s="548"/>
      <c r="D6" s="549"/>
      <c r="E6" s="549"/>
      <c r="F6" s="550"/>
      <c r="G6" s="550"/>
      <c r="H6" s="551"/>
      <c r="I6" s="552"/>
      <c r="J6" s="552"/>
      <c r="K6" s="553"/>
      <c r="L6" s="553"/>
      <c r="M6" s="553"/>
      <c r="N6" s="553"/>
      <c r="O6" s="553"/>
      <c r="P6" s="553"/>
      <c r="Q6" s="553"/>
      <c r="R6" s="554">
        <f aca="true" t="shared" si="0" ref="R6:R33">I6-AD6</f>
        <v>0</v>
      </c>
      <c r="S6" s="555">
        <f>S50</f>
        <v>0</v>
      </c>
      <c r="T6" s="554">
        <f>S6*G6/100</f>
        <v>0</v>
      </c>
      <c r="U6" s="556">
        <f>IF(H6="n",T6,F6/100*S6)</f>
        <v>0</v>
      </c>
      <c r="V6" s="446"/>
      <c r="W6" s="435">
        <f aca="true" t="shared" si="1" ref="W6:AB6">IF(L6&gt;0,1,0)</f>
        <v>0</v>
      </c>
      <c r="X6" s="435">
        <f t="shared" si="1"/>
        <v>0</v>
      </c>
      <c r="Y6" s="435">
        <f t="shared" si="1"/>
        <v>0</v>
      </c>
      <c r="Z6" s="435">
        <f t="shared" si="1"/>
        <v>0</v>
      </c>
      <c r="AA6" s="435">
        <f t="shared" si="1"/>
        <v>0</v>
      </c>
      <c r="AB6" s="435">
        <f t="shared" si="1"/>
        <v>0</v>
      </c>
      <c r="AC6" s="435">
        <f>SUM(W6:AB6)</f>
        <v>0</v>
      </c>
      <c r="AD6" s="435">
        <f aca="true" t="shared" si="2" ref="AD6:AD34">AC6*J6</f>
        <v>0</v>
      </c>
      <c r="AL6" s="157"/>
      <c r="AM6" s="157"/>
      <c r="AN6" s="63"/>
      <c r="AO6" s="63"/>
    </row>
    <row r="7" spans="2:41" ht="12.75" customHeight="1">
      <c r="B7" s="547">
        <f>B6+1</f>
        <v>702</v>
      </c>
      <c r="C7" s="557"/>
      <c r="D7" s="558"/>
      <c r="E7" s="558"/>
      <c r="F7" s="559"/>
      <c r="G7" s="559"/>
      <c r="H7" s="560"/>
      <c r="I7" s="561"/>
      <c r="J7" s="561"/>
      <c r="K7" s="562"/>
      <c r="L7" s="562"/>
      <c r="M7" s="562"/>
      <c r="N7" s="562"/>
      <c r="O7" s="562"/>
      <c r="P7" s="562"/>
      <c r="Q7" s="562"/>
      <c r="R7" s="563">
        <f t="shared" si="0"/>
        <v>0</v>
      </c>
      <c r="S7" s="555">
        <f>S51</f>
        <v>0</v>
      </c>
      <c r="T7" s="563">
        <f>S7*G7/100</f>
        <v>0</v>
      </c>
      <c r="U7" s="555">
        <f aca="true" t="shared" si="3" ref="U7:U33">IF(H7="n",T7,F7/100*S7)</f>
        <v>0</v>
      </c>
      <c r="V7" s="446"/>
      <c r="W7" s="435">
        <f aca="true" t="shared" si="4" ref="W7:AB9">IF(L7&gt;0,1,0)</f>
        <v>0</v>
      </c>
      <c r="X7" s="435">
        <f t="shared" si="4"/>
        <v>0</v>
      </c>
      <c r="Y7" s="435">
        <f t="shared" si="4"/>
        <v>0</v>
      </c>
      <c r="Z7" s="435">
        <f t="shared" si="4"/>
        <v>0</v>
      </c>
      <c r="AA7" s="435">
        <f t="shared" si="4"/>
        <v>0</v>
      </c>
      <c r="AB7" s="435">
        <f t="shared" si="4"/>
        <v>0</v>
      </c>
      <c r="AC7" s="435">
        <f>SUM(W7:AB7)</f>
        <v>0</v>
      </c>
      <c r="AD7" s="435">
        <f t="shared" si="2"/>
        <v>0</v>
      </c>
      <c r="AL7" s="157"/>
      <c r="AM7" s="157"/>
      <c r="AN7" s="63"/>
      <c r="AO7" s="63"/>
    </row>
    <row r="8" spans="2:41" ht="12.75" customHeight="1">
      <c r="B8" s="547">
        <f aca="true" t="shared" si="5" ref="B8:B38">B7+1</f>
        <v>703</v>
      </c>
      <c r="C8" s="557"/>
      <c r="D8" s="558"/>
      <c r="E8" s="558"/>
      <c r="F8" s="559"/>
      <c r="G8" s="559"/>
      <c r="H8" s="560"/>
      <c r="I8" s="561"/>
      <c r="J8" s="561"/>
      <c r="K8" s="562"/>
      <c r="L8" s="562"/>
      <c r="M8" s="562"/>
      <c r="N8" s="562"/>
      <c r="O8" s="562"/>
      <c r="P8" s="562"/>
      <c r="Q8" s="562"/>
      <c r="R8" s="563">
        <f t="shared" si="0"/>
        <v>0</v>
      </c>
      <c r="S8" s="555">
        <f>S52</f>
        <v>0</v>
      </c>
      <c r="T8" s="563">
        <f aca="true" t="shared" si="6" ref="T8:T33">S8*G8/100</f>
        <v>0</v>
      </c>
      <c r="U8" s="555">
        <f t="shared" si="3"/>
        <v>0</v>
      </c>
      <c r="V8" s="446"/>
      <c r="W8" s="435">
        <f t="shared" si="4"/>
        <v>0</v>
      </c>
      <c r="X8" s="435">
        <f t="shared" si="4"/>
        <v>0</v>
      </c>
      <c r="Y8" s="435">
        <f t="shared" si="4"/>
        <v>0</v>
      </c>
      <c r="Z8" s="435">
        <f t="shared" si="4"/>
        <v>0</v>
      </c>
      <c r="AA8" s="435">
        <f t="shared" si="4"/>
        <v>0</v>
      </c>
      <c r="AB8" s="435">
        <f t="shared" si="4"/>
        <v>0</v>
      </c>
      <c r="AC8" s="435">
        <f>SUM(W8:AB8)</f>
        <v>0</v>
      </c>
      <c r="AD8" s="435">
        <f t="shared" si="2"/>
        <v>0</v>
      </c>
      <c r="AL8" s="157"/>
      <c r="AM8" s="157"/>
      <c r="AN8" s="63"/>
      <c r="AO8" s="63"/>
    </row>
    <row r="9" spans="2:41" ht="12.75" customHeight="1">
      <c r="B9" s="547">
        <f t="shared" si="5"/>
        <v>704</v>
      </c>
      <c r="C9" s="557"/>
      <c r="D9" s="558"/>
      <c r="E9" s="558"/>
      <c r="F9" s="559"/>
      <c r="G9" s="559"/>
      <c r="H9" s="560"/>
      <c r="I9" s="561"/>
      <c r="J9" s="561"/>
      <c r="K9" s="562"/>
      <c r="L9" s="562"/>
      <c r="M9" s="562"/>
      <c r="N9" s="562"/>
      <c r="O9" s="562"/>
      <c r="P9" s="562"/>
      <c r="Q9" s="562"/>
      <c r="R9" s="563">
        <f t="shared" si="0"/>
        <v>0</v>
      </c>
      <c r="S9" s="555">
        <f>S53</f>
        <v>0</v>
      </c>
      <c r="T9" s="563">
        <f t="shared" si="6"/>
        <v>0</v>
      </c>
      <c r="U9" s="555">
        <f t="shared" si="3"/>
        <v>0</v>
      </c>
      <c r="V9" s="446"/>
      <c r="W9" s="435">
        <f t="shared" si="4"/>
        <v>0</v>
      </c>
      <c r="X9" s="435">
        <f t="shared" si="4"/>
        <v>0</v>
      </c>
      <c r="Y9" s="435">
        <f t="shared" si="4"/>
        <v>0</v>
      </c>
      <c r="Z9" s="435">
        <f t="shared" si="4"/>
        <v>0</v>
      </c>
      <c r="AA9" s="435">
        <f t="shared" si="4"/>
        <v>0</v>
      </c>
      <c r="AB9" s="435">
        <f t="shared" si="4"/>
        <v>0</v>
      </c>
      <c r="AC9" s="435">
        <f>SUM(W9:AB9)</f>
        <v>0</v>
      </c>
      <c r="AD9" s="435">
        <f t="shared" si="2"/>
        <v>0</v>
      </c>
      <c r="AL9" s="157"/>
      <c r="AM9" s="157"/>
      <c r="AN9" s="63"/>
      <c r="AO9" s="63"/>
    </row>
    <row r="10" spans="2:41" ht="12.75" customHeight="1">
      <c r="B10" s="547">
        <f t="shared" si="5"/>
        <v>705</v>
      </c>
      <c r="C10" s="557"/>
      <c r="D10" s="558"/>
      <c r="E10" s="558"/>
      <c r="F10" s="559"/>
      <c r="G10" s="559"/>
      <c r="H10" s="560"/>
      <c r="I10" s="561"/>
      <c r="J10" s="561"/>
      <c r="K10" s="562"/>
      <c r="L10" s="562"/>
      <c r="M10" s="562"/>
      <c r="N10" s="562"/>
      <c r="O10" s="562"/>
      <c r="P10" s="562"/>
      <c r="Q10" s="562"/>
      <c r="R10" s="563">
        <f t="shared" si="0"/>
        <v>0</v>
      </c>
      <c r="S10" s="555">
        <f>S54</f>
        <v>0</v>
      </c>
      <c r="T10" s="563">
        <f t="shared" si="6"/>
        <v>0</v>
      </c>
      <c r="U10" s="555">
        <f t="shared" si="3"/>
        <v>0</v>
      </c>
      <c r="V10" s="446"/>
      <c r="W10" s="435">
        <f aca="true" t="shared" si="7" ref="W10:W34">IF(L10&gt;0,1,0)</f>
        <v>0</v>
      </c>
      <c r="X10" s="435">
        <f aca="true" t="shared" si="8" ref="X10:X34">IF(M10&gt;0,1,0)</f>
        <v>0</v>
      </c>
      <c r="Y10" s="435">
        <f aca="true" t="shared" si="9" ref="Y10:Y34">IF(N10&gt;0,1,0)</f>
        <v>0</v>
      </c>
      <c r="Z10" s="435">
        <f aca="true" t="shared" si="10" ref="Z10:Z34">IF(O10&gt;0,1,0)</f>
        <v>0</v>
      </c>
      <c r="AA10" s="435">
        <f aca="true" t="shared" si="11" ref="AA10:AA34">IF(P10&gt;0,1,0)</f>
        <v>0</v>
      </c>
      <c r="AB10" s="435">
        <f aca="true" t="shared" si="12" ref="AB10:AB34">IF(Q10&gt;0,1,0)</f>
        <v>0</v>
      </c>
      <c r="AC10" s="435">
        <f aca="true" t="shared" si="13" ref="AC10:AC34">SUM(W10:AB10)</f>
        <v>0</v>
      </c>
      <c r="AD10" s="435">
        <f t="shared" si="2"/>
        <v>0</v>
      </c>
      <c r="AL10" s="157"/>
      <c r="AM10" s="157"/>
      <c r="AN10" s="63"/>
      <c r="AO10" s="63"/>
    </row>
    <row r="11" spans="2:41" ht="12.75" customHeight="1">
      <c r="B11" s="547">
        <f t="shared" si="5"/>
        <v>706</v>
      </c>
      <c r="C11" s="557"/>
      <c r="D11" s="558"/>
      <c r="E11" s="558"/>
      <c r="F11" s="559"/>
      <c r="G11" s="559"/>
      <c r="H11" s="560"/>
      <c r="I11" s="561"/>
      <c r="J11" s="561"/>
      <c r="K11" s="562"/>
      <c r="L11" s="562"/>
      <c r="M11" s="562"/>
      <c r="N11" s="562"/>
      <c r="O11" s="562"/>
      <c r="P11" s="562"/>
      <c r="Q11" s="562"/>
      <c r="R11" s="563">
        <f t="shared" si="0"/>
        <v>0</v>
      </c>
      <c r="S11" s="555">
        <f aca="true" t="shared" si="14" ref="S11:S33">S55</f>
        <v>0</v>
      </c>
      <c r="T11" s="563">
        <f t="shared" si="6"/>
        <v>0</v>
      </c>
      <c r="U11" s="555">
        <f t="shared" si="3"/>
        <v>0</v>
      </c>
      <c r="V11" s="446"/>
      <c r="W11" s="435">
        <f t="shared" si="7"/>
        <v>0</v>
      </c>
      <c r="X11" s="435">
        <f t="shared" si="8"/>
        <v>0</v>
      </c>
      <c r="Y11" s="435">
        <f t="shared" si="9"/>
        <v>0</v>
      </c>
      <c r="Z11" s="435">
        <f t="shared" si="10"/>
        <v>0</v>
      </c>
      <c r="AA11" s="435">
        <f t="shared" si="11"/>
        <v>0</v>
      </c>
      <c r="AB11" s="435">
        <f t="shared" si="12"/>
        <v>0</v>
      </c>
      <c r="AC11" s="435">
        <f t="shared" si="13"/>
        <v>0</v>
      </c>
      <c r="AD11" s="435">
        <f t="shared" si="2"/>
        <v>0</v>
      </c>
      <c r="AL11" s="157"/>
      <c r="AM11" s="157"/>
      <c r="AN11" s="63"/>
      <c r="AO11" s="63"/>
    </row>
    <row r="12" spans="2:41" ht="12.75" customHeight="1">
      <c r="B12" s="547">
        <f t="shared" si="5"/>
        <v>707</v>
      </c>
      <c r="C12" s="557"/>
      <c r="D12" s="558"/>
      <c r="E12" s="558"/>
      <c r="F12" s="559"/>
      <c r="G12" s="559"/>
      <c r="H12" s="560"/>
      <c r="I12" s="561"/>
      <c r="J12" s="561"/>
      <c r="K12" s="562"/>
      <c r="L12" s="562"/>
      <c r="M12" s="562"/>
      <c r="N12" s="562"/>
      <c r="O12" s="562"/>
      <c r="P12" s="562"/>
      <c r="Q12" s="562"/>
      <c r="R12" s="563">
        <f t="shared" si="0"/>
        <v>0</v>
      </c>
      <c r="S12" s="555">
        <f t="shared" si="14"/>
        <v>0</v>
      </c>
      <c r="T12" s="563">
        <f t="shared" si="6"/>
        <v>0</v>
      </c>
      <c r="U12" s="555">
        <f t="shared" si="3"/>
        <v>0</v>
      </c>
      <c r="V12" s="446"/>
      <c r="W12" s="435">
        <f t="shared" si="7"/>
        <v>0</v>
      </c>
      <c r="X12" s="435">
        <f t="shared" si="8"/>
        <v>0</v>
      </c>
      <c r="Y12" s="435">
        <f t="shared" si="9"/>
        <v>0</v>
      </c>
      <c r="Z12" s="435">
        <f t="shared" si="10"/>
        <v>0</v>
      </c>
      <c r="AA12" s="435">
        <f t="shared" si="11"/>
        <v>0</v>
      </c>
      <c r="AB12" s="435">
        <f t="shared" si="12"/>
        <v>0</v>
      </c>
      <c r="AC12" s="435">
        <f t="shared" si="13"/>
        <v>0</v>
      </c>
      <c r="AD12" s="435">
        <f t="shared" si="2"/>
        <v>0</v>
      </c>
      <c r="AL12" s="157"/>
      <c r="AM12" s="157"/>
      <c r="AN12" s="63"/>
      <c r="AO12" s="63"/>
    </row>
    <row r="13" spans="2:41" ht="12.75" customHeight="1">
      <c r="B13" s="547">
        <f t="shared" si="5"/>
        <v>708</v>
      </c>
      <c r="C13" s="557"/>
      <c r="D13" s="558"/>
      <c r="E13" s="558"/>
      <c r="F13" s="559"/>
      <c r="G13" s="559"/>
      <c r="H13" s="560"/>
      <c r="I13" s="561"/>
      <c r="J13" s="561"/>
      <c r="K13" s="562"/>
      <c r="L13" s="562"/>
      <c r="M13" s="562"/>
      <c r="N13" s="562"/>
      <c r="O13" s="562"/>
      <c r="P13" s="562"/>
      <c r="Q13" s="562"/>
      <c r="R13" s="563">
        <f t="shared" si="0"/>
        <v>0</v>
      </c>
      <c r="S13" s="555">
        <f t="shared" si="14"/>
        <v>0</v>
      </c>
      <c r="T13" s="563">
        <f t="shared" si="6"/>
        <v>0</v>
      </c>
      <c r="U13" s="555">
        <f t="shared" si="3"/>
        <v>0</v>
      </c>
      <c r="V13" s="446"/>
      <c r="W13" s="435">
        <f t="shared" si="7"/>
        <v>0</v>
      </c>
      <c r="X13" s="435">
        <f t="shared" si="8"/>
        <v>0</v>
      </c>
      <c r="Y13" s="435">
        <f t="shared" si="9"/>
        <v>0</v>
      </c>
      <c r="Z13" s="435">
        <f t="shared" si="10"/>
        <v>0</v>
      </c>
      <c r="AA13" s="435">
        <f t="shared" si="11"/>
        <v>0</v>
      </c>
      <c r="AB13" s="435">
        <f t="shared" si="12"/>
        <v>0</v>
      </c>
      <c r="AC13" s="435">
        <f t="shared" si="13"/>
        <v>0</v>
      </c>
      <c r="AD13" s="435">
        <f t="shared" si="2"/>
        <v>0</v>
      </c>
      <c r="AL13" s="157"/>
      <c r="AM13" s="157"/>
      <c r="AN13" s="63"/>
      <c r="AO13" s="63"/>
    </row>
    <row r="14" spans="2:41" ht="12.75" customHeight="1">
      <c r="B14" s="547">
        <f t="shared" si="5"/>
        <v>709</v>
      </c>
      <c r="C14" s="557"/>
      <c r="D14" s="558"/>
      <c r="E14" s="558"/>
      <c r="F14" s="559"/>
      <c r="G14" s="559"/>
      <c r="H14" s="560"/>
      <c r="I14" s="561"/>
      <c r="J14" s="561"/>
      <c r="K14" s="562"/>
      <c r="L14" s="562"/>
      <c r="M14" s="562"/>
      <c r="N14" s="562"/>
      <c r="O14" s="562"/>
      <c r="P14" s="562"/>
      <c r="Q14" s="562"/>
      <c r="R14" s="563">
        <f t="shared" si="0"/>
        <v>0</v>
      </c>
      <c r="S14" s="555">
        <f t="shared" si="14"/>
        <v>0</v>
      </c>
      <c r="T14" s="563">
        <f t="shared" si="6"/>
        <v>0</v>
      </c>
      <c r="U14" s="555">
        <f t="shared" si="3"/>
        <v>0</v>
      </c>
      <c r="V14" s="446"/>
      <c r="W14" s="435">
        <f t="shared" si="7"/>
        <v>0</v>
      </c>
      <c r="X14" s="435">
        <f t="shared" si="8"/>
        <v>0</v>
      </c>
      <c r="Y14" s="435">
        <f t="shared" si="9"/>
        <v>0</v>
      </c>
      <c r="Z14" s="435">
        <f t="shared" si="10"/>
        <v>0</v>
      </c>
      <c r="AA14" s="435">
        <f t="shared" si="11"/>
        <v>0</v>
      </c>
      <c r="AB14" s="435">
        <f t="shared" si="12"/>
        <v>0</v>
      </c>
      <c r="AC14" s="435">
        <f t="shared" si="13"/>
        <v>0</v>
      </c>
      <c r="AD14" s="435">
        <f t="shared" si="2"/>
        <v>0</v>
      </c>
      <c r="AL14" s="157"/>
      <c r="AM14" s="157"/>
      <c r="AN14" s="63"/>
      <c r="AO14" s="63"/>
    </row>
    <row r="15" spans="2:41" ht="12.75" customHeight="1">
      <c r="B15" s="547">
        <f t="shared" si="5"/>
        <v>710</v>
      </c>
      <c r="C15" s="557"/>
      <c r="D15" s="558"/>
      <c r="E15" s="558"/>
      <c r="F15" s="559"/>
      <c r="G15" s="559"/>
      <c r="H15" s="560"/>
      <c r="I15" s="561"/>
      <c r="J15" s="561"/>
      <c r="K15" s="562"/>
      <c r="L15" s="562"/>
      <c r="M15" s="562"/>
      <c r="N15" s="562"/>
      <c r="O15" s="562"/>
      <c r="P15" s="562"/>
      <c r="Q15" s="562"/>
      <c r="R15" s="563">
        <f t="shared" si="0"/>
        <v>0</v>
      </c>
      <c r="S15" s="555">
        <f t="shared" si="14"/>
        <v>0</v>
      </c>
      <c r="T15" s="563">
        <f t="shared" si="6"/>
        <v>0</v>
      </c>
      <c r="U15" s="555">
        <f t="shared" si="3"/>
        <v>0</v>
      </c>
      <c r="V15" s="446"/>
      <c r="W15" s="435">
        <f t="shared" si="7"/>
        <v>0</v>
      </c>
      <c r="X15" s="435">
        <f t="shared" si="8"/>
        <v>0</v>
      </c>
      <c r="Y15" s="435">
        <f t="shared" si="9"/>
        <v>0</v>
      </c>
      <c r="Z15" s="435">
        <f t="shared" si="10"/>
        <v>0</v>
      </c>
      <c r="AA15" s="435">
        <f t="shared" si="11"/>
        <v>0</v>
      </c>
      <c r="AB15" s="435">
        <f t="shared" si="12"/>
        <v>0</v>
      </c>
      <c r="AC15" s="435">
        <f t="shared" si="13"/>
        <v>0</v>
      </c>
      <c r="AD15" s="435">
        <f t="shared" si="2"/>
        <v>0</v>
      </c>
      <c r="AL15" s="157"/>
      <c r="AM15" s="157"/>
      <c r="AN15" s="63"/>
      <c r="AO15" s="63"/>
    </row>
    <row r="16" spans="2:41" ht="12.75" customHeight="1">
      <c r="B16" s="547">
        <f t="shared" si="5"/>
        <v>711</v>
      </c>
      <c r="C16" s="557"/>
      <c r="D16" s="558"/>
      <c r="E16" s="558"/>
      <c r="F16" s="559"/>
      <c r="G16" s="559"/>
      <c r="H16" s="560"/>
      <c r="I16" s="561"/>
      <c r="J16" s="561"/>
      <c r="K16" s="562"/>
      <c r="L16" s="562"/>
      <c r="M16" s="562"/>
      <c r="N16" s="562"/>
      <c r="O16" s="562"/>
      <c r="P16" s="562"/>
      <c r="Q16" s="562"/>
      <c r="R16" s="563">
        <f t="shared" si="0"/>
        <v>0</v>
      </c>
      <c r="S16" s="555">
        <f t="shared" si="14"/>
        <v>0</v>
      </c>
      <c r="T16" s="563">
        <f t="shared" si="6"/>
        <v>0</v>
      </c>
      <c r="U16" s="555">
        <f t="shared" si="3"/>
        <v>0</v>
      </c>
      <c r="V16" s="446"/>
      <c r="W16" s="435">
        <f t="shared" si="7"/>
        <v>0</v>
      </c>
      <c r="X16" s="435">
        <f t="shared" si="8"/>
        <v>0</v>
      </c>
      <c r="Y16" s="435">
        <f t="shared" si="9"/>
        <v>0</v>
      </c>
      <c r="Z16" s="435">
        <f t="shared" si="10"/>
        <v>0</v>
      </c>
      <c r="AA16" s="435">
        <f t="shared" si="11"/>
        <v>0</v>
      </c>
      <c r="AB16" s="435">
        <f t="shared" si="12"/>
        <v>0</v>
      </c>
      <c r="AC16" s="435">
        <f t="shared" si="13"/>
        <v>0</v>
      </c>
      <c r="AD16" s="435">
        <f t="shared" si="2"/>
        <v>0</v>
      </c>
      <c r="AL16" s="157"/>
      <c r="AM16" s="157"/>
      <c r="AN16" s="63"/>
      <c r="AO16" s="63"/>
    </row>
    <row r="17" spans="2:41" ht="12.75" customHeight="1">
      <c r="B17" s="547">
        <f t="shared" si="5"/>
        <v>712</v>
      </c>
      <c r="C17" s="557"/>
      <c r="D17" s="558"/>
      <c r="E17" s="558"/>
      <c r="F17" s="559"/>
      <c r="G17" s="559"/>
      <c r="H17" s="560"/>
      <c r="I17" s="561"/>
      <c r="J17" s="561"/>
      <c r="K17" s="562"/>
      <c r="L17" s="562"/>
      <c r="M17" s="562"/>
      <c r="N17" s="562"/>
      <c r="O17" s="562"/>
      <c r="P17" s="562"/>
      <c r="Q17" s="562"/>
      <c r="R17" s="563">
        <f t="shared" si="0"/>
        <v>0</v>
      </c>
      <c r="S17" s="555">
        <f t="shared" si="14"/>
        <v>0</v>
      </c>
      <c r="T17" s="563">
        <f t="shared" si="6"/>
        <v>0</v>
      </c>
      <c r="U17" s="555">
        <f t="shared" si="3"/>
        <v>0</v>
      </c>
      <c r="V17" s="446"/>
      <c r="W17" s="435">
        <f t="shared" si="7"/>
        <v>0</v>
      </c>
      <c r="X17" s="435">
        <f t="shared" si="8"/>
        <v>0</v>
      </c>
      <c r="Y17" s="435">
        <f t="shared" si="9"/>
        <v>0</v>
      </c>
      <c r="Z17" s="435">
        <f t="shared" si="10"/>
        <v>0</v>
      </c>
      <c r="AA17" s="435">
        <f t="shared" si="11"/>
        <v>0</v>
      </c>
      <c r="AB17" s="435">
        <f t="shared" si="12"/>
        <v>0</v>
      </c>
      <c r="AC17" s="435">
        <f t="shared" si="13"/>
        <v>0</v>
      </c>
      <c r="AD17" s="435">
        <f t="shared" si="2"/>
        <v>0</v>
      </c>
      <c r="AL17" s="157"/>
      <c r="AM17" s="157"/>
      <c r="AN17" s="63"/>
      <c r="AO17" s="63"/>
    </row>
    <row r="18" spans="2:41" ht="12.75" customHeight="1">
      <c r="B18" s="547">
        <f t="shared" si="5"/>
        <v>713</v>
      </c>
      <c r="C18" s="557"/>
      <c r="D18" s="558"/>
      <c r="E18" s="558"/>
      <c r="F18" s="559"/>
      <c r="G18" s="559"/>
      <c r="H18" s="560"/>
      <c r="I18" s="561"/>
      <c r="J18" s="561"/>
      <c r="K18" s="562"/>
      <c r="L18" s="562"/>
      <c r="M18" s="562"/>
      <c r="N18" s="562"/>
      <c r="O18" s="562"/>
      <c r="P18" s="562"/>
      <c r="Q18" s="562"/>
      <c r="R18" s="563">
        <f t="shared" si="0"/>
        <v>0</v>
      </c>
      <c r="S18" s="555">
        <f t="shared" si="14"/>
        <v>0</v>
      </c>
      <c r="T18" s="563">
        <f t="shared" si="6"/>
        <v>0</v>
      </c>
      <c r="U18" s="555">
        <f t="shared" si="3"/>
        <v>0</v>
      </c>
      <c r="V18" s="446"/>
      <c r="W18" s="435">
        <f t="shared" si="7"/>
        <v>0</v>
      </c>
      <c r="X18" s="435">
        <f t="shared" si="8"/>
        <v>0</v>
      </c>
      <c r="Y18" s="435">
        <f t="shared" si="9"/>
        <v>0</v>
      </c>
      <c r="Z18" s="435">
        <f t="shared" si="10"/>
        <v>0</v>
      </c>
      <c r="AA18" s="435">
        <f t="shared" si="11"/>
        <v>0</v>
      </c>
      <c r="AB18" s="435">
        <f t="shared" si="12"/>
        <v>0</v>
      </c>
      <c r="AC18" s="435">
        <f t="shared" si="13"/>
        <v>0</v>
      </c>
      <c r="AD18" s="435">
        <f t="shared" si="2"/>
        <v>0</v>
      </c>
      <c r="AL18" s="157"/>
      <c r="AM18" s="157"/>
      <c r="AN18" s="63"/>
      <c r="AO18" s="63"/>
    </row>
    <row r="19" spans="2:41" ht="12.75" customHeight="1">
      <c r="B19" s="547">
        <f t="shared" si="5"/>
        <v>714</v>
      </c>
      <c r="C19" s="557"/>
      <c r="D19" s="558"/>
      <c r="E19" s="558"/>
      <c r="F19" s="559"/>
      <c r="G19" s="559"/>
      <c r="H19" s="560"/>
      <c r="I19" s="561"/>
      <c r="J19" s="561"/>
      <c r="K19" s="562"/>
      <c r="L19" s="562"/>
      <c r="M19" s="562"/>
      <c r="N19" s="562"/>
      <c r="O19" s="562"/>
      <c r="P19" s="562"/>
      <c r="Q19" s="562"/>
      <c r="R19" s="563">
        <f t="shared" si="0"/>
        <v>0</v>
      </c>
      <c r="S19" s="555">
        <f t="shared" si="14"/>
        <v>0</v>
      </c>
      <c r="T19" s="563">
        <f t="shared" si="6"/>
        <v>0</v>
      </c>
      <c r="U19" s="555">
        <f t="shared" si="3"/>
        <v>0</v>
      </c>
      <c r="V19" s="446"/>
      <c r="W19" s="435">
        <f t="shared" si="7"/>
        <v>0</v>
      </c>
      <c r="X19" s="435">
        <f t="shared" si="8"/>
        <v>0</v>
      </c>
      <c r="Y19" s="435">
        <f t="shared" si="9"/>
        <v>0</v>
      </c>
      <c r="Z19" s="435">
        <f t="shared" si="10"/>
        <v>0</v>
      </c>
      <c r="AA19" s="435">
        <f t="shared" si="11"/>
        <v>0</v>
      </c>
      <c r="AB19" s="435">
        <f t="shared" si="12"/>
        <v>0</v>
      </c>
      <c r="AC19" s="435">
        <f t="shared" si="13"/>
        <v>0</v>
      </c>
      <c r="AD19" s="435">
        <f t="shared" si="2"/>
        <v>0</v>
      </c>
      <c r="AL19" s="157"/>
      <c r="AM19" s="157"/>
      <c r="AN19" s="63"/>
      <c r="AO19" s="63"/>
    </row>
    <row r="20" spans="2:41" ht="12.75" customHeight="1">
      <c r="B20" s="547">
        <f t="shared" si="5"/>
        <v>715</v>
      </c>
      <c r="C20" s="557"/>
      <c r="D20" s="558"/>
      <c r="E20" s="558"/>
      <c r="F20" s="559"/>
      <c r="G20" s="559"/>
      <c r="H20" s="560"/>
      <c r="I20" s="561"/>
      <c r="J20" s="561"/>
      <c r="K20" s="562"/>
      <c r="L20" s="562"/>
      <c r="M20" s="562"/>
      <c r="N20" s="562"/>
      <c r="O20" s="562"/>
      <c r="P20" s="562"/>
      <c r="Q20" s="562"/>
      <c r="R20" s="563">
        <f t="shared" si="0"/>
        <v>0</v>
      </c>
      <c r="S20" s="555">
        <f t="shared" si="14"/>
        <v>0</v>
      </c>
      <c r="T20" s="563">
        <f>S20*G20/100</f>
        <v>0</v>
      </c>
      <c r="U20" s="555">
        <f>IF(H20="n",T20,F20/100*S20)</f>
        <v>0</v>
      </c>
      <c r="V20" s="446"/>
      <c r="W20" s="435">
        <f t="shared" si="7"/>
        <v>0</v>
      </c>
      <c r="X20" s="435">
        <f t="shared" si="8"/>
        <v>0</v>
      </c>
      <c r="Y20" s="435">
        <f t="shared" si="9"/>
        <v>0</v>
      </c>
      <c r="Z20" s="435">
        <f t="shared" si="10"/>
        <v>0</v>
      </c>
      <c r="AA20" s="435">
        <f t="shared" si="11"/>
        <v>0</v>
      </c>
      <c r="AB20" s="435">
        <f t="shared" si="12"/>
        <v>0</v>
      </c>
      <c r="AC20" s="435">
        <f t="shared" si="13"/>
        <v>0</v>
      </c>
      <c r="AD20" s="435">
        <f t="shared" si="2"/>
        <v>0</v>
      </c>
      <c r="AL20" s="157"/>
      <c r="AM20" s="157"/>
      <c r="AN20" s="63"/>
      <c r="AO20" s="63"/>
    </row>
    <row r="21" spans="2:41" ht="12.75" customHeight="1">
      <c r="B21" s="547">
        <f t="shared" si="5"/>
        <v>716</v>
      </c>
      <c r="C21" s="557"/>
      <c r="D21" s="558"/>
      <c r="E21" s="558"/>
      <c r="F21" s="559"/>
      <c r="G21" s="559"/>
      <c r="H21" s="560"/>
      <c r="I21" s="561"/>
      <c r="J21" s="561"/>
      <c r="K21" s="562"/>
      <c r="L21" s="562"/>
      <c r="M21" s="562"/>
      <c r="N21" s="562"/>
      <c r="O21" s="562"/>
      <c r="P21" s="562"/>
      <c r="Q21" s="562"/>
      <c r="R21" s="563">
        <f t="shared" si="0"/>
        <v>0</v>
      </c>
      <c r="S21" s="555">
        <f t="shared" si="14"/>
        <v>0</v>
      </c>
      <c r="T21" s="563">
        <f>S21*G21/100</f>
        <v>0</v>
      </c>
      <c r="U21" s="555">
        <f>IF(H21="n",T21,F21/100*S21)</f>
        <v>0</v>
      </c>
      <c r="V21" s="446"/>
      <c r="W21" s="435">
        <f t="shared" si="7"/>
        <v>0</v>
      </c>
      <c r="X21" s="435">
        <f t="shared" si="8"/>
        <v>0</v>
      </c>
      <c r="Y21" s="435">
        <f t="shared" si="9"/>
        <v>0</v>
      </c>
      <c r="Z21" s="435">
        <f t="shared" si="10"/>
        <v>0</v>
      </c>
      <c r="AA21" s="435">
        <f t="shared" si="11"/>
        <v>0</v>
      </c>
      <c r="AB21" s="435">
        <f t="shared" si="12"/>
        <v>0</v>
      </c>
      <c r="AC21" s="435">
        <f t="shared" si="13"/>
        <v>0</v>
      </c>
      <c r="AD21" s="435">
        <f t="shared" si="2"/>
        <v>0</v>
      </c>
      <c r="AL21" s="157"/>
      <c r="AM21" s="157"/>
      <c r="AN21" s="63"/>
      <c r="AO21" s="63"/>
    </row>
    <row r="22" spans="2:41" ht="12.75" customHeight="1">
      <c r="B22" s="547">
        <f t="shared" si="5"/>
        <v>717</v>
      </c>
      <c r="C22" s="557"/>
      <c r="D22" s="558"/>
      <c r="E22" s="558"/>
      <c r="F22" s="559"/>
      <c r="G22" s="559"/>
      <c r="H22" s="560"/>
      <c r="I22" s="561"/>
      <c r="J22" s="561"/>
      <c r="K22" s="562"/>
      <c r="L22" s="562"/>
      <c r="M22" s="562"/>
      <c r="N22" s="562"/>
      <c r="O22" s="562"/>
      <c r="P22" s="562"/>
      <c r="Q22" s="562"/>
      <c r="R22" s="563">
        <f t="shared" si="0"/>
        <v>0</v>
      </c>
      <c r="S22" s="555">
        <f t="shared" si="14"/>
        <v>0</v>
      </c>
      <c r="T22" s="563">
        <f>S22*G22/100</f>
        <v>0</v>
      </c>
      <c r="U22" s="555">
        <f>IF(H22="n",T22,F22/100*S22)</f>
        <v>0</v>
      </c>
      <c r="V22" s="446"/>
      <c r="W22" s="435">
        <f t="shared" si="7"/>
        <v>0</v>
      </c>
      <c r="X22" s="435">
        <f t="shared" si="8"/>
        <v>0</v>
      </c>
      <c r="Y22" s="435">
        <f t="shared" si="9"/>
        <v>0</v>
      </c>
      <c r="Z22" s="435">
        <f t="shared" si="10"/>
        <v>0</v>
      </c>
      <c r="AA22" s="435">
        <f t="shared" si="11"/>
        <v>0</v>
      </c>
      <c r="AB22" s="435">
        <f t="shared" si="12"/>
        <v>0</v>
      </c>
      <c r="AC22" s="435">
        <f t="shared" si="13"/>
        <v>0</v>
      </c>
      <c r="AD22" s="435">
        <f t="shared" si="2"/>
        <v>0</v>
      </c>
      <c r="AL22" s="157"/>
      <c r="AM22" s="157"/>
      <c r="AN22" s="63"/>
      <c r="AO22" s="63"/>
    </row>
    <row r="23" spans="2:41" ht="12.75" customHeight="1">
      <c r="B23" s="547">
        <f t="shared" si="5"/>
        <v>718</v>
      </c>
      <c r="C23" s="557"/>
      <c r="D23" s="558"/>
      <c r="E23" s="558"/>
      <c r="F23" s="559"/>
      <c r="G23" s="559"/>
      <c r="H23" s="560"/>
      <c r="I23" s="561"/>
      <c r="J23" s="561"/>
      <c r="K23" s="562"/>
      <c r="L23" s="562"/>
      <c r="M23" s="562"/>
      <c r="N23" s="562"/>
      <c r="O23" s="562"/>
      <c r="P23" s="562"/>
      <c r="Q23" s="562"/>
      <c r="R23" s="563">
        <f t="shared" si="0"/>
        <v>0</v>
      </c>
      <c r="S23" s="555">
        <f t="shared" si="14"/>
        <v>0</v>
      </c>
      <c r="T23" s="563">
        <f>S23*G23/100</f>
        <v>0</v>
      </c>
      <c r="U23" s="555">
        <f>IF(H23="n",T23,F23/100*S23)</f>
        <v>0</v>
      </c>
      <c r="V23" s="446"/>
      <c r="W23" s="435">
        <f t="shared" si="7"/>
        <v>0</v>
      </c>
      <c r="X23" s="435">
        <f t="shared" si="8"/>
        <v>0</v>
      </c>
      <c r="Y23" s="435">
        <f t="shared" si="9"/>
        <v>0</v>
      </c>
      <c r="Z23" s="435">
        <f t="shared" si="10"/>
        <v>0</v>
      </c>
      <c r="AA23" s="435">
        <f t="shared" si="11"/>
        <v>0</v>
      </c>
      <c r="AB23" s="435">
        <f t="shared" si="12"/>
        <v>0</v>
      </c>
      <c r="AC23" s="435">
        <f t="shared" si="13"/>
        <v>0</v>
      </c>
      <c r="AD23" s="435">
        <f t="shared" si="2"/>
        <v>0</v>
      </c>
      <c r="AL23" s="157"/>
      <c r="AM23" s="157"/>
      <c r="AN23" s="63"/>
      <c r="AO23" s="63"/>
    </row>
    <row r="24" spans="2:41" ht="12.75" customHeight="1">
      <c r="B24" s="547">
        <f t="shared" si="5"/>
        <v>719</v>
      </c>
      <c r="C24" s="557"/>
      <c r="D24" s="558"/>
      <c r="E24" s="558"/>
      <c r="F24" s="559"/>
      <c r="G24" s="559"/>
      <c r="H24" s="560"/>
      <c r="I24" s="561"/>
      <c r="J24" s="561"/>
      <c r="K24" s="562"/>
      <c r="L24" s="562"/>
      <c r="M24" s="562"/>
      <c r="N24" s="562"/>
      <c r="O24" s="562"/>
      <c r="P24" s="562"/>
      <c r="Q24" s="562"/>
      <c r="R24" s="563">
        <f t="shared" si="0"/>
        <v>0</v>
      </c>
      <c r="S24" s="555">
        <f t="shared" si="14"/>
        <v>0</v>
      </c>
      <c r="T24" s="563">
        <f>S24*G24/100</f>
        <v>0</v>
      </c>
      <c r="U24" s="555">
        <f>IF(H24="n",T24,F24/100*S24)</f>
        <v>0</v>
      </c>
      <c r="V24" s="446"/>
      <c r="W24" s="435">
        <f t="shared" si="7"/>
        <v>0</v>
      </c>
      <c r="X24" s="435">
        <f t="shared" si="8"/>
        <v>0</v>
      </c>
      <c r="Y24" s="435">
        <f t="shared" si="9"/>
        <v>0</v>
      </c>
      <c r="Z24" s="435">
        <f t="shared" si="10"/>
        <v>0</v>
      </c>
      <c r="AA24" s="435">
        <f t="shared" si="11"/>
        <v>0</v>
      </c>
      <c r="AB24" s="435">
        <f t="shared" si="12"/>
        <v>0</v>
      </c>
      <c r="AC24" s="435">
        <f t="shared" si="13"/>
        <v>0</v>
      </c>
      <c r="AD24" s="435">
        <f t="shared" si="2"/>
        <v>0</v>
      </c>
      <c r="AL24" s="157"/>
      <c r="AM24" s="157"/>
      <c r="AN24" s="63"/>
      <c r="AO24" s="63"/>
    </row>
    <row r="25" spans="2:41" ht="12.75" customHeight="1">
      <c r="B25" s="547">
        <f t="shared" si="5"/>
        <v>720</v>
      </c>
      <c r="C25" s="557"/>
      <c r="D25" s="558"/>
      <c r="E25" s="558"/>
      <c r="F25" s="559"/>
      <c r="G25" s="559"/>
      <c r="H25" s="560"/>
      <c r="I25" s="561"/>
      <c r="J25" s="561"/>
      <c r="K25" s="562"/>
      <c r="L25" s="562"/>
      <c r="M25" s="562"/>
      <c r="N25" s="562"/>
      <c r="O25" s="562"/>
      <c r="P25" s="562"/>
      <c r="Q25" s="562"/>
      <c r="R25" s="563">
        <f t="shared" si="0"/>
        <v>0</v>
      </c>
      <c r="S25" s="555">
        <f t="shared" si="14"/>
        <v>0</v>
      </c>
      <c r="T25" s="563">
        <f t="shared" si="6"/>
        <v>0</v>
      </c>
      <c r="U25" s="555">
        <f t="shared" si="3"/>
        <v>0</v>
      </c>
      <c r="V25" s="446"/>
      <c r="W25" s="435">
        <f t="shared" si="7"/>
        <v>0</v>
      </c>
      <c r="X25" s="435">
        <f t="shared" si="8"/>
        <v>0</v>
      </c>
      <c r="Y25" s="435">
        <f t="shared" si="9"/>
        <v>0</v>
      </c>
      <c r="Z25" s="435">
        <f t="shared" si="10"/>
        <v>0</v>
      </c>
      <c r="AA25" s="435">
        <f t="shared" si="11"/>
        <v>0</v>
      </c>
      <c r="AB25" s="435">
        <f t="shared" si="12"/>
        <v>0</v>
      </c>
      <c r="AC25" s="435">
        <f t="shared" si="13"/>
        <v>0</v>
      </c>
      <c r="AD25" s="435">
        <f t="shared" si="2"/>
        <v>0</v>
      </c>
      <c r="AL25" s="157"/>
      <c r="AM25" s="157"/>
      <c r="AN25" s="63"/>
      <c r="AO25" s="63"/>
    </row>
    <row r="26" spans="2:41" ht="12.75" customHeight="1">
      <c r="B26" s="547">
        <f t="shared" si="5"/>
        <v>721</v>
      </c>
      <c r="C26" s="557"/>
      <c r="D26" s="558"/>
      <c r="E26" s="558"/>
      <c r="F26" s="559"/>
      <c r="G26" s="559"/>
      <c r="H26" s="560"/>
      <c r="I26" s="561"/>
      <c r="J26" s="561"/>
      <c r="K26" s="562"/>
      <c r="L26" s="562"/>
      <c r="M26" s="562"/>
      <c r="N26" s="562"/>
      <c r="O26" s="562"/>
      <c r="P26" s="562"/>
      <c r="Q26" s="562"/>
      <c r="R26" s="563">
        <f t="shared" si="0"/>
        <v>0</v>
      </c>
      <c r="S26" s="555">
        <f t="shared" si="14"/>
        <v>0</v>
      </c>
      <c r="T26" s="563">
        <f t="shared" si="6"/>
        <v>0</v>
      </c>
      <c r="U26" s="555">
        <f t="shared" si="3"/>
        <v>0</v>
      </c>
      <c r="V26" s="446"/>
      <c r="W26" s="435">
        <f t="shared" si="7"/>
        <v>0</v>
      </c>
      <c r="X26" s="435">
        <f t="shared" si="8"/>
        <v>0</v>
      </c>
      <c r="Y26" s="435">
        <f t="shared" si="9"/>
        <v>0</v>
      </c>
      <c r="Z26" s="435">
        <f t="shared" si="10"/>
        <v>0</v>
      </c>
      <c r="AA26" s="435">
        <f t="shared" si="11"/>
        <v>0</v>
      </c>
      <c r="AB26" s="435">
        <f t="shared" si="12"/>
        <v>0</v>
      </c>
      <c r="AC26" s="435">
        <f t="shared" si="13"/>
        <v>0</v>
      </c>
      <c r="AD26" s="435">
        <f t="shared" si="2"/>
        <v>0</v>
      </c>
      <c r="AL26" s="157"/>
      <c r="AM26" s="157"/>
      <c r="AN26" s="63"/>
      <c r="AO26" s="63"/>
    </row>
    <row r="27" spans="2:41" ht="12.75" customHeight="1">
      <c r="B27" s="547">
        <f t="shared" si="5"/>
        <v>722</v>
      </c>
      <c r="C27" s="557"/>
      <c r="D27" s="558"/>
      <c r="E27" s="558"/>
      <c r="F27" s="559"/>
      <c r="G27" s="559"/>
      <c r="H27" s="560"/>
      <c r="I27" s="561"/>
      <c r="J27" s="561"/>
      <c r="K27" s="562"/>
      <c r="L27" s="562"/>
      <c r="M27" s="562"/>
      <c r="N27" s="562"/>
      <c r="O27" s="562"/>
      <c r="P27" s="562"/>
      <c r="Q27" s="562"/>
      <c r="R27" s="563">
        <f t="shared" si="0"/>
        <v>0</v>
      </c>
      <c r="S27" s="555">
        <f t="shared" si="14"/>
        <v>0</v>
      </c>
      <c r="T27" s="563">
        <f t="shared" si="6"/>
        <v>0</v>
      </c>
      <c r="U27" s="555">
        <f t="shared" si="3"/>
        <v>0</v>
      </c>
      <c r="V27" s="446"/>
      <c r="W27" s="435">
        <f t="shared" si="7"/>
        <v>0</v>
      </c>
      <c r="X27" s="435">
        <f t="shared" si="8"/>
        <v>0</v>
      </c>
      <c r="Y27" s="435">
        <f t="shared" si="9"/>
        <v>0</v>
      </c>
      <c r="Z27" s="435">
        <f t="shared" si="10"/>
        <v>0</v>
      </c>
      <c r="AA27" s="435">
        <f t="shared" si="11"/>
        <v>0</v>
      </c>
      <c r="AB27" s="435">
        <f t="shared" si="12"/>
        <v>0</v>
      </c>
      <c r="AC27" s="435">
        <f t="shared" si="13"/>
        <v>0</v>
      </c>
      <c r="AD27" s="435">
        <f t="shared" si="2"/>
        <v>0</v>
      </c>
      <c r="AL27" s="157"/>
      <c r="AM27" s="157"/>
      <c r="AN27" s="63"/>
      <c r="AO27" s="63"/>
    </row>
    <row r="28" spans="2:41" ht="12.75" customHeight="1">
      <c r="B28" s="547">
        <f t="shared" si="5"/>
        <v>723</v>
      </c>
      <c r="C28" s="557"/>
      <c r="D28" s="558"/>
      <c r="E28" s="558"/>
      <c r="F28" s="559"/>
      <c r="G28" s="559"/>
      <c r="H28" s="560"/>
      <c r="I28" s="561"/>
      <c r="J28" s="561"/>
      <c r="K28" s="562"/>
      <c r="L28" s="562"/>
      <c r="M28" s="562"/>
      <c r="N28" s="562"/>
      <c r="O28" s="562"/>
      <c r="P28" s="562"/>
      <c r="Q28" s="562"/>
      <c r="R28" s="563">
        <f t="shared" si="0"/>
        <v>0</v>
      </c>
      <c r="S28" s="555">
        <f t="shared" si="14"/>
        <v>0</v>
      </c>
      <c r="T28" s="563">
        <f t="shared" si="6"/>
        <v>0</v>
      </c>
      <c r="U28" s="555">
        <f t="shared" si="3"/>
        <v>0</v>
      </c>
      <c r="V28" s="446"/>
      <c r="W28" s="435">
        <f t="shared" si="7"/>
        <v>0</v>
      </c>
      <c r="X28" s="435">
        <f t="shared" si="8"/>
        <v>0</v>
      </c>
      <c r="Y28" s="435">
        <f t="shared" si="9"/>
        <v>0</v>
      </c>
      <c r="Z28" s="435">
        <f t="shared" si="10"/>
        <v>0</v>
      </c>
      <c r="AA28" s="435">
        <f t="shared" si="11"/>
        <v>0</v>
      </c>
      <c r="AB28" s="435">
        <f t="shared" si="12"/>
        <v>0</v>
      </c>
      <c r="AC28" s="435">
        <f t="shared" si="13"/>
        <v>0</v>
      </c>
      <c r="AD28" s="435">
        <f t="shared" si="2"/>
        <v>0</v>
      </c>
      <c r="AL28" s="157"/>
      <c r="AM28" s="157"/>
      <c r="AN28" s="63"/>
      <c r="AO28" s="63"/>
    </row>
    <row r="29" spans="2:41" ht="12.75" customHeight="1">
      <c r="B29" s="547">
        <f t="shared" si="5"/>
        <v>724</v>
      </c>
      <c r="C29" s="557"/>
      <c r="D29" s="558"/>
      <c r="E29" s="558"/>
      <c r="F29" s="559"/>
      <c r="G29" s="559"/>
      <c r="H29" s="560"/>
      <c r="I29" s="561"/>
      <c r="J29" s="561"/>
      <c r="K29" s="562"/>
      <c r="L29" s="562"/>
      <c r="M29" s="562"/>
      <c r="N29" s="562"/>
      <c r="O29" s="562"/>
      <c r="P29" s="562"/>
      <c r="Q29" s="562"/>
      <c r="R29" s="563">
        <f t="shared" si="0"/>
        <v>0</v>
      </c>
      <c r="S29" s="555">
        <f t="shared" si="14"/>
        <v>0</v>
      </c>
      <c r="T29" s="563">
        <f t="shared" si="6"/>
        <v>0</v>
      </c>
      <c r="U29" s="555">
        <f t="shared" si="3"/>
        <v>0</v>
      </c>
      <c r="V29" s="446"/>
      <c r="W29" s="435">
        <f t="shared" si="7"/>
        <v>0</v>
      </c>
      <c r="X29" s="435">
        <f t="shared" si="8"/>
        <v>0</v>
      </c>
      <c r="Y29" s="435">
        <f t="shared" si="9"/>
        <v>0</v>
      </c>
      <c r="Z29" s="435">
        <f t="shared" si="10"/>
        <v>0</v>
      </c>
      <c r="AA29" s="435">
        <f t="shared" si="11"/>
        <v>0</v>
      </c>
      <c r="AB29" s="435">
        <f t="shared" si="12"/>
        <v>0</v>
      </c>
      <c r="AC29" s="435">
        <f t="shared" si="13"/>
        <v>0</v>
      </c>
      <c r="AD29" s="435">
        <f t="shared" si="2"/>
        <v>0</v>
      </c>
      <c r="AL29" s="157"/>
      <c r="AM29" s="157"/>
      <c r="AN29" s="63"/>
      <c r="AO29" s="63"/>
    </row>
    <row r="30" spans="2:41" ht="12.75" customHeight="1">
      <c r="B30" s="547">
        <f t="shared" si="5"/>
        <v>725</v>
      </c>
      <c r="C30" s="557"/>
      <c r="D30" s="558"/>
      <c r="E30" s="558"/>
      <c r="F30" s="559"/>
      <c r="G30" s="559"/>
      <c r="H30" s="560"/>
      <c r="I30" s="561"/>
      <c r="J30" s="561"/>
      <c r="K30" s="562"/>
      <c r="L30" s="562"/>
      <c r="M30" s="562"/>
      <c r="N30" s="562"/>
      <c r="O30" s="562"/>
      <c r="P30" s="562"/>
      <c r="Q30" s="562"/>
      <c r="R30" s="563">
        <f t="shared" si="0"/>
        <v>0</v>
      </c>
      <c r="S30" s="555">
        <f t="shared" si="14"/>
        <v>0</v>
      </c>
      <c r="T30" s="563">
        <f t="shared" si="6"/>
        <v>0</v>
      </c>
      <c r="U30" s="555">
        <f t="shared" si="3"/>
        <v>0</v>
      </c>
      <c r="V30" s="446"/>
      <c r="W30" s="435">
        <f t="shared" si="7"/>
        <v>0</v>
      </c>
      <c r="X30" s="435">
        <f t="shared" si="8"/>
        <v>0</v>
      </c>
      <c r="Y30" s="435">
        <f t="shared" si="9"/>
        <v>0</v>
      </c>
      <c r="Z30" s="435">
        <f t="shared" si="10"/>
        <v>0</v>
      </c>
      <c r="AA30" s="435">
        <f t="shared" si="11"/>
        <v>0</v>
      </c>
      <c r="AB30" s="435">
        <f t="shared" si="12"/>
        <v>0</v>
      </c>
      <c r="AC30" s="435">
        <f t="shared" si="13"/>
        <v>0</v>
      </c>
      <c r="AD30" s="435">
        <f t="shared" si="2"/>
        <v>0</v>
      </c>
      <c r="AL30" s="157"/>
      <c r="AM30" s="157"/>
      <c r="AN30" s="63"/>
      <c r="AO30" s="63"/>
    </row>
    <row r="31" spans="2:41" ht="12.75" customHeight="1">
      <c r="B31" s="547">
        <f t="shared" si="5"/>
        <v>726</v>
      </c>
      <c r="C31" s="557"/>
      <c r="D31" s="558"/>
      <c r="E31" s="558"/>
      <c r="F31" s="559"/>
      <c r="G31" s="559"/>
      <c r="H31" s="560"/>
      <c r="I31" s="561"/>
      <c r="J31" s="561"/>
      <c r="K31" s="562"/>
      <c r="L31" s="562"/>
      <c r="M31" s="562"/>
      <c r="N31" s="562"/>
      <c r="O31" s="562"/>
      <c r="P31" s="562"/>
      <c r="Q31" s="562"/>
      <c r="R31" s="563">
        <f t="shared" si="0"/>
        <v>0</v>
      </c>
      <c r="S31" s="555">
        <f t="shared" si="14"/>
        <v>0</v>
      </c>
      <c r="T31" s="563">
        <f t="shared" si="6"/>
        <v>0</v>
      </c>
      <c r="U31" s="555">
        <f t="shared" si="3"/>
        <v>0</v>
      </c>
      <c r="V31" s="446"/>
      <c r="W31" s="435">
        <f t="shared" si="7"/>
        <v>0</v>
      </c>
      <c r="X31" s="435">
        <f t="shared" si="8"/>
        <v>0</v>
      </c>
      <c r="Y31" s="435">
        <f t="shared" si="9"/>
        <v>0</v>
      </c>
      <c r="Z31" s="435">
        <f t="shared" si="10"/>
        <v>0</v>
      </c>
      <c r="AA31" s="435">
        <f t="shared" si="11"/>
        <v>0</v>
      </c>
      <c r="AB31" s="435">
        <f t="shared" si="12"/>
        <v>0</v>
      </c>
      <c r="AC31" s="435">
        <f t="shared" si="13"/>
        <v>0</v>
      </c>
      <c r="AD31" s="435">
        <f t="shared" si="2"/>
        <v>0</v>
      </c>
      <c r="AL31" s="157"/>
      <c r="AM31" s="157"/>
      <c r="AN31" s="63"/>
      <c r="AO31" s="63"/>
    </row>
    <row r="32" spans="2:41" ht="12.75" customHeight="1">
      <c r="B32" s="547">
        <f t="shared" si="5"/>
        <v>727</v>
      </c>
      <c r="C32" s="557"/>
      <c r="D32" s="558"/>
      <c r="E32" s="558"/>
      <c r="F32" s="559"/>
      <c r="G32" s="559"/>
      <c r="H32" s="560"/>
      <c r="I32" s="561"/>
      <c r="J32" s="561"/>
      <c r="K32" s="562"/>
      <c r="L32" s="562"/>
      <c r="M32" s="562"/>
      <c r="N32" s="562"/>
      <c r="O32" s="562"/>
      <c r="P32" s="562"/>
      <c r="Q32" s="562"/>
      <c r="R32" s="563">
        <f t="shared" si="0"/>
        <v>0</v>
      </c>
      <c r="S32" s="555">
        <f t="shared" si="14"/>
        <v>0</v>
      </c>
      <c r="T32" s="563">
        <f t="shared" si="6"/>
        <v>0</v>
      </c>
      <c r="U32" s="555">
        <f t="shared" si="3"/>
        <v>0</v>
      </c>
      <c r="V32" s="446"/>
      <c r="W32" s="435">
        <f t="shared" si="7"/>
        <v>0</v>
      </c>
      <c r="X32" s="435">
        <f t="shared" si="8"/>
        <v>0</v>
      </c>
      <c r="Y32" s="435">
        <f t="shared" si="9"/>
        <v>0</v>
      </c>
      <c r="Z32" s="435">
        <f t="shared" si="10"/>
        <v>0</v>
      </c>
      <c r="AA32" s="435">
        <f t="shared" si="11"/>
        <v>0</v>
      </c>
      <c r="AB32" s="435">
        <f t="shared" si="12"/>
        <v>0</v>
      </c>
      <c r="AC32" s="435">
        <f t="shared" si="13"/>
        <v>0</v>
      </c>
      <c r="AD32" s="435">
        <f t="shared" si="2"/>
        <v>0</v>
      </c>
      <c r="AL32" s="157"/>
      <c r="AM32" s="157"/>
      <c r="AN32" s="63"/>
      <c r="AO32" s="63"/>
    </row>
    <row r="33" spans="2:41" ht="12.75" customHeight="1">
      <c r="B33" s="547">
        <f t="shared" si="5"/>
        <v>728</v>
      </c>
      <c r="C33" s="557"/>
      <c r="D33" s="558"/>
      <c r="E33" s="558"/>
      <c r="F33" s="559"/>
      <c r="G33" s="559"/>
      <c r="H33" s="560"/>
      <c r="I33" s="561"/>
      <c r="J33" s="561"/>
      <c r="K33" s="562"/>
      <c r="L33" s="562"/>
      <c r="M33" s="562"/>
      <c r="N33" s="562"/>
      <c r="O33" s="562"/>
      <c r="P33" s="562"/>
      <c r="Q33" s="562"/>
      <c r="R33" s="563">
        <f t="shared" si="0"/>
        <v>0</v>
      </c>
      <c r="S33" s="555">
        <f t="shared" si="14"/>
        <v>0</v>
      </c>
      <c r="T33" s="563">
        <f t="shared" si="6"/>
        <v>0</v>
      </c>
      <c r="U33" s="555">
        <f t="shared" si="3"/>
        <v>0</v>
      </c>
      <c r="V33" s="446"/>
      <c r="W33" s="435">
        <f t="shared" si="7"/>
        <v>0</v>
      </c>
      <c r="X33" s="435">
        <f t="shared" si="8"/>
        <v>0</v>
      </c>
      <c r="Y33" s="435">
        <f t="shared" si="9"/>
        <v>0</v>
      </c>
      <c r="Z33" s="435">
        <f t="shared" si="10"/>
        <v>0</v>
      </c>
      <c r="AA33" s="435">
        <f t="shared" si="11"/>
        <v>0</v>
      </c>
      <c r="AB33" s="435">
        <f t="shared" si="12"/>
        <v>0</v>
      </c>
      <c r="AC33" s="435">
        <f t="shared" si="13"/>
        <v>0</v>
      </c>
      <c r="AD33" s="435">
        <f t="shared" si="2"/>
        <v>0</v>
      </c>
      <c r="AL33" s="157"/>
      <c r="AM33" s="157"/>
      <c r="AN33" s="63"/>
      <c r="AO33" s="63"/>
    </row>
    <row r="34" spans="2:41" ht="12.75" customHeight="1">
      <c r="B34" s="547">
        <f t="shared" si="5"/>
        <v>729</v>
      </c>
      <c r="C34" s="564" t="s">
        <v>32</v>
      </c>
      <c r="D34" s="565"/>
      <c r="E34" s="565"/>
      <c r="F34" s="566"/>
      <c r="G34" s="567"/>
      <c r="H34" s="568"/>
      <c r="I34" s="561"/>
      <c r="J34" s="561"/>
      <c r="K34" s="569"/>
      <c r="L34" s="570"/>
      <c r="M34" s="570"/>
      <c r="N34" s="570"/>
      <c r="O34" s="570"/>
      <c r="P34" s="570"/>
      <c r="Q34" s="571"/>
      <c r="R34" s="561"/>
      <c r="S34" s="561"/>
      <c r="T34" s="561"/>
      <c r="U34" s="561"/>
      <c r="V34" s="446"/>
      <c r="W34" s="435">
        <f t="shared" si="7"/>
        <v>0</v>
      </c>
      <c r="X34" s="435">
        <f t="shared" si="8"/>
        <v>0</v>
      </c>
      <c r="Y34" s="435">
        <f t="shared" si="9"/>
        <v>0</v>
      </c>
      <c r="Z34" s="435">
        <f t="shared" si="10"/>
        <v>0</v>
      </c>
      <c r="AA34" s="435">
        <f t="shared" si="11"/>
        <v>0</v>
      </c>
      <c r="AB34" s="435">
        <f t="shared" si="12"/>
        <v>0</v>
      </c>
      <c r="AC34" s="435">
        <f t="shared" si="13"/>
        <v>0</v>
      </c>
      <c r="AD34" s="435">
        <f t="shared" si="2"/>
        <v>0</v>
      </c>
      <c r="AL34" s="157"/>
      <c r="AM34" s="157"/>
      <c r="AN34" s="63"/>
      <c r="AO34" s="63"/>
    </row>
    <row r="35" spans="2:41" ht="12.75" customHeight="1">
      <c r="B35" s="547">
        <f t="shared" si="5"/>
        <v>730</v>
      </c>
      <c r="C35" s="572" t="str">
        <f>CONCATENATE("(Sub)totaal regels ",B6," t/m ",B34," conform jaarrekening ")</f>
        <v>(Sub)totaal regels 701 t/m 729 conform jaarrekening </v>
      </c>
      <c r="D35" s="572"/>
      <c r="E35" s="573"/>
      <c r="F35" s="574"/>
      <c r="G35" s="575"/>
      <c r="H35" s="576"/>
      <c r="I35" s="590">
        <f>SUM(I6:I34)</f>
        <v>0</v>
      </c>
      <c r="J35" s="591">
        <f>AD35</f>
        <v>0</v>
      </c>
      <c r="K35" s="592"/>
      <c r="L35" s="593"/>
      <c r="M35" s="593"/>
      <c r="N35" s="593"/>
      <c r="O35" s="593"/>
      <c r="P35" s="593"/>
      <c r="Q35" s="594"/>
      <c r="R35" s="595">
        <f>SUM(R6:R34)</f>
        <v>0</v>
      </c>
      <c r="S35" s="595">
        <f>SUM(S6:S34)</f>
        <v>0</v>
      </c>
      <c r="T35" s="595">
        <f>SUM(T6:T34)</f>
        <v>0</v>
      </c>
      <c r="U35" s="595">
        <f>SUM(U6:U34)</f>
        <v>0</v>
      </c>
      <c r="V35" s="447"/>
      <c r="W35" s="448"/>
      <c r="X35" s="448"/>
      <c r="Y35" s="448"/>
      <c r="Z35" s="448"/>
      <c r="AA35" s="448"/>
      <c r="AB35" s="448"/>
      <c r="AC35" s="449"/>
      <c r="AD35" s="436">
        <f>SUM(AD6:AD34)</f>
        <v>0</v>
      </c>
      <c r="AE35" s="156"/>
      <c r="AF35" s="157"/>
      <c r="AG35" s="157"/>
      <c r="AH35" s="157"/>
      <c r="AI35" s="157"/>
      <c r="AJ35" s="157"/>
      <c r="AK35" s="157"/>
      <c r="AL35" s="157"/>
      <c r="AM35" s="157"/>
      <c r="AN35" s="63"/>
      <c r="AO35" s="63"/>
    </row>
    <row r="36" spans="2:42" ht="12.75" customHeight="1">
      <c r="B36" s="547">
        <f t="shared" si="5"/>
        <v>731</v>
      </c>
      <c r="C36" s="577" t="s">
        <v>91</v>
      </c>
      <c r="D36" s="578"/>
      <c r="E36" s="578"/>
      <c r="F36" s="578"/>
      <c r="G36" s="578"/>
      <c r="H36" s="578"/>
      <c r="I36" s="578"/>
      <c r="J36" s="578"/>
      <c r="K36" s="578"/>
      <c r="L36" s="578"/>
      <c r="M36" s="578"/>
      <c r="N36" s="578"/>
      <c r="O36" s="578"/>
      <c r="P36" s="578"/>
      <c r="Q36" s="578"/>
      <c r="R36" s="579"/>
      <c r="S36" s="580"/>
      <c r="T36" s="581"/>
      <c r="U36" s="582"/>
      <c r="V36" s="442"/>
      <c r="W36" s="156"/>
      <c r="X36" s="157"/>
      <c r="Y36" s="157"/>
      <c r="Z36" s="157"/>
      <c r="AA36" s="157"/>
      <c r="AB36" s="157"/>
      <c r="AC36" s="157"/>
      <c r="AD36" s="157"/>
      <c r="AE36" s="156"/>
      <c r="AF36" s="157"/>
      <c r="AG36" s="157"/>
      <c r="AH36" s="157"/>
      <c r="AI36" s="157"/>
      <c r="AJ36" s="157"/>
      <c r="AK36" s="157"/>
      <c r="AL36" s="157"/>
      <c r="AM36" s="157"/>
      <c r="AN36" s="63"/>
      <c r="AO36" s="63"/>
      <c r="AP36" s="63"/>
    </row>
    <row r="37" spans="2:42" ht="12.75" customHeight="1">
      <c r="B37" s="547">
        <f t="shared" si="5"/>
        <v>732</v>
      </c>
      <c r="C37" s="583" t="s">
        <v>33</v>
      </c>
      <c r="D37" s="584"/>
      <c r="E37" s="578"/>
      <c r="F37" s="584"/>
      <c r="G37" s="584"/>
      <c r="H37" s="584"/>
      <c r="I37" s="584"/>
      <c r="J37" s="584"/>
      <c r="K37" s="584"/>
      <c r="L37" s="584"/>
      <c r="M37" s="584"/>
      <c r="N37" s="584"/>
      <c r="O37" s="584"/>
      <c r="P37" s="584"/>
      <c r="Q37" s="584"/>
      <c r="R37" s="585"/>
      <c r="S37" s="561"/>
      <c r="T37" s="582"/>
      <c r="U37" s="582"/>
      <c r="V37" s="442"/>
      <c r="W37" s="157"/>
      <c r="X37" s="157"/>
      <c r="Y37" s="157"/>
      <c r="Z37" s="157"/>
      <c r="AA37" s="157"/>
      <c r="AB37" s="157"/>
      <c r="AC37" s="157"/>
      <c r="AD37" s="157"/>
      <c r="AE37" s="157"/>
      <c r="AF37" s="157"/>
      <c r="AG37" s="157"/>
      <c r="AH37" s="157"/>
      <c r="AI37" s="157"/>
      <c r="AJ37" s="157"/>
      <c r="AK37" s="157"/>
      <c r="AL37" s="157"/>
      <c r="AM37" s="157"/>
      <c r="AN37" s="63"/>
      <c r="AO37" s="63"/>
      <c r="AP37" s="63"/>
    </row>
    <row r="38" spans="1:42" s="24" customFormat="1" ht="12.75" customHeight="1">
      <c r="A38" s="379"/>
      <c r="B38" s="547">
        <f t="shared" si="5"/>
        <v>733</v>
      </c>
      <c r="C38" s="586" t="str">
        <f>CONCATENATE("Totaal regel ",B35," -/- regel ",B36," + regel ",B37)</f>
        <v>Totaal regel 730 -/- regel 731 + regel 732</v>
      </c>
      <c r="D38" s="587"/>
      <c r="E38" s="588"/>
      <c r="F38" s="588"/>
      <c r="G38" s="588"/>
      <c r="H38" s="588"/>
      <c r="I38" s="588"/>
      <c r="J38" s="588"/>
      <c r="K38" s="588"/>
      <c r="L38" s="588"/>
      <c r="M38" s="588"/>
      <c r="N38" s="588"/>
      <c r="O38" s="588"/>
      <c r="P38" s="588"/>
      <c r="Q38" s="588"/>
      <c r="R38" s="589"/>
      <c r="S38" s="595">
        <f>S35-S36+S37</f>
        <v>0</v>
      </c>
      <c r="T38" s="595">
        <f>T35-T36+T37</f>
        <v>0</v>
      </c>
      <c r="U38" s="595">
        <f>U35-U36+U37</f>
        <v>0</v>
      </c>
      <c r="V38" s="441"/>
      <c r="W38" s="158"/>
      <c r="X38" s="158"/>
      <c r="Y38" s="158"/>
      <c r="Z38" s="158"/>
      <c r="AA38" s="158"/>
      <c r="AB38" s="158"/>
      <c r="AC38" s="158"/>
      <c r="AD38" s="158"/>
      <c r="AE38" s="158"/>
      <c r="AF38" s="158"/>
      <c r="AG38" s="158"/>
      <c r="AH38" s="158"/>
      <c r="AI38" s="158"/>
      <c r="AJ38" s="158"/>
      <c r="AK38" s="158"/>
      <c r="AL38" s="158"/>
      <c r="AM38" s="158"/>
      <c r="AN38" s="65"/>
      <c r="AO38" s="65"/>
      <c r="AP38" s="65"/>
    </row>
    <row r="39" spans="1:42" s="24" customFormat="1" ht="12.75" customHeight="1">
      <c r="A39" s="379"/>
      <c r="B39" s="376" t="s">
        <v>224</v>
      </c>
      <c r="D39" s="226"/>
      <c r="E39" s="83"/>
      <c r="F39" s="83"/>
      <c r="G39" s="83"/>
      <c r="H39" s="83"/>
      <c r="I39" s="83"/>
      <c r="J39" s="83"/>
      <c r="K39" s="83"/>
      <c r="L39" s="83"/>
      <c r="M39" s="83"/>
      <c r="N39" s="83"/>
      <c r="O39" s="83"/>
      <c r="P39" s="83"/>
      <c r="Q39" s="83"/>
      <c r="R39" s="84"/>
      <c r="S39" s="85"/>
      <c r="T39" s="85"/>
      <c r="U39" s="85"/>
      <c r="V39" s="443"/>
      <c r="W39" s="158"/>
      <c r="X39" s="158"/>
      <c r="Y39" s="158"/>
      <c r="Z39" s="158"/>
      <c r="AA39" s="158"/>
      <c r="AB39" s="158"/>
      <c r="AC39" s="158"/>
      <c r="AD39" s="158"/>
      <c r="AE39" s="158"/>
      <c r="AF39" s="158"/>
      <c r="AG39" s="158"/>
      <c r="AH39" s="158"/>
      <c r="AI39" s="158"/>
      <c r="AJ39" s="158"/>
      <c r="AK39" s="158"/>
      <c r="AL39" s="158"/>
      <c r="AM39" s="158"/>
      <c r="AN39" s="65"/>
      <c r="AO39" s="65"/>
      <c r="AP39" s="65"/>
    </row>
    <row r="40" spans="1:42" s="24" customFormat="1" ht="12.75" customHeight="1">
      <c r="A40" s="379"/>
      <c r="B40" s="161" t="s">
        <v>225</v>
      </c>
      <c r="D40" s="226"/>
      <c r="E40" s="83"/>
      <c r="F40" s="83"/>
      <c r="G40" s="83"/>
      <c r="H40" s="83"/>
      <c r="I40" s="83"/>
      <c r="J40" s="83"/>
      <c r="K40" s="83"/>
      <c r="L40" s="83"/>
      <c r="M40" s="83"/>
      <c r="N40" s="83"/>
      <c r="O40" s="83"/>
      <c r="P40" s="83"/>
      <c r="Q40" s="83"/>
      <c r="R40" s="84"/>
      <c r="S40" s="85"/>
      <c r="T40" s="85"/>
      <c r="U40" s="85"/>
      <c r="V40" s="443"/>
      <c r="W40" s="158"/>
      <c r="X40" s="158"/>
      <c r="Y40" s="158"/>
      <c r="Z40" s="158"/>
      <c r="AA40" s="158"/>
      <c r="AB40" s="158"/>
      <c r="AC40" s="158"/>
      <c r="AD40" s="158"/>
      <c r="AE40" s="158"/>
      <c r="AF40" s="158"/>
      <c r="AG40" s="158"/>
      <c r="AH40" s="158"/>
      <c r="AI40" s="158"/>
      <c r="AJ40" s="158"/>
      <c r="AK40" s="158"/>
      <c r="AL40" s="158"/>
      <c r="AM40" s="158"/>
      <c r="AN40" s="65"/>
      <c r="AO40" s="65"/>
      <c r="AP40" s="65"/>
    </row>
    <row r="41" spans="1:42" s="24" customFormat="1" ht="12.75" customHeight="1">
      <c r="A41" s="379"/>
      <c r="B41" s="636" t="s">
        <v>226</v>
      </c>
      <c r="C41" s="637"/>
      <c r="D41" s="637"/>
      <c r="E41" s="637"/>
      <c r="F41" s="637"/>
      <c r="G41" s="637"/>
      <c r="H41" s="637"/>
      <c r="I41" s="637"/>
      <c r="J41" s="637"/>
      <c r="K41" s="637"/>
      <c r="L41" s="637"/>
      <c r="M41" s="637"/>
      <c r="N41" s="637"/>
      <c r="O41" s="637"/>
      <c r="P41" s="637"/>
      <c r="Q41" s="637"/>
      <c r="R41" s="637"/>
      <c r="S41" s="637"/>
      <c r="T41" s="637"/>
      <c r="U41" s="637"/>
      <c r="V41" s="444"/>
      <c r="W41" s="158"/>
      <c r="X41" s="158"/>
      <c r="Y41" s="158"/>
      <c r="Z41" s="158"/>
      <c r="AA41" s="158"/>
      <c r="AB41" s="158"/>
      <c r="AC41" s="158"/>
      <c r="AD41" s="158"/>
      <c r="AE41" s="158"/>
      <c r="AF41" s="158"/>
      <c r="AG41" s="158"/>
      <c r="AH41" s="158"/>
      <c r="AI41" s="158"/>
      <c r="AJ41" s="158"/>
      <c r="AK41" s="158"/>
      <c r="AL41" s="158"/>
      <c r="AM41" s="158"/>
      <c r="AN41" s="65"/>
      <c r="AO41" s="65"/>
      <c r="AP41" s="65"/>
    </row>
    <row r="42" spans="1:42" s="24" customFormat="1" ht="12.75" customHeight="1">
      <c r="A42" s="379"/>
      <c r="B42" s="636" t="s">
        <v>227</v>
      </c>
      <c r="C42" s="637"/>
      <c r="D42" s="637"/>
      <c r="E42" s="637"/>
      <c r="F42" s="637"/>
      <c r="G42" s="637"/>
      <c r="H42" s="637"/>
      <c r="I42" s="637"/>
      <c r="J42" s="637"/>
      <c r="K42" s="637"/>
      <c r="L42" s="637"/>
      <c r="M42" s="637"/>
      <c r="N42" s="637"/>
      <c r="O42" s="637"/>
      <c r="P42" s="637"/>
      <c r="Q42" s="637"/>
      <c r="R42" s="637"/>
      <c r="S42" s="637"/>
      <c r="T42" s="637"/>
      <c r="U42" s="637"/>
      <c r="V42" s="444"/>
      <c r="W42" s="158"/>
      <c r="X42" s="158"/>
      <c r="Y42" s="158"/>
      <c r="Z42" s="158"/>
      <c r="AA42" s="158"/>
      <c r="AB42" s="158"/>
      <c r="AC42" s="158"/>
      <c r="AD42" s="158"/>
      <c r="AE42" s="158"/>
      <c r="AF42" s="158"/>
      <c r="AG42" s="158"/>
      <c r="AH42" s="158"/>
      <c r="AI42" s="158"/>
      <c r="AJ42" s="158"/>
      <c r="AK42" s="158"/>
      <c r="AL42" s="158"/>
      <c r="AM42" s="158"/>
      <c r="AN42" s="65"/>
      <c r="AO42" s="65"/>
      <c r="AP42" s="65"/>
    </row>
    <row r="43" spans="1:42" s="24" customFormat="1" ht="12.75" customHeight="1">
      <c r="A43" s="379"/>
      <c r="B43" s="638" t="s">
        <v>228</v>
      </c>
      <c r="C43" s="639"/>
      <c r="D43" s="639"/>
      <c r="E43" s="639"/>
      <c r="F43" s="639"/>
      <c r="G43" s="639"/>
      <c r="J43" s="227"/>
      <c r="K43" s="227"/>
      <c r="L43" s="227"/>
      <c r="M43" s="227"/>
      <c r="N43" s="227"/>
      <c r="O43" s="227"/>
      <c r="P43" s="227"/>
      <c r="Q43" s="227"/>
      <c r="R43" s="227"/>
      <c r="S43" s="227"/>
      <c r="T43" s="227"/>
      <c r="U43" s="227"/>
      <c r="V43" s="445"/>
      <c r="W43" s="158"/>
      <c r="X43" s="158"/>
      <c r="Y43" s="158"/>
      <c r="Z43" s="158"/>
      <c r="AA43" s="158"/>
      <c r="AB43" s="158"/>
      <c r="AC43" s="158"/>
      <c r="AD43" s="158"/>
      <c r="AE43" s="158"/>
      <c r="AF43" s="158"/>
      <c r="AG43" s="158"/>
      <c r="AH43" s="158"/>
      <c r="AI43" s="158"/>
      <c r="AJ43" s="158"/>
      <c r="AK43" s="158"/>
      <c r="AL43" s="158"/>
      <c r="AM43" s="158"/>
      <c r="AN43" s="65"/>
      <c r="AO43" s="65"/>
      <c r="AP43" s="65"/>
    </row>
    <row r="44" spans="2:24" ht="12.75" customHeight="1">
      <c r="B44" s="377" t="s">
        <v>257</v>
      </c>
      <c r="E44" s="5"/>
      <c r="T44" s="3"/>
      <c r="X44" s="159"/>
    </row>
    <row r="45" spans="2:24" ht="12.75" customHeight="1">
      <c r="B45" s="377"/>
      <c r="E45" s="5"/>
      <c r="T45" s="3"/>
      <c r="X45" s="159"/>
    </row>
    <row r="46" spans="2:24" ht="12.75" customHeight="1">
      <c r="B46" s="228"/>
      <c r="E46" s="5"/>
      <c r="I46" s="5"/>
      <c r="J46" s="5"/>
      <c r="K46" s="5"/>
      <c r="L46" s="5"/>
      <c r="M46" s="5"/>
      <c r="N46" s="5"/>
      <c r="O46" s="5"/>
      <c r="P46" s="5"/>
      <c r="Q46" s="5"/>
      <c r="R46" s="5"/>
      <c r="S46" s="5"/>
      <c r="U46" s="369" t="str">
        <f>"Pagina "&amp;X46&amp;""</f>
        <v>Pagina 8</v>
      </c>
      <c r="V46" s="93"/>
      <c r="W46" s="5"/>
      <c r="X46" s="155">
        <f>X2+1</f>
        <v>8</v>
      </c>
    </row>
    <row r="47" spans="2:23" ht="12.75" customHeight="1">
      <c r="B47" s="228"/>
      <c r="C47" s="4" t="s">
        <v>247</v>
      </c>
      <c r="E47" s="5"/>
      <c r="I47" s="5"/>
      <c r="J47" s="5"/>
      <c r="K47" s="5"/>
      <c r="L47" s="5"/>
      <c r="M47" s="5"/>
      <c r="N47" s="5"/>
      <c r="O47" s="5"/>
      <c r="P47" s="5"/>
      <c r="Q47" s="5"/>
      <c r="R47" s="5"/>
      <c r="S47" s="5"/>
      <c r="U47" s="369"/>
      <c r="V47" s="93"/>
      <c r="W47" s="5"/>
    </row>
    <row r="48" spans="2:20" ht="12.75" customHeight="1">
      <c r="B48" s="228"/>
      <c r="C48" s="631" t="s">
        <v>28</v>
      </c>
      <c r="D48" s="632"/>
      <c r="E48" s="632"/>
      <c r="F48" s="632"/>
      <c r="G48" s="632"/>
      <c r="H48" s="632"/>
      <c r="I48" s="632"/>
      <c r="J48" s="632"/>
      <c r="K48" s="632"/>
      <c r="L48" s="632"/>
      <c r="M48" s="632"/>
      <c r="N48" s="632"/>
      <c r="O48" s="632"/>
      <c r="P48" s="632"/>
      <c r="Q48" s="632"/>
      <c r="R48" s="632"/>
      <c r="S48" s="625" t="s">
        <v>98</v>
      </c>
      <c r="T48" s="332" t="s">
        <v>24</v>
      </c>
    </row>
    <row r="49" spans="1:39" s="6" customFormat="1" ht="12.75" customHeight="1">
      <c r="A49" s="46"/>
      <c r="B49" s="229"/>
      <c r="C49" s="633"/>
      <c r="D49" s="634"/>
      <c r="E49" s="634"/>
      <c r="F49" s="634"/>
      <c r="G49" s="634"/>
      <c r="H49" s="634"/>
      <c r="I49" s="634"/>
      <c r="J49" s="634"/>
      <c r="K49" s="634"/>
      <c r="L49" s="634"/>
      <c r="M49" s="634"/>
      <c r="N49" s="634"/>
      <c r="O49" s="634"/>
      <c r="P49" s="634"/>
      <c r="Q49" s="634"/>
      <c r="R49" s="634"/>
      <c r="S49" s="626"/>
      <c r="T49" s="333" t="s">
        <v>25</v>
      </c>
      <c r="V49" s="46"/>
      <c r="W49" s="159"/>
      <c r="X49" s="159"/>
      <c r="Y49" s="159"/>
      <c r="Z49" s="159"/>
      <c r="AA49" s="159"/>
      <c r="AB49" s="159"/>
      <c r="AC49" s="159"/>
      <c r="AD49" s="159"/>
      <c r="AE49" s="159"/>
      <c r="AF49" s="159"/>
      <c r="AG49" s="159"/>
      <c r="AH49" s="159"/>
      <c r="AI49" s="159"/>
      <c r="AJ49" s="159"/>
      <c r="AK49" s="159"/>
      <c r="AL49" s="159"/>
      <c r="AM49" s="159"/>
    </row>
    <row r="50" spans="1:39" s="6" customFormat="1" ht="12.75" customHeight="1">
      <c r="A50" s="46"/>
      <c r="B50" s="172">
        <v>801</v>
      </c>
      <c r="C50" s="628">
        <f>IF(J6=0,I6,(((DATE('Rentecalc.'!$O$1,L6,K6)-DATE('Rentecalc.'!$O$1,1,1))*I6)/E!I$85))</f>
        <v>0</v>
      </c>
      <c r="D50" s="628"/>
      <c r="E50" s="627">
        <f>IF(L6=0,0,(IF(M6=0,((DATE('Rentecalc.'!O$1+1,1,1)-DATE('Rentecalc.'!$O$1,(L6),K6))*(I6-(1*J6)))/E!I$85,((DATE('Rentecalc.'!$O$1,(M6),K6)-DATE('Rentecalc.'!$O$1,(L6),K6))*(I6-(1*J6)))/E!I$85)))</f>
        <v>0</v>
      </c>
      <c r="F50" s="627"/>
      <c r="G50" s="627">
        <f>IF(M6=0,0,(IF(N6=0,((DATE('Rentecalc.'!O$1+1,1,1)-DATE('Rentecalc.'!$O$1,(M6),K6))*(I6-(2*J6)))/365,((DATE('Rentecalc.'!$O$1,(N6),K6)-DATE('Rentecalc.'!$O$1,(M6),K6))*(I6-(2*J6)))/E!I$85)))</f>
        <v>0</v>
      </c>
      <c r="H50" s="627"/>
      <c r="I50" s="66">
        <f>IF(N6=0,0,(IF(O6=0,((DATE('Rentecalc.'!O$1+1,1,1)-DATE('Rentecalc.'!$O$1,(N6),K6))*(I6-(3*J6)))/E!I$85,((DATE('Rentecalc.'!$O$1,(O6),K6)-DATE('Rentecalc.'!$O$1,(N6),K6))*(I6-(3*J6)))/E!I$85)))</f>
        <v>0</v>
      </c>
      <c r="J50" s="627">
        <f>IF(O6=0,0,(IF(P6=0,((DATE('Rentecalc.'!O$1+1,1,1)-DATE('Rentecalc.'!$O$1,(O6),K6))*(I6-(4*J6)))/E!I$85,((DATE('Rentecalc.'!$O$1,(P6),K6)-DATE('Rentecalc.'!$O$1,(O6),K6))*(I6-(4*J6)))/E!I$85)))</f>
        <v>0</v>
      </c>
      <c r="K50" s="627"/>
      <c r="L50" s="627">
        <f>IF(P6=0,0,(IF(Q6=0,((DATE('Rentecalc.'!O$1+1,1,1)-DATE('Rentecalc.'!$O$1,(P6),K6))*(I6-(5*J6)))/E!I$85,((DATE('Rentecalc.'!$O$1,(Q6),K6)-DATE('Rentecalc.'!$O$1,(P6),K6))*(I6-(5*J6)))/E!I$85)))</f>
        <v>0</v>
      </c>
      <c r="M50" s="627"/>
      <c r="N50" s="627"/>
      <c r="O50" s="627"/>
      <c r="P50" s="627"/>
      <c r="Q50" s="627"/>
      <c r="R50" s="67">
        <f>IF(Q6=0,0,((DATE('Rentecalc.'!O$1+1,1,1)-DATE('Rentecalc.'!$O$1,(Q6),K6))*(I6-(6*J6)))/E!I$85)</f>
        <v>0</v>
      </c>
      <c r="S50" s="68">
        <f aca="true" t="shared" si="15" ref="S50:S78">SUM(C50:R50)</f>
        <v>0</v>
      </c>
      <c r="T50" s="69">
        <f aca="true" t="shared" si="16" ref="T50:T78">IF(H6="n",S50*(G6/100),S50*(F6/100))</f>
        <v>0</v>
      </c>
      <c r="U50" s="5"/>
      <c r="V50" s="46"/>
      <c r="W50" s="155"/>
      <c r="X50" s="155"/>
      <c r="Y50" s="155"/>
      <c r="Z50" s="155"/>
      <c r="AA50" s="155"/>
      <c r="AB50" s="155"/>
      <c r="AC50" s="160">
        <f aca="true" t="shared" si="17" ref="AC50:AC78">R50</f>
        <v>0</v>
      </c>
      <c r="AD50" s="160">
        <f aca="true" t="shared" si="18" ref="AD50:AD78">M50</f>
        <v>0</v>
      </c>
      <c r="AE50" s="159"/>
      <c r="AF50" s="159"/>
      <c r="AG50" s="159"/>
      <c r="AH50" s="159"/>
      <c r="AI50" s="159"/>
      <c r="AJ50" s="159"/>
      <c r="AK50" s="159"/>
      <c r="AL50" s="159"/>
      <c r="AM50" s="159"/>
    </row>
    <row r="51" spans="1:39" s="6" customFormat="1" ht="12.75" customHeight="1">
      <c r="A51" s="46"/>
      <c r="B51" s="172">
        <f>B50+1</f>
        <v>802</v>
      </c>
      <c r="C51" s="628">
        <f>IF(J7=0,I7,(((DATE('Rentecalc.'!$O$1,L7,K7)-DATE('Rentecalc.'!$O$1,1,1))*I7)/E!I$85))</f>
        <v>0</v>
      </c>
      <c r="D51" s="628"/>
      <c r="E51" s="627">
        <f>IF(L7=0,0,(IF(M7=0,((DATE('Rentecalc.'!O$1+1,1,1)-DATE('Rentecalc.'!$O$1,(L7),K7))*(I7-(1*J7)))/E!I$85,((DATE('Rentecalc.'!$O$1,(M7),K7)-DATE('Rentecalc.'!$O$1,(L7),K7))*(I7-(1*J7)))/E!I$85)))</f>
        <v>0</v>
      </c>
      <c r="F51" s="627"/>
      <c r="G51" s="627">
        <f>IF(M7=0,0,(IF(N7=0,((DATE('Rentecalc.'!O$1+1,1,1)-DATE('Rentecalc.'!$O$1,(M7),K7))*(I7-(2*J7)))/365,((DATE('Rentecalc.'!$O$1,(N7),K7)-DATE('Rentecalc.'!$O$1,(M7),K7))*(I7-(2*J7)))/E!I$85)))</f>
        <v>0</v>
      </c>
      <c r="H51" s="627"/>
      <c r="I51" s="66">
        <f>IF(N7=0,0,(IF(O7=0,((DATE('Rentecalc.'!O$1+1,1,1)-DATE('Rentecalc.'!$O$1,(N7),K7))*(I7-(3*J7)))/E!I$85,((DATE('Rentecalc.'!$O$1,(O7),K7)-DATE('Rentecalc.'!$O$1,(N7),K7))*(I7-(3*J7)))/E!I$85)))</f>
        <v>0</v>
      </c>
      <c r="J51" s="627">
        <f>IF(O7=0,0,(IF(P7=0,((DATE('Rentecalc.'!O$1+1,1,1)-DATE('Rentecalc.'!$O$1,(O7),K7))*(I7-(4*J7)))/E!I$85,((DATE('Rentecalc.'!$O$1,(P7),K7)-DATE('Rentecalc.'!$O$1,(O7),K7))*(I7-(4*J7)))/E!I$85)))</f>
        <v>0</v>
      </c>
      <c r="K51" s="627"/>
      <c r="L51" s="627">
        <f>IF(P7=0,0,(IF(Q7=0,((DATE('Rentecalc.'!O$1+1,1,1)-DATE('Rentecalc.'!$O$1,(P7),K7))*(I7-(5*J7)))/E!I$85,((DATE('Rentecalc.'!$O$1,(Q7),K7)-DATE('Rentecalc.'!$O$1,(P7),K7))*(I7-(5*J7)))/E!I$85)))</f>
        <v>0</v>
      </c>
      <c r="M51" s="627"/>
      <c r="N51" s="627"/>
      <c r="O51" s="627"/>
      <c r="P51" s="627"/>
      <c r="Q51" s="627"/>
      <c r="R51" s="67">
        <f>IF(Q7=0,0,((DATE('Rentecalc.'!O$1+1,1,1)-DATE('Rentecalc.'!$O$1,(Q7),K7))*(I7-(6*J7)))/E!I$85)</f>
        <v>0</v>
      </c>
      <c r="S51" s="68">
        <f t="shared" si="15"/>
        <v>0</v>
      </c>
      <c r="T51" s="69">
        <f t="shared" si="16"/>
        <v>0</v>
      </c>
      <c r="U51" s="5"/>
      <c r="V51" s="46"/>
      <c r="W51" s="155"/>
      <c r="X51" s="155"/>
      <c r="Y51" s="155"/>
      <c r="Z51" s="155"/>
      <c r="AA51" s="155"/>
      <c r="AB51" s="155"/>
      <c r="AC51" s="160">
        <f t="shared" si="17"/>
        <v>0</v>
      </c>
      <c r="AD51" s="160">
        <f t="shared" si="18"/>
        <v>0</v>
      </c>
      <c r="AE51" s="159"/>
      <c r="AF51" s="159"/>
      <c r="AG51" s="159"/>
      <c r="AH51" s="159"/>
      <c r="AI51" s="159"/>
      <c r="AJ51" s="159"/>
      <c r="AK51" s="159"/>
      <c r="AL51" s="159"/>
      <c r="AM51" s="159"/>
    </row>
    <row r="52" spans="1:39" s="6" customFormat="1" ht="12.75" customHeight="1">
      <c r="A52" s="46"/>
      <c r="B52" s="172">
        <f aca="true" t="shared" si="19" ref="B52:B79">B51+1</f>
        <v>803</v>
      </c>
      <c r="C52" s="628">
        <f>IF(J8=0,I8,(((DATE('Rentecalc.'!$O$1,L8,K8)-DATE('Rentecalc.'!$O$1,1,1))*I8)/E!I$85))</f>
        <v>0</v>
      </c>
      <c r="D52" s="628"/>
      <c r="E52" s="627">
        <f>IF(L8=0,0,(IF(M8=0,((DATE('Rentecalc.'!O$1+1,1,1)-DATE('Rentecalc.'!$O$1,(L8),K8))*(I8-(1*J8)))/E!I$85,((DATE('Rentecalc.'!$O$1,(M8),K8)-DATE('Rentecalc.'!$O$1,(L8),K8))*(I8-(1*J8)))/E!I$85)))</f>
        <v>0</v>
      </c>
      <c r="F52" s="627"/>
      <c r="G52" s="627">
        <f>IF(M8=0,0,(IF(N8=0,((DATE('Rentecalc.'!O$1+1,1,1)-DATE('Rentecalc.'!$O$1,(M8),K8))*(I8-(2*J8)))/365,((DATE('Rentecalc.'!$O$1,(N8),K8)-DATE('Rentecalc.'!$O$1,(M8),K8))*(I8-(2*J8)))/E!I$85)))</f>
        <v>0</v>
      </c>
      <c r="H52" s="627"/>
      <c r="I52" s="66">
        <f>IF(N8=0,0,(IF(O8=0,((DATE('Rentecalc.'!O$1+1,1,1)-DATE('Rentecalc.'!$O$1,(N8),K8))*(I8-(3*J8)))/E!I$85,((DATE('Rentecalc.'!$O$1,(O8),K8)-DATE('Rentecalc.'!$O$1,(N8),K8))*(I8-(3*J8)))/E!I$85)))</f>
        <v>0</v>
      </c>
      <c r="J52" s="627">
        <f>IF(O8=0,0,(IF(P8=0,((DATE('Rentecalc.'!O$1+1,1,1)-DATE('Rentecalc.'!$O$1,(O8),K8))*(I8-(4*J8)))/E!I$85,((DATE('Rentecalc.'!$O$1,(P8),K8)-DATE('Rentecalc.'!$O$1,(O8),K8))*(I8-(4*J8)))/E!I$85)))</f>
        <v>0</v>
      </c>
      <c r="K52" s="627"/>
      <c r="L52" s="627">
        <f>IF(P8=0,0,(IF(Q8=0,((DATE('Rentecalc.'!O$1+1,1,1)-DATE('Rentecalc.'!$O$1,(P8),K8))*(I8-(5*J8)))/E!I$85,((DATE('Rentecalc.'!$O$1,(Q8),K8)-DATE('Rentecalc.'!$O$1,(P8),K8))*(I8-(5*J8)))/E!I$85)))</f>
        <v>0</v>
      </c>
      <c r="M52" s="627"/>
      <c r="N52" s="627"/>
      <c r="O52" s="627"/>
      <c r="P52" s="627"/>
      <c r="Q52" s="627"/>
      <c r="R52" s="67">
        <f>IF(Q8=0,0,((DATE('Rentecalc.'!O$1+1,1,1)-DATE('Rentecalc.'!$O$1,(Q8),K8))*(I8-(6*J8)))/E!I$85)</f>
        <v>0</v>
      </c>
      <c r="S52" s="68">
        <f t="shared" si="15"/>
        <v>0</v>
      </c>
      <c r="T52" s="69">
        <f t="shared" si="16"/>
        <v>0</v>
      </c>
      <c r="U52" s="5"/>
      <c r="V52" s="46"/>
      <c r="W52" s="155"/>
      <c r="X52" s="155"/>
      <c r="Y52" s="155"/>
      <c r="Z52" s="155"/>
      <c r="AA52" s="155"/>
      <c r="AB52" s="155"/>
      <c r="AC52" s="160">
        <f t="shared" si="17"/>
        <v>0</v>
      </c>
      <c r="AD52" s="160">
        <f t="shared" si="18"/>
        <v>0</v>
      </c>
      <c r="AE52" s="159"/>
      <c r="AF52" s="159"/>
      <c r="AG52" s="159"/>
      <c r="AH52" s="159"/>
      <c r="AI52" s="159"/>
      <c r="AJ52" s="159"/>
      <c r="AK52" s="159"/>
      <c r="AL52" s="159"/>
      <c r="AM52" s="159"/>
    </row>
    <row r="53" spans="1:39" s="6" customFormat="1" ht="12.75" customHeight="1">
      <c r="A53" s="46"/>
      <c r="B53" s="172">
        <f t="shared" si="19"/>
        <v>804</v>
      </c>
      <c r="C53" s="628">
        <f>IF(J9=0,I9,(((DATE('Rentecalc.'!$O$1,L9,K9)-DATE('Rentecalc.'!$O$1,1,1))*I9)/E!I$85))</f>
        <v>0</v>
      </c>
      <c r="D53" s="628"/>
      <c r="E53" s="627">
        <f>IF(L9=0,0,(IF(M9=0,((DATE('Rentecalc.'!O$1+1,1,1)-DATE('Rentecalc.'!$O$1,(L9),K9))*(I9-(1*J9)))/E!I$85,((DATE('Rentecalc.'!$O$1,(M9),K9)-DATE('Rentecalc.'!$O$1,(L9),K9))*(I9-(1*J9)))/E!I$85)))</f>
        <v>0</v>
      </c>
      <c r="F53" s="627"/>
      <c r="G53" s="627">
        <f>IF(M9=0,0,(IF(N9=0,((DATE('Rentecalc.'!O$1+1,1,1)-DATE('Rentecalc.'!$O$1,(M9),K9))*(I9-(2*J9)))/365,((DATE('Rentecalc.'!$O$1,(N9),K9)-DATE('Rentecalc.'!$O$1,(M9),K9))*(I9-(2*J9)))/E!I$85)))</f>
        <v>0</v>
      </c>
      <c r="H53" s="627"/>
      <c r="I53" s="66">
        <f>IF(N9=0,0,(IF(O9=0,((DATE('Rentecalc.'!O$1+1,1,1)-DATE('Rentecalc.'!$O$1,(N9),K9))*(I9-(3*J9)))/E!I$85,((DATE('Rentecalc.'!$O$1,(O9),K9)-DATE('Rentecalc.'!$O$1,(N9),K9))*(I9-(3*J9)))/E!I$85)))</f>
        <v>0</v>
      </c>
      <c r="J53" s="627">
        <f>IF(O9=0,0,(IF(P9=0,((DATE('Rentecalc.'!O$1+1,1,1)-DATE('Rentecalc.'!$O$1,(O9),K9))*(I9-(4*J9)))/E!I$85,((DATE('Rentecalc.'!$O$1,(P9),K9)-DATE('Rentecalc.'!$O$1,(O9),K9))*(I9-(4*J9)))/E!I$85)))</f>
        <v>0</v>
      </c>
      <c r="K53" s="627"/>
      <c r="L53" s="627">
        <f>IF(P9=0,0,(IF(Q9=0,((DATE('Rentecalc.'!O$1+1,1,1)-DATE('Rentecalc.'!$O$1,(P9),K9))*(I9-(5*J9)))/E!I$85,((DATE('Rentecalc.'!$O$1,(Q9),K9)-DATE('Rentecalc.'!$O$1,(P9),K9))*(I9-(5*J9)))/E!I$85)))</f>
        <v>0</v>
      </c>
      <c r="M53" s="627"/>
      <c r="N53" s="627"/>
      <c r="O53" s="627"/>
      <c r="P53" s="627"/>
      <c r="Q53" s="627"/>
      <c r="R53" s="67">
        <f>IF(Q9=0,0,((DATE('Rentecalc.'!O$1+1,1,1)-DATE('Rentecalc.'!$O$1,(Q9),K9))*(I9-(6*J9)))/E!I$85)</f>
        <v>0</v>
      </c>
      <c r="S53" s="68">
        <f t="shared" si="15"/>
        <v>0</v>
      </c>
      <c r="T53" s="69">
        <f t="shared" si="16"/>
        <v>0</v>
      </c>
      <c r="U53" s="5"/>
      <c r="V53" s="46"/>
      <c r="W53" s="155"/>
      <c r="X53" s="155"/>
      <c r="Y53" s="155"/>
      <c r="Z53" s="155"/>
      <c r="AA53" s="155"/>
      <c r="AB53" s="155"/>
      <c r="AC53" s="160">
        <f t="shared" si="17"/>
        <v>0</v>
      </c>
      <c r="AD53" s="160">
        <f t="shared" si="18"/>
        <v>0</v>
      </c>
      <c r="AE53" s="159"/>
      <c r="AF53" s="159"/>
      <c r="AG53" s="159"/>
      <c r="AH53" s="159"/>
      <c r="AI53" s="159"/>
      <c r="AJ53" s="159"/>
      <c r="AK53" s="159"/>
      <c r="AL53" s="159"/>
      <c r="AM53" s="159"/>
    </row>
    <row r="54" spans="1:39" s="6" customFormat="1" ht="12.75" customHeight="1">
      <c r="A54" s="46"/>
      <c r="B54" s="172">
        <f t="shared" si="19"/>
        <v>805</v>
      </c>
      <c r="C54" s="628">
        <f>IF(J10=0,I10,(((DATE('Rentecalc.'!$O$1,L10,K10)-DATE('Rentecalc.'!$O$1,1,1))*I10)/E!I$85))</f>
        <v>0</v>
      </c>
      <c r="D54" s="628"/>
      <c r="E54" s="627">
        <f>IF(L10=0,0,(IF(M10=0,((DATE('Rentecalc.'!O$1+1,1,1)-DATE('Rentecalc.'!$O$1,(L10),K10))*(I10-(1*J10)))/E!I$85,((DATE('Rentecalc.'!$O$1,(M10),K10)-DATE('Rentecalc.'!$O$1,(L10),K10))*(I10-(1*J10)))/E!I$85)))</f>
        <v>0</v>
      </c>
      <c r="F54" s="627"/>
      <c r="G54" s="627">
        <f>IF(M10=0,0,(IF(N10=0,((DATE('Rentecalc.'!O$1+1,1,1)-DATE('Rentecalc.'!$O$1,(M10),K10))*(I10-(2*J10)))/365,((DATE('Rentecalc.'!$O$1,(N10),K10)-DATE('Rentecalc.'!$O$1,(M10),K10))*(I10-(2*J10)))/E!I$85)))</f>
        <v>0</v>
      </c>
      <c r="H54" s="627"/>
      <c r="I54" s="66">
        <f>IF(N10=0,0,(IF(O10=0,((DATE('Rentecalc.'!O$1+1,1,1)-DATE('Rentecalc.'!$O$1,(N10),K10))*(I10-(3*J10)))/E!I$85,((DATE('Rentecalc.'!$O$1,(O10),K10)-DATE('Rentecalc.'!$O$1,(N10),K10))*(I10-(3*J10)))/E!I$85)))</f>
        <v>0</v>
      </c>
      <c r="J54" s="627">
        <f>IF(O10=0,0,(IF(P10=0,((DATE('Rentecalc.'!O$1+1,1,1)-DATE('Rentecalc.'!$O$1,(O10),K10))*(I10-(4*J10)))/E!I$85,((DATE('Rentecalc.'!$O$1,(P10),K10)-DATE('Rentecalc.'!$O$1,(O10),K10))*(I10-(4*J10)))/E!I$85)))</f>
        <v>0</v>
      </c>
      <c r="K54" s="627"/>
      <c r="L54" s="627">
        <f>IF(P10=0,0,(IF(Q10=0,((DATE('Rentecalc.'!O$1+1,1,1)-DATE('Rentecalc.'!$O$1,(P10),K10))*(I10-(5*J10)))/E!I$85,((DATE('Rentecalc.'!$O$1,(Q10),K10)-DATE('Rentecalc.'!$O$1,(P10),K10))*(I10-(5*J10)))/E!I$85)))</f>
        <v>0</v>
      </c>
      <c r="M54" s="627"/>
      <c r="N54" s="627"/>
      <c r="O54" s="627"/>
      <c r="P54" s="627"/>
      <c r="Q54" s="627"/>
      <c r="R54" s="67">
        <f>IF(Q10=0,0,((DATE('Rentecalc.'!O$1+1,1,1)-DATE('Rentecalc.'!$O$1,(Q10),K10))*(I10-(6*J10)))/E!I$85)</f>
        <v>0</v>
      </c>
      <c r="S54" s="68">
        <f t="shared" si="15"/>
        <v>0</v>
      </c>
      <c r="T54" s="69">
        <f t="shared" si="16"/>
        <v>0</v>
      </c>
      <c r="U54" s="5"/>
      <c r="V54" s="46"/>
      <c r="W54" s="155"/>
      <c r="X54" s="155"/>
      <c r="Y54" s="155"/>
      <c r="Z54" s="155"/>
      <c r="AA54" s="155"/>
      <c r="AB54" s="155"/>
      <c r="AC54" s="160">
        <f t="shared" si="17"/>
        <v>0</v>
      </c>
      <c r="AD54" s="160">
        <f t="shared" si="18"/>
        <v>0</v>
      </c>
      <c r="AE54" s="159"/>
      <c r="AF54" s="159"/>
      <c r="AG54" s="159"/>
      <c r="AH54" s="159"/>
      <c r="AI54" s="159"/>
      <c r="AJ54" s="159"/>
      <c r="AK54" s="159"/>
      <c r="AL54" s="159"/>
      <c r="AM54" s="159"/>
    </row>
    <row r="55" spans="1:39" s="6" customFormat="1" ht="12.75" customHeight="1">
      <c r="A55" s="46"/>
      <c r="B55" s="172">
        <f t="shared" si="19"/>
        <v>806</v>
      </c>
      <c r="C55" s="628">
        <f>IF(J11=0,I11,(((DATE('Rentecalc.'!$O$1,L11,K11)-DATE('Rentecalc.'!$O$1,1,1))*I11)/E!I$85))</f>
        <v>0</v>
      </c>
      <c r="D55" s="628"/>
      <c r="E55" s="627">
        <f>IF(L11=0,0,(IF(M11=0,((DATE('Rentecalc.'!O$1+1,1,1)-DATE('Rentecalc.'!$O$1,(L11),K11))*(I11-(1*J11)))/E!I$85,((DATE('Rentecalc.'!$O$1,(M11),K11)-DATE('Rentecalc.'!$O$1,(L11),K11))*(I11-(1*J11)))/E!I$85)))</f>
        <v>0</v>
      </c>
      <c r="F55" s="627"/>
      <c r="G55" s="627">
        <f>IF(M11=0,0,(IF(N11=0,((DATE('Rentecalc.'!O$1+1,1,1)-DATE('Rentecalc.'!$O$1,(M11),K11))*(I11-(2*J11)))/365,((DATE('Rentecalc.'!$O$1,(N11),K11)-DATE('Rentecalc.'!$O$1,(M11),K11))*(I11-(2*J11)))/E!I$85)))</f>
        <v>0</v>
      </c>
      <c r="H55" s="627"/>
      <c r="I55" s="66">
        <f>IF(N11=0,0,(IF(O11=0,((DATE('Rentecalc.'!O$1+1,1,1)-DATE('Rentecalc.'!$O$1,(N11),K11))*(I11-(3*J11)))/E!I$85,((DATE('Rentecalc.'!$O$1,(O11),K11)-DATE('Rentecalc.'!$O$1,(N11),K11))*(I11-(3*J11)))/E!I$85)))</f>
        <v>0</v>
      </c>
      <c r="J55" s="627">
        <f>IF(O11=0,0,(IF(P11=0,((DATE('Rentecalc.'!O$1+1,1,1)-DATE('Rentecalc.'!$O$1,(O11),K11))*(I11-(4*J11)))/E!I$85,((DATE('Rentecalc.'!$O$1,(P11),K11)-DATE('Rentecalc.'!$O$1,(O11),K11))*(I11-(4*J11)))/E!I$85)))</f>
        <v>0</v>
      </c>
      <c r="K55" s="627"/>
      <c r="L55" s="627">
        <f>IF(P11=0,0,(IF(Q11=0,((DATE('Rentecalc.'!O$1+1,1,1)-DATE('Rentecalc.'!$O$1,(P11),K11))*(I11-(5*J11)))/E!I$85,((DATE('Rentecalc.'!$O$1,(Q11),K11)-DATE('Rentecalc.'!$O$1,(P11),K11))*(I11-(5*J11)))/E!I$85)))</f>
        <v>0</v>
      </c>
      <c r="M55" s="627"/>
      <c r="N55" s="627"/>
      <c r="O55" s="627"/>
      <c r="P55" s="627"/>
      <c r="Q55" s="627"/>
      <c r="R55" s="67">
        <f>IF(Q11=0,0,((DATE('Rentecalc.'!O$1+1,1,1)-DATE('Rentecalc.'!$O$1,(Q11),K11))*(I11-(6*J11)))/E!I$85)</f>
        <v>0</v>
      </c>
      <c r="S55" s="68">
        <f t="shared" si="15"/>
        <v>0</v>
      </c>
      <c r="T55" s="69">
        <f t="shared" si="16"/>
        <v>0</v>
      </c>
      <c r="U55" s="5"/>
      <c r="V55" s="46"/>
      <c r="W55" s="155"/>
      <c r="X55" s="155"/>
      <c r="Y55" s="155"/>
      <c r="Z55" s="155"/>
      <c r="AA55" s="155"/>
      <c r="AB55" s="155"/>
      <c r="AC55" s="160">
        <f>R55</f>
        <v>0</v>
      </c>
      <c r="AD55" s="160">
        <f>M55</f>
        <v>0</v>
      </c>
      <c r="AE55" s="159"/>
      <c r="AF55" s="159"/>
      <c r="AG55" s="159"/>
      <c r="AH55" s="159"/>
      <c r="AI55" s="159"/>
      <c r="AJ55" s="159"/>
      <c r="AK55" s="159"/>
      <c r="AL55" s="159"/>
      <c r="AM55" s="159"/>
    </row>
    <row r="56" spans="1:39" s="6" customFormat="1" ht="12.75" customHeight="1">
      <c r="A56" s="46"/>
      <c r="B56" s="172">
        <f t="shared" si="19"/>
        <v>807</v>
      </c>
      <c r="C56" s="628">
        <f>IF(J12=0,I12,(((DATE('Rentecalc.'!$O$1,L12,K12)-DATE('Rentecalc.'!$O$1,1,1))*I12)/E!I$85))</f>
        <v>0</v>
      </c>
      <c r="D56" s="628"/>
      <c r="E56" s="627">
        <f>IF(L12=0,0,(IF(M12=0,((DATE('Rentecalc.'!O$1+1,1,1)-DATE('Rentecalc.'!$O$1,(L12),K12))*(I12-(1*J12)))/E!I$85,((DATE('Rentecalc.'!$O$1,(M12),K12)-DATE('Rentecalc.'!$O$1,(L12),K12))*(I12-(1*J12)))/E!I$85)))</f>
        <v>0</v>
      </c>
      <c r="F56" s="627"/>
      <c r="G56" s="627">
        <f>IF(M12=0,0,(IF(N12=0,((DATE('Rentecalc.'!O$1+1,1,1)-DATE('Rentecalc.'!$O$1,(M12),K12))*(I12-(2*J12)))/365,((DATE('Rentecalc.'!$O$1,(N12),K12)-DATE('Rentecalc.'!$O$1,(M12),K12))*(I12-(2*J12)))/E!I$85)))</f>
        <v>0</v>
      </c>
      <c r="H56" s="627"/>
      <c r="I56" s="66">
        <f>IF(N12=0,0,(IF(O12=0,((DATE('Rentecalc.'!O$1+1,1,1)-DATE('Rentecalc.'!$O$1,(N12),K12))*(I12-(3*J12)))/E!I$85,((DATE('Rentecalc.'!$O$1,(O12),K12)-DATE('Rentecalc.'!$O$1,(N12),K12))*(I12-(3*J12)))/E!I$85)))</f>
        <v>0</v>
      </c>
      <c r="J56" s="627">
        <f>IF(O12=0,0,(IF(P12=0,((DATE('Rentecalc.'!O$1+1,1,1)-DATE('Rentecalc.'!$O$1,(O12),K12))*(I12-(4*J12)))/E!I$85,((DATE('Rentecalc.'!$O$1,(P12),K12)-DATE('Rentecalc.'!$O$1,(O12),K12))*(I12-(4*J12)))/E!I$85)))</f>
        <v>0</v>
      </c>
      <c r="K56" s="627"/>
      <c r="L56" s="627">
        <f>IF(P12=0,0,(IF(Q12=0,((DATE('Rentecalc.'!O$1+1,1,1)-DATE('Rentecalc.'!$O$1,(P12),K12))*(I12-(5*J12)))/E!I$85,((DATE('Rentecalc.'!$O$1,(Q12),K12)-DATE('Rentecalc.'!$O$1,(P12),K12))*(I12-(5*J12)))/E!I$85)))</f>
        <v>0</v>
      </c>
      <c r="M56" s="627"/>
      <c r="N56" s="627"/>
      <c r="O56" s="627"/>
      <c r="P56" s="627"/>
      <c r="Q56" s="627"/>
      <c r="R56" s="67">
        <f>IF(Q12=0,0,((DATE('Rentecalc.'!O$1+1,1,1)-DATE('Rentecalc.'!$O$1,(Q12),K12))*(I12-(6*J12)))/E!I$85)</f>
        <v>0</v>
      </c>
      <c r="S56" s="68">
        <f t="shared" si="15"/>
        <v>0</v>
      </c>
      <c r="T56" s="69">
        <f t="shared" si="16"/>
        <v>0</v>
      </c>
      <c r="U56" s="5"/>
      <c r="V56" s="46"/>
      <c r="W56" s="155"/>
      <c r="X56" s="155"/>
      <c r="Y56" s="155"/>
      <c r="Z56" s="155"/>
      <c r="AA56" s="155"/>
      <c r="AB56" s="155"/>
      <c r="AC56" s="160">
        <f>R56</f>
        <v>0</v>
      </c>
      <c r="AD56" s="160">
        <f>M56</f>
        <v>0</v>
      </c>
      <c r="AE56" s="159"/>
      <c r="AF56" s="159"/>
      <c r="AG56" s="159"/>
      <c r="AH56" s="159"/>
      <c r="AI56" s="159"/>
      <c r="AJ56" s="159"/>
      <c r="AK56" s="159"/>
      <c r="AL56" s="159"/>
      <c r="AM56" s="159"/>
    </row>
    <row r="57" spans="1:39" s="6" customFormat="1" ht="12.75" customHeight="1">
      <c r="A57" s="46"/>
      <c r="B57" s="172">
        <f t="shared" si="19"/>
        <v>808</v>
      </c>
      <c r="C57" s="628">
        <f>IF(J13=0,I13,(((DATE('Rentecalc.'!$O$1,L13,K13)-DATE('Rentecalc.'!$O$1,1,1))*I13)/E!I$85))</f>
        <v>0</v>
      </c>
      <c r="D57" s="628"/>
      <c r="E57" s="627">
        <f>IF(L13=0,0,(IF(M13=0,((DATE('Rentecalc.'!O$1+1,1,1)-DATE('Rentecalc.'!$O$1,(L13),K13))*(I13-(1*J13)))/E!I$85,((DATE('Rentecalc.'!$O$1,(M13),K13)-DATE('Rentecalc.'!$O$1,(L13),K13))*(I13-(1*J13)))/E!I$85)))</f>
        <v>0</v>
      </c>
      <c r="F57" s="627"/>
      <c r="G57" s="627">
        <f>IF(M13=0,0,(IF(N13=0,((DATE('Rentecalc.'!O$1+1,1,1)-DATE('Rentecalc.'!$O$1,(M13),K13))*(I13-(2*J13)))/365,((DATE('Rentecalc.'!$O$1,(N13),K13)-DATE('Rentecalc.'!$O$1,(M13),K13))*(I13-(2*J13)))/E!I$85)))</f>
        <v>0</v>
      </c>
      <c r="H57" s="627"/>
      <c r="I57" s="66">
        <f>IF(N13=0,0,(IF(O13=0,((DATE('Rentecalc.'!O$1+1,1,1)-DATE('Rentecalc.'!$O$1,(N13),K13))*(I13-(3*J13)))/E!I$85,((DATE('Rentecalc.'!$O$1,(O13),K13)-DATE('Rentecalc.'!$O$1,(N13),K13))*(I13-(3*J13)))/E!I$85)))</f>
        <v>0</v>
      </c>
      <c r="J57" s="627">
        <f>IF(O13=0,0,(IF(P13=0,((DATE('Rentecalc.'!O$1+1,1,1)-DATE('Rentecalc.'!$O$1,(O13),K13))*(I13-(4*J13)))/E!I$85,((DATE('Rentecalc.'!$O$1,(P13),K13)-DATE('Rentecalc.'!$O$1,(O13),K13))*(I13-(4*J13)))/E!I$85)))</f>
        <v>0</v>
      </c>
      <c r="K57" s="627"/>
      <c r="L57" s="627">
        <f>IF(P13=0,0,(IF(Q13=0,((DATE('Rentecalc.'!O$1+1,1,1)-DATE('Rentecalc.'!$O$1,(P13),K13))*(I13-(5*J13)))/E!I$85,((DATE('Rentecalc.'!$O$1,(Q13),K13)-DATE('Rentecalc.'!$O$1,(P13),K13))*(I13-(5*J13)))/E!I$85)))</f>
        <v>0</v>
      </c>
      <c r="M57" s="627"/>
      <c r="N57" s="627"/>
      <c r="O57" s="627"/>
      <c r="P57" s="627"/>
      <c r="Q57" s="627"/>
      <c r="R57" s="67">
        <f>IF(Q13=0,0,((DATE('Rentecalc.'!O$1+1,1,1)-DATE('Rentecalc.'!$O$1,(Q13),K13))*(I13-(6*J13)))/E!I$85)</f>
        <v>0</v>
      </c>
      <c r="S57" s="68">
        <f t="shared" si="15"/>
        <v>0</v>
      </c>
      <c r="T57" s="69">
        <f t="shared" si="16"/>
        <v>0</v>
      </c>
      <c r="U57" s="5"/>
      <c r="V57" s="46"/>
      <c r="W57" s="155"/>
      <c r="X57" s="155"/>
      <c r="Y57" s="155"/>
      <c r="Z57" s="155"/>
      <c r="AA57" s="155"/>
      <c r="AB57" s="155"/>
      <c r="AC57" s="160">
        <f>R57</f>
        <v>0</v>
      </c>
      <c r="AD57" s="160">
        <f>M57</f>
        <v>0</v>
      </c>
      <c r="AE57" s="159"/>
      <c r="AF57" s="159"/>
      <c r="AG57" s="159"/>
      <c r="AH57" s="159"/>
      <c r="AI57" s="159"/>
      <c r="AJ57" s="159"/>
      <c r="AK57" s="159"/>
      <c r="AL57" s="159"/>
      <c r="AM57" s="159"/>
    </row>
    <row r="58" spans="1:39" s="6" customFormat="1" ht="12.75" customHeight="1">
      <c r="A58" s="46"/>
      <c r="B58" s="172">
        <f t="shared" si="19"/>
        <v>809</v>
      </c>
      <c r="C58" s="628">
        <f>IF(J14=0,I14,(((DATE('Rentecalc.'!$O$1,L14,K14)-DATE('Rentecalc.'!$O$1,1,1))*I14)/E!I$85))</f>
        <v>0</v>
      </c>
      <c r="D58" s="628"/>
      <c r="E58" s="627">
        <f>IF(L14=0,0,(IF(M14=0,((DATE('Rentecalc.'!O$1+1,1,1)-DATE('Rentecalc.'!$O$1,(L14),K14))*(I14-(1*J14)))/E!I$85,((DATE('Rentecalc.'!$O$1,(M14),K14)-DATE('Rentecalc.'!$O$1,(L14),K14))*(I14-(1*J14)))/E!I$85)))</f>
        <v>0</v>
      </c>
      <c r="F58" s="627"/>
      <c r="G58" s="627">
        <f>IF(M14=0,0,(IF(N14=0,((DATE('Rentecalc.'!O$1+1,1,1)-DATE('Rentecalc.'!$O$1,(M14),K14))*(I14-(2*J14)))/365,((DATE('Rentecalc.'!$O$1,(N14),K14)-DATE('Rentecalc.'!$O$1,(M14),K14))*(I14-(2*J14)))/E!I$85)))</f>
        <v>0</v>
      </c>
      <c r="H58" s="627"/>
      <c r="I58" s="66">
        <f>IF(N14=0,0,(IF(O14=0,((DATE('Rentecalc.'!O$1+1,1,1)-DATE('Rentecalc.'!$O$1,(N14),K14))*(I14-(3*J14)))/E!I$85,((DATE('Rentecalc.'!$O$1,(O14),K14)-DATE('Rentecalc.'!$O$1,(N14),K14))*(I14-(3*J14)))/E!I$85)))</f>
        <v>0</v>
      </c>
      <c r="J58" s="627">
        <f>IF(O14=0,0,(IF(P14=0,((DATE('Rentecalc.'!O$1+1,1,1)-DATE('Rentecalc.'!$O$1,(O14),K14))*(I14-(4*J14)))/E!I$85,((DATE('Rentecalc.'!$O$1,(P14),K14)-DATE('Rentecalc.'!$O$1,(O14),K14))*(I14-(4*J14)))/E!I$85)))</f>
        <v>0</v>
      </c>
      <c r="K58" s="627"/>
      <c r="L58" s="627">
        <f>IF(P14=0,0,(IF(Q14=0,((DATE('Rentecalc.'!O$1+1,1,1)-DATE('Rentecalc.'!$O$1,(P14),K14))*(I14-(5*J14)))/E!I$85,((DATE('Rentecalc.'!$O$1,(Q14),K14)-DATE('Rentecalc.'!$O$1,(P14),K14))*(I14-(5*J14)))/E!I$85)))</f>
        <v>0</v>
      </c>
      <c r="M58" s="627"/>
      <c r="N58" s="627"/>
      <c r="O58" s="627"/>
      <c r="P58" s="627"/>
      <c r="Q58" s="627"/>
      <c r="R58" s="67">
        <f>IF(Q14=0,0,((DATE('Rentecalc.'!O$1+1,1,1)-DATE('Rentecalc.'!$O$1,(Q14),K14))*(I14-(6*J14)))/E!I$85)</f>
        <v>0</v>
      </c>
      <c r="S58" s="68">
        <f t="shared" si="15"/>
        <v>0</v>
      </c>
      <c r="T58" s="69">
        <f t="shared" si="16"/>
        <v>0</v>
      </c>
      <c r="U58" s="5"/>
      <c r="V58" s="46"/>
      <c r="W58" s="155"/>
      <c r="X58" s="155"/>
      <c r="Y58" s="155"/>
      <c r="Z58" s="155"/>
      <c r="AA58" s="155"/>
      <c r="AB58" s="155"/>
      <c r="AC58" s="160"/>
      <c r="AD58" s="160"/>
      <c r="AE58" s="159"/>
      <c r="AF58" s="159"/>
      <c r="AG58" s="159"/>
      <c r="AH58" s="159"/>
      <c r="AI58" s="159"/>
      <c r="AJ58" s="159"/>
      <c r="AK58" s="159"/>
      <c r="AL58" s="159"/>
      <c r="AM58" s="159"/>
    </row>
    <row r="59" spans="1:39" s="6" customFormat="1" ht="12.75" customHeight="1">
      <c r="A59" s="46"/>
      <c r="B59" s="172">
        <f t="shared" si="19"/>
        <v>810</v>
      </c>
      <c r="C59" s="628">
        <f>IF(J15=0,I15,(((DATE('Rentecalc.'!$O$1,L15,K15)-DATE('Rentecalc.'!$O$1,1,1))*I15)/E!I$85))</f>
        <v>0</v>
      </c>
      <c r="D59" s="628"/>
      <c r="E59" s="627">
        <f>IF(L15=0,0,(IF(M15=0,((DATE('Rentecalc.'!O$1+1,1,1)-DATE('Rentecalc.'!$O$1,(L15),K15))*(I15-(1*J15)))/E!I$85,((DATE('Rentecalc.'!$O$1,(M15),K15)-DATE('Rentecalc.'!$O$1,(L15),K15))*(I15-(1*J15)))/E!I$85)))</f>
        <v>0</v>
      </c>
      <c r="F59" s="627"/>
      <c r="G59" s="627">
        <f>IF(M15=0,0,(IF(N15=0,((DATE('Rentecalc.'!O$1+1,1,1)-DATE('Rentecalc.'!$O$1,(M15),K15))*(I15-(2*J15)))/365,((DATE('Rentecalc.'!$O$1,(N15),K15)-DATE('Rentecalc.'!$O$1,(M15),K15))*(I15-(2*J15)))/E!I$85)))</f>
        <v>0</v>
      </c>
      <c r="H59" s="627"/>
      <c r="I59" s="66">
        <f>IF(N15=0,0,(IF(O15=0,((DATE('Rentecalc.'!O$1+1,1,1)-DATE('Rentecalc.'!$O$1,(N15),K15))*(I15-(3*J15)))/E!I$85,((DATE('Rentecalc.'!$O$1,(O15),K15)-DATE('Rentecalc.'!$O$1,(N15),K15))*(I15-(3*J15)))/E!I$85)))</f>
        <v>0</v>
      </c>
      <c r="J59" s="627">
        <f>IF(O15=0,0,(IF(P15=0,((DATE('Rentecalc.'!O$1+1,1,1)-DATE('Rentecalc.'!$O$1,(O15),K15))*(I15-(4*J15)))/E!I$85,((DATE('Rentecalc.'!$O$1,(P15),K15)-DATE('Rentecalc.'!$O$1,(O15),K15))*(I15-(4*J15)))/E!I$85)))</f>
        <v>0</v>
      </c>
      <c r="K59" s="627"/>
      <c r="L59" s="627">
        <f>IF(P15=0,0,(IF(Q15=0,((DATE('Rentecalc.'!O$1+1,1,1)-DATE('Rentecalc.'!$O$1,(P15),K15))*(I15-(5*J15)))/E!I$85,((DATE('Rentecalc.'!$O$1,(Q15),K15)-DATE('Rentecalc.'!$O$1,(P15),K15))*(I15-(5*J15)))/E!I$85)))</f>
        <v>0</v>
      </c>
      <c r="M59" s="627"/>
      <c r="N59" s="627"/>
      <c r="O59" s="627"/>
      <c r="P59" s="627"/>
      <c r="Q59" s="627"/>
      <c r="R59" s="67">
        <f>IF(Q15=0,0,((DATE('Rentecalc.'!O$1+1,1,1)-DATE('Rentecalc.'!$O$1,(Q15),K15))*(I15-(6*J15)))/E!I$85)</f>
        <v>0</v>
      </c>
      <c r="S59" s="68">
        <f t="shared" si="15"/>
        <v>0</v>
      </c>
      <c r="T59" s="69">
        <f t="shared" si="16"/>
        <v>0</v>
      </c>
      <c r="U59" s="5"/>
      <c r="V59" s="46"/>
      <c r="W59" s="155"/>
      <c r="X59" s="155"/>
      <c r="Y59" s="155"/>
      <c r="Z59" s="155"/>
      <c r="AA59" s="155"/>
      <c r="AB59" s="155"/>
      <c r="AC59" s="160"/>
      <c r="AD59" s="160"/>
      <c r="AE59" s="159"/>
      <c r="AF59" s="159"/>
      <c r="AG59" s="159"/>
      <c r="AH59" s="159"/>
      <c r="AI59" s="159"/>
      <c r="AJ59" s="159"/>
      <c r="AK59" s="159"/>
      <c r="AL59" s="159"/>
      <c r="AM59" s="159"/>
    </row>
    <row r="60" spans="1:39" s="6" customFormat="1" ht="12.75" customHeight="1">
      <c r="A60" s="46"/>
      <c r="B60" s="172">
        <f t="shared" si="19"/>
        <v>811</v>
      </c>
      <c r="C60" s="628">
        <f>IF(J16=0,I16,(((DATE('Rentecalc.'!$O$1,L16,K16)-DATE('Rentecalc.'!$O$1,1,1))*I16)/E!I$85))</f>
        <v>0</v>
      </c>
      <c r="D60" s="628"/>
      <c r="E60" s="627">
        <f>IF(L16=0,0,(IF(M16=0,((DATE('Rentecalc.'!O$1+1,1,1)-DATE('Rentecalc.'!$O$1,(L16),K16))*(I16-(1*J16)))/E!I$85,((DATE('Rentecalc.'!$O$1,(M16),K16)-DATE('Rentecalc.'!$O$1,(L16),K16))*(I16-(1*J16)))/E!I$85)))</f>
        <v>0</v>
      </c>
      <c r="F60" s="627"/>
      <c r="G60" s="627">
        <f>IF(M16=0,0,(IF(N16=0,((DATE('Rentecalc.'!O$1+1,1,1)-DATE('Rentecalc.'!$O$1,(M16),K16))*(I16-(2*J16)))/365,((DATE('Rentecalc.'!$O$1,(N16),K16)-DATE('Rentecalc.'!$O$1,(M16),K16))*(I16-(2*J16)))/E!I$85)))</f>
        <v>0</v>
      </c>
      <c r="H60" s="627"/>
      <c r="I60" s="66">
        <f>IF(N16=0,0,(IF(O16=0,((DATE('Rentecalc.'!O$1+1,1,1)-DATE('Rentecalc.'!$O$1,(N16),K16))*(I16-(3*J16)))/E!I$85,((DATE('Rentecalc.'!$O$1,(O16),K16)-DATE('Rentecalc.'!$O$1,(N16),K16))*(I16-(3*J16)))/E!I$85)))</f>
        <v>0</v>
      </c>
      <c r="J60" s="627">
        <f>IF(O16=0,0,(IF(P16=0,((DATE('Rentecalc.'!O$1+1,1,1)-DATE('Rentecalc.'!$O$1,(O16),K16))*(I16-(4*J16)))/E!I$85,((DATE('Rentecalc.'!$O$1,(P16),K16)-DATE('Rentecalc.'!$O$1,(O16),K16))*(I16-(4*J16)))/E!I$85)))</f>
        <v>0</v>
      </c>
      <c r="K60" s="627"/>
      <c r="L60" s="627">
        <f>IF(P16=0,0,(IF(Q16=0,((DATE('Rentecalc.'!O$1+1,1,1)-DATE('Rentecalc.'!$O$1,(P16),K16))*(I16-(5*J16)))/E!I$85,((DATE('Rentecalc.'!$O$1,(Q16),K16)-DATE('Rentecalc.'!$O$1,(P16),K16))*(I16-(5*J16)))/E!I$85)))</f>
        <v>0</v>
      </c>
      <c r="M60" s="627"/>
      <c r="N60" s="627"/>
      <c r="O60" s="627"/>
      <c r="P60" s="627"/>
      <c r="Q60" s="627"/>
      <c r="R60" s="67">
        <f>IF(Q16=0,0,((DATE('Rentecalc.'!O$1+1,1,1)-DATE('Rentecalc.'!$O$1,(Q16),K16))*(I16-(6*J16)))/E!I$85)</f>
        <v>0</v>
      </c>
      <c r="S60" s="68">
        <f t="shared" si="15"/>
        <v>0</v>
      </c>
      <c r="T60" s="69">
        <f t="shared" si="16"/>
        <v>0</v>
      </c>
      <c r="U60" s="5"/>
      <c r="V60" s="46"/>
      <c r="W60" s="155"/>
      <c r="X60" s="155"/>
      <c r="Y60" s="155"/>
      <c r="Z60" s="155"/>
      <c r="AA60" s="155"/>
      <c r="AB60" s="155"/>
      <c r="AC60" s="160">
        <f t="shared" si="17"/>
        <v>0</v>
      </c>
      <c r="AD60" s="160">
        <f t="shared" si="18"/>
        <v>0</v>
      </c>
      <c r="AE60" s="159"/>
      <c r="AF60" s="159"/>
      <c r="AG60" s="159"/>
      <c r="AH60" s="159"/>
      <c r="AI60" s="159"/>
      <c r="AJ60" s="159"/>
      <c r="AK60" s="159"/>
      <c r="AL60" s="159"/>
      <c r="AM60" s="159"/>
    </row>
    <row r="61" spans="1:39" s="6" customFormat="1" ht="12.75" customHeight="1">
      <c r="A61" s="46"/>
      <c r="B61" s="172">
        <f t="shared" si="19"/>
        <v>812</v>
      </c>
      <c r="C61" s="628">
        <f>IF(J17=0,I17,(((DATE('Rentecalc.'!$O$1,L17,K17)-DATE('Rentecalc.'!$O$1,1,1))*I17)/E!I$85))</f>
        <v>0</v>
      </c>
      <c r="D61" s="628"/>
      <c r="E61" s="627">
        <f>IF(L17=0,0,(IF(M17=0,((DATE('Rentecalc.'!O$1+1,1,1)-DATE('Rentecalc.'!$O$1,(L17),K17))*(I17-(1*J17)))/E!I$85,((DATE('Rentecalc.'!$O$1,(M17),K17)-DATE('Rentecalc.'!$O$1,(L17),K17))*(I17-(1*J17)))/E!I$85)))</f>
        <v>0</v>
      </c>
      <c r="F61" s="627"/>
      <c r="G61" s="627">
        <f>IF(M17=0,0,(IF(N17=0,((DATE('Rentecalc.'!O$1+1,1,1)-DATE('Rentecalc.'!$O$1,(M17),K17))*(I17-(2*J17)))/365,((DATE('Rentecalc.'!$O$1,(N17),K17)-DATE('Rentecalc.'!$O$1,(M17),K17))*(I17-(2*J17)))/E!I$85)))</f>
        <v>0</v>
      </c>
      <c r="H61" s="627"/>
      <c r="I61" s="66">
        <f>IF(N17=0,0,(IF(O17=0,((DATE('Rentecalc.'!O$1+1,1,1)-DATE('Rentecalc.'!$O$1,(N17),K17))*(I17-(3*J17)))/E!I$85,((DATE('Rentecalc.'!$O$1,(O17),K17)-DATE('Rentecalc.'!$O$1,(N17),K17))*(I17-(3*J17)))/E!I$85)))</f>
        <v>0</v>
      </c>
      <c r="J61" s="627">
        <f>IF(O17=0,0,(IF(P17=0,((DATE('Rentecalc.'!O$1+1,1,1)-DATE('Rentecalc.'!$O$1,(O17),K17))*(I17-(4*J17)))/E!I$85,((DATE('Rentecalc.'!$O$1,(P17),K17)-DATE('Rentecalc.'!$O$1,(O17),K17))*(I17-(4*J17)))/E!I$85)))</f>
        <v>0</v>
      </c>
      <c r="K61" s="627"/>
      <c r="L61" s="627">
        <f>IF(P17=0,0,(IF(Q17=0,((DATE('Rentecalc.'!O$1+1,1,1)-DATE('Rentecalc.'!$O$1,(P17),K17))*(I17-(5*J17)))/E!I$85,((DATE('Rentecalc.'!$O$1,(Q17),K17)-DATE('Rentecalc.'!$O$1,(P17),K17))*(I17-(5*J17)))/E!I$85)))</f>
        <v>0</v>
      </c>
      <c r="M61" s="627"/>
      <c r="N61" s="627"/>
      <c r="O61" s="627"/>
      <c r="P61" s="627"/>
      <c r="Q61" s="627"/>
      <c r="R61" s="67">
        <f>IF(Q17=0,0,((DATE('Rentecalc.'!O$1+1,1,1)-DATE('Rentecalc.'!$O$1,(Q17),K17))*(I17-(6*J17)))/E!I$85)</f>
        <v>0</v>
      </c>
      <c r="S61" s="68">
        <f t="shared" si="15"/>
        <v>0</v>
      </c>
      <c r="T61" s="69">
        <f t="shared" si="16"/>
        <v>0</v>
      </c>
      <c r="U61" s="5"/>
      <c r="V61" s="46"/>
      <c r="W61" s="155"/>
      <c r="X61" s="155"/>
      <c r="Y61" s="155"/>
      <c r="Z61" s="155"/>
      <c r="AA61" s="155"/>
      <c r="AB61" s="155"/>
      <c r="AC61" s="160">
        <f t="shared" si="17"/>
        <v>0</v>
      </c>
      <c r="AD61" s="160">
        <f t="shared" si="18"/>
        <v>0</v>
      </c>
      <c r="AE61" s="159"/>
      <c r="AF61" s="159"/>
      <c r="AG61" s="159"/>
      <c r="AH61" s="159"/>
      <c r="AI61" s="159"/>
      <c r="AJ61" s="159"/>
      <c r="AK61" s="159"/>
      <c r="AL61" s="159"/>
      <c r="AM61" s="159"/>
    </row>
    <row r="62" spans="1:39" s="6" customFormat="1" ht="12.75" customHeight="1">
      <c r="A62" s="46"/>
      <c r="B62" s="172">
        <f t="shared" si="19"/>
        <v>813</v>
      </c>
      <c r="C62" s="628">
        <f>IF(J18=0,I18,(((DATE('Rentecalc.'!$O$1,L18,K18)-DATE('Rentecalc.'!$O$1,1,1))*I18)/E!I$85))</f>
        <v>0</v>
      </c>
      <c r="D62" s="628"/>
      <c r="E62" s="627">
        <f>IF(L18=0,0,(IF(M18=0,((DATE('Rentecalc.'!O$1+1,1,1)-DATE('Rentecalc.'!$O$1,(L18),K18))*(I18-(1*J18)))/E!I$85,((DATE('Rentecalc.'!$O$1,(M18),K18)-DATE('Rentecalc.'!$O$1,(L18),K18))*(I18-(1*J18)))/E!I$85)))</f>
        <v>0</v>
      </c>
      <c r="F62" s="627"/>
      <c r="G62" s="627">
        <f>IF(M18=0,0,(IF(N18=0,((DATE('Rentecalc.'!O$1+1,1,1)-DATE('Rentecalc.'!$O$1,(M18),K18))*(I18-(2*J18)))/365,((DATE('Rentecalc.'!$O$1,(N18),K18)-DATE('Rentecalc.'!$O$1,(M18),K18))*(I18-(2*J18)))/E!I$85)))</f>
        <v>0</v>
      </c>
      <c r="H62" s="627"/>
      <c r="I62" s="66">
        <f>IF(N18=0,0,(IF(O18=0,((DATE('Rentecalc.'!O$1+1,1,1)-DATE('Rentecalc.'!$O$1,(N18),K18))*(I18-(3*J18)))/E!I$85,((DATE('Rentecalc.'!$O$1,(O18),K18)-DATE('Rentecalc.'!$O$1,(N18),K18))*(I18-(3*J18)))/E!I$85)))</f>
        <v>0</v>
      </c>
      <c r="J62" s="627">
        <f>IF(O18=0,0,(IF(P18=0,((DATE('Rentecalc.'!O$1+1,1,1)-DATE('Rentecalc.'!$O$1,(O18),K18))*(I18-(4*J18)))/E!I$85,((DATE('Rentecalc.'!$O$1,(P18),K18)-DATE('Rentecalc.'!$O$1,(O18),K18))*(I18-(4*J18)))/E!I$85)))</f>
        <v>0</v>
      </c>
      <c r="K62" s="627"/>
      <c r="L62" s="627">
        <f>IF(P18=0,0,(IF(Q18=0,((DATE('Rentecalc.'!O$1+1,1,1)-DATE('Rentecalc.'!$O$1,(P18),K18))*(I18-(5*J18)))/E!I$85,((DATE('Rentecalc.'!$O$1,(Q18),K18)-DATE('Rentecalc.'!$O$1,(P18),K18))*(I18-(5*J18)))/E!I$85)))</f>
        <v>0</v>
      </c>
      <c r="M62" s="627"/>
      <c r="N62" s="627"/>
      <c r="O62" s="627"/>
      <c r="P62" s="627"/>
      <c r="Q62" s="627"/>
      <c r="R62" s="67">
        <f>IF(Q18=0,0,((DATE('Rentecalc.'!O$1+1,1,1)-DATE('Rentecalc.'!$O$1,(Q18),K18))*(I18-(6*J18)))/E!I$85)</f>
        <v>0</v>
      </c>
      <c r="S62" s="68">
        <f t="shared" si="15"/>
        <v>0</v>
      </c>
      <c r="T62" s="69">
        <f t="shared" si="16"/>
        <v>0</v>
      </c>
      <c r="U62" s="5"/>
      <c r="V62" s="46"/>
      <c r="W62" s="155"/>
      <c r="X62" s="155"/>
      <c r="Y62" s="155"/>
      <c r="Z62" s="155"/>
      <c r="AA62" s="155"/>
      <c r="AB62" s="155"/>
      <c r="AC62" s="160">
        <f t="shared" si="17"/>
        <v>0</v>
      </c>
      <c r="AD62" s="160">
        <f t="shared" si="18"/>
        <v>0</v>
      </c>
      <c r="AE62" s="159"/>
      <c r="AF62" s="159"/>
      <c r="AG62" s="159"/>
      <c r="AH62" s="159"/>
      <c r="AI62" s="159"/>
      <c r="AJ62" s="159"/>
      <c r="AK62" s="159"/>
      <c r="AL62" s="159"/>
      <c r="AM62" s="159"/>
    </row>
    <row r="63" spans="1:39" s="6" customFormat="1" ht="12.75" customHeight="1">
      <c r="A63" s="46"/>
      <c r="B63" s="172">
        <f t="shared" si="19"/>
        <v>814</v>
      </c>
      <c r="C63" s="628">
        <f>IF(J19=0,I19,(((DATE('Rentecalc.'!$O$1,L19,K19)-DATE('Rentecalc.'!$O$1,1,1))*I19)/E!I$85))</f>
        <v>0</v>
      </c>
      <c r="D63" s="628"/>
      <c r="E63" s="627">
        <f>IF(L19=0,0,(IF(M19=0,((DATE('Rentecalc.'!O$1+1,1,1)-DATE('Rentecalc.'!$O$1,(L19),K19))*(I19-(1*J19)))/E!I$85,((DATE('Rentecalc.'!$O$1,(M19),K19)-DATE('Rentecalc.'!$O$1,(L19),K19))*(I19-(1*J19)))/E!I$85)))</f>
        <v>0</v>
      </c>
      <c r="F63" s="627"/>
      <c r="G63" s="627">
        <f>IF(M19=0,0,(IF(N19=0,((DATE('Rentecalc.'!O$1+1,1,1)-DATE('Rentecalc.'!$O$1,(M19),K19))*(I19-(2*J19)))/365,((DATE('Rentecalc.'!$O$1,(N19),K19)-DATE('Rentecalc.'!$O$1,(M19),K19))*(I19-(2*J19)))/E!I$85)))</f>
        <v>0</v>
      </c>
      <c r="H63" s="627"/>
      <c r="I63" s="66">
        <f>IF(N19=0,0,(IF(O19=0,((DATE('Rentecalc.'!O$1+1,1,1)-DATE('Rentecalc.'!$O$1,(N19),K19))*(I19-(3*J19)))/E!I$85,((DATE('Rentecalc.'!$O$1,(O19),K19)-DATE('Rentecalc.'!$O$1,(N19),K19))*(I19-(3*J19)))/E!I$85)))</f>
        <v>0</v>
      </c>
      <c r="J63" s="627">
        <f>IF(O19=0,0,(IF(P19=0,((DATE('Rentecalc.'!O$1+1,1,1)-DATE('Rentecalc.'!$O$1,(O19),K19))*(I19-(4*J19)))/E!I$85,((DATE('Rentecalc.'!$O$1,(P19),K19)-DATE('Rentecalc.'!$O$1,(O19),K19))*(I19-(4*J19)))/E!I$85)))</f>
        <v>0</v>
      </c>
      <c r="K63" s="627"/>
      <c r="L63" s="627">
        <f>IF(P19=0,0,(IF(Q19=0,((DATE('Rentecalc.'!O$1+1,1,1)-DATE('Rentecalc.'!$O$1,(P19),K19))*(I19-(5*J19)))/E!I$85,((DATE('Rentecalc.'!$O$1,(Q19),K19)-DATE('Rentecalc.'!$O$1,(P19),K19))*(I19-(5*J19)))/E!I$85)))</f>
        <v>0</v>
      </c>
      <c r="M63" s="627"/>
      <c r="N63" s="627"/>
      <c r="O63" s="627"/>
      <c r="P63" s="627"/>
      <c r="Q63" s="627"/>
      <c r="R63" s="67">
        <f>IF(Q19=0,0,((DATE('Rentecalc.'!O$1+1,1,1)-DATE('Rentecalc.'!$O$1,(Q19),K19))*(I19-(6*J19)))/E!I$85)</f>
        <v>0</v>
      </c>
      <c r="S63" s="68">
        <f t="shared" si="15"/>
        <v>0</v>
      </c>
      <c r="T63" s="69">
        <f t="shared" si="16"/>
        <v>0</v>
      </c>
      <c r="U63" s="5"/>
      <c r="V63" s="46"/>
      <c r="W63" s="155"/>
      <c r="X63" s="155"/>
      <c r="Y63" s="155"/>
      <c r="Z63" s="155"/>
      <c r="AA63" s="155"/>
      <c r="AB63" s="155"/>
      <c r="AC63" s="160"/>
      <c r="AD63" s="160"/>
      <c r="AE63" s="159"/>
      <c r="AF63" s="159"/>
      <c r="AG63" s="159"/>
      <c r="AH63" s="159"/>
      <c r="AI63" s="159"/>
      <c r="AJ63" s="159"/>
      <c r="AK63" s="159"/>
      <c r="AL63" s="159"/>
      <c r="AM63" s="159"/>
    </row>
    <row r="64" spans="1:39" s="6" customFormat="1" ht="12.75" customHeight="1">
      <c r="A64" s="46"/>
      <c r="B64" s="172">
        <f t="shared" si="19"/>
        <v>815</v>
      </c>
      <c r="C64" s="628">
        <f>IF(J20=0,I20,(((DATE('Rentecalc.'!$O$1,L20,K20)-DATE('Rentecalc.'!$O$1,1,1))*I20)/E!I$85))</f>
        <v>0</v>
      </c>
      <c r="D64" s="628"/>
      <c r="E64" s="627">
        <f>IF(L20=0,0,(IF(M20=0,((DATE('Rentecalc.'!O$1+1,1,1)-DATE('Rentecalc.'!$O$1,(L20),K20))*(I20-(1*J20)))/E!I$85,((DATE('Rentecalc.'!$O$1,(M20),K20)-DATE('Rentecalc.'!$O$1,(L20),K20))*(I20-(1*J20)))/E!I$85)))</f>
        <v>0</v>
      </c>
      <c r="F64" s="627"/>
      <c r="G64" s="627">
        <f>IF(M20=0,0,(IF(N20=0,((DATE('Rentecalc.'!O$1+1,1,1)-DATE('Rentecalc.'!$O$1,(M20),K20))*(I20-(2*J20)))/365,((DATE('Rentecalc.'!$O$1,(N20),K20)-DATE('Rentecalc.'!$O$1,(M20),K20))*(I20-(2*J20)))/E!I$85)))</f>
        <v>0</v>
      </c>
      <c r="H64" s="627"/>
      <c r="I64" s="66">
        <f>IF(N20=0,0,(IF(O20=0,((DATE('Rentecalc.'!O$1+1,1,1)-DATE('Rentecalc.'!$O$1,(N20),K20))*(I20-(3*J20)))/E!I$85,((DATE('Rentecalc.'!$O$1,(O20),K20)-DATE('Rentecalc.'!$O$1,(N20),K20))*(I20-(3*J20)))/E!I$85)))</f>
        <v>0</v>
      </c>
      <c r="J64" s="627">
        <f>IF(O20=0,0,(IF(P20=0,((DATE('Rentecalc.'!O$1+1,1,1)-DATE('Rentecalc.'!$O$1,(O20),K20))*(I20-(4*J20)))/E!I$85,((DATE('Rentecalc.'!$O$1,(P20),K20)-DATE('Rentecalc.'!$O$1,(O20),K20))*(I20-(4*J20)))/E!I$85)))</f>
        <v>0</v>
      </c>
      <c r="K64" s="627"/>
      <c r="L64" s="627">
        <f>IF(P20=0,0,(IF(Q20=0,((DATE('Rentecalc.'!O$1+1,1,1)-DATE('Rentecalc.'!$O$1,(P20),K20))*(I20-(5*J20)))/E!I$85,((DATE('Rentecalc.'!$O$1,(Q20),K20)-DATE('Rentecalc.'!$O$1,(P20),K20))*(I20-(5*J20)))/E!I$85)))</f>
        <v>0</v>
      </c>
      <c r="M64" s="627"/>
      <c r="N64" s="627"/>
      <c r="O64" s="627"/>
      <c r="P64" s="627"/>
      <c r="Q64" s="627"/>
      <c r="R64" s="67">
        <f>IF(Q20=0,0,((DATE('Rentecalc.'!O$1+1,1,1)-DATE('Rentecalc.'!$O$1,(Q20),K20))*(I20-(6*J20)))/E!I$85)</f>
        <v>0</v>
      </c>
      <c r="S64" s="68">
        <f t="shared" si="15"/>
        <v>0</v>
      </c>
      <c r="T64" s="69">
        <f t="shared" si="16"/>
        <v>0</v>
      </c>
      <c r="U64" s="5"/>
      <c r="V64" s="46"/>
      <c r="W64" s="155"/>
      <c r="X64" s="155"/>
      <c r="Y64" s="155"/>
      <c r="Z64" s="155"/>
      <c r="AA64" s="155"/>
      <c r="AB64" s="155"/>
      <c r="AC64" s="160"/>
      <c r="AD64" s="160"/>
      <c r="AE64" s="159"/>
      <c r="AF64" s="159"/>
      <c r="AG64" s="159"/>
      <c r="AH64" s="159"/>
      <c r="AI64" s="159"/>
      <c r="AJ64" s="159"/>
      <c r="AK64" s="159"/>
      <c r="AL64" s="159"/>
      <c r="AM64" s="159"/>
    </row>
    <row r="65" spans="1:39" s="6" customFormat="1" ht="12.75" customHeight="1">
      <c r="A65" s="46"/>
      <c r="B65" s="172">
        <f t="shared" si="19"/>
        <v>816</v>
      </c>
      <c r="C65" s="628">
        <f>IF(J21=0,I21,(((DATE('Rentecalc.'!$O$1,L21,K21)-DATE('Rentecalc.'!$O$1,1,1))*I21)/E!I$85))</f>
        <v>0</v>
      </c>
      <c r="D65" s="628"/>
      <c r="E65" s="627">
        <f>IF(L21=0,0,(IF(M21=0,((DATE('Rentecalc.'!O$1+1,1,1)-DATE('Rentecalc.'!$O$1,(L21),K21))*(I21-(1*J21)))/E!I$85,((DATE('Rentecalc.'!$O$1,(M21),K21)-DATE('Rentecalc.'!$O$1,(L21),K21))*(I21-(1*J21)))/E!I$85)))</f>
        <v>0</v>
      </c>
      <c r="F65" s="627"/>
      <c r="G65" s="627">
        <f>IF(M21=0,0,(IF(N21=0,((DATE('Rentecalc.'!O$1+1,1,1)-DATE('Rentecalc.'!$O$1,(M21),K21))*(I21-(2*J21)))/365,((DATE('Rentecalc.'!$O$1,(N21),K21)-DATE('Rentecalc.'!$O$1,(M21),K21))*(I21-(2*J21)))/E!I$85)))</f>
        <v>0</v>
      </c>
      <c r="H65" s="627"/>
      <c r="I65" s="66">
        <f>IF(N21=0,0,(IF(O21=0,((DATE('Rentecalc.'!O$1+1,1,1)-DATE('Rentecalc.'!$O$1,(N21),K21))*(I21-(3*J21)))/E!I$85,((DATE('Rentecalc.'!$O$1,(O21),K21)-DATE('Rentecalc.'!$O$1,(N21),K21))*(I21-(3*J21)))/E!I$85)))</f>
        <v>0</v>
      </c>
      <c r="J65" s="627">
        <f>IF(O21=0,0,(IF(P21=0,((DATE('Rentecalc.'!O$1+1,1,1)-DATE('Rentecalc.'!$O$1,(O21),K21))*(I21-(4*J21)))/E!I$85,((DATE('Rentecalc.'!$O$1,(P21),K21)-DATE('Rentecalc.'!$O$1,(O21),K21))*(I21-(4*J21)))/E!I$85)))</f>
        <v>0</v>
      </c>
      <c r="K65" s="627"/>
      <c r="L65" s="627">
        <f>IF(P21=0,0,(IF(Q21=0,((DATE('Rentecalc.'!O$1+1,1,1)-DATE('Rentecalc.'!$O$1,(P21),K21))*(I21-(5*J21)))/E!I$85,((DATE('Rentecalc.'!$O$1,(Q21),K21)-DATE('Rentecalc.'!$O$1,(P21),K21))*(I21-(5*J21)))/E!I$85)))</f>
        <v>0</v>
      </c>
      <c r="M65" s="627"/>
      <c r="N65" s="627"/>
      <c r="O65" s="627"/>
      <c r="P65" s="627"/>
      <c r="Q65" s="627"/>
      <c r="R65" s="67">
        <f>IF(Q21=0,0,((DATE('Rentecalc.'!O$1+1,1,1)-DATE('Rentecalc.'!$O$1,(Q21),K21))*(I21-(6*J21)))/E!I$85)</f>
        <v>0</v>
      </c>
      <c r="S65" s="68">
        <f t="shared" si="15"/>
        <v>0</v>
      </c>
      <c r="T65" s="69">
        <f t="shared" si="16"/>
        <v>0</v>
      </c>
      <c r="U65" s="5"/>
      <c r="V65" s="46"/>
      <c r="W65" s="155"/>
      <c r="X65" s="155"/>
      <c r="Y65" s="155"/>
      <c r="Z65" s="155"/>
      <c r="AA65" s="155"/>
      <c r="AB65" s="155"/>
      <c r="AC65" s="160"/>
      <c r="AD65" s="160"/>
      <c r="AE65" s="159"/>
      <c r="AF65" s="159"/>
      <c r="AG65" s="159"/>
      <c r="AH65" s="159"/>
      <c r="AI65" s="159"/>
      <c r="AJ65" s="159"/>
      <c r="AK65" s="159"/>
      <c r="AL65" s="159"/>
      <c r="AM65" s="159"/>
    </row>
    <row r="66" spans="1:39" s="6" customFormat="1" ht="12.75" customHeight="1">
      <c r="A66" s="46"/>
      <c r="B66" s="172">
        <f t="shared" si="19"/>
        <v>817</v>
      </c>
      <c r="C66" s="628">
        <f>IF(J22=0,I22,(((DATE('Rentecalc.'!$O$1,L22,K22)-DATE('Rentecalc.'!$O$1,1,1))*I22)/E!I$85))</f>
        <v>0</v>
      </c>
      <c r="D66" s="628"/>
      <c r="E66" s="627">
        <f>IF(L22=0,0,(IF(M22=0,((DATE('Rentecalc.'!O$1+1,1,1)-DATE('Rentecalc.'!$O$1,(L22),K22))*(I22-(1*J22)))/E!I$85,((DATE('Rentecalc.'!$O$1,(M22),K22)-DATE('Rentecalc.'!$O$1,(L22),K22))*(I22-(1*J22)))/E!I$85)))</f>
        <v>0</v>
      </c>
      <c r="F66" s="627"/>
      <c r="G66" s="627">
        <f>IF(M22=0,0,(IF(N22=0,((DATE('Rentecalc.'!O$1+1,1,1)-DATE('Rentecalc.'!$O$1,(M22),K22))*(I22-(2*J22)))/365,((DATE('Rentecalc.'!$O$1,(N22),K22)-DATE('Rentecalc.'!$O$1,(M22),K22))*(I22-(2*J22)))/E!I$85)))</f>
        <v>0</v>
      </c>
      <c r="H66" s="627"/>
      <c r="I66" s="66">
        <f>IF(N22=0,0,(IF(O22=0,((DATE('Rentecalc.'!O$1+1,1,1)-DATE('Rentecalc.'!$O$1,(N22),K22))*(I22-(3*J22)))/E!I$85,((DATE('Rentecalc.'!$O$1,(O22),K22)-DATE('Rentecalc.'!$O$1,(N22),K22))*(I22-(3*J22)))/E!I$85)))</f>
        <v>0</v>
      </c>
      <c r="J66" s="627">
        <f>IF(O22=0,0,(IF(P22=0,((DATE('Rentecalc.'!O$1+1,1,1)-DATE('Rentecalc.'!$O$1,(O22),K22))*(I22-(4*J22)))/E!I$85,((DATE('Rentecalc.'!$O$1,(P22),K22)-DATE('Rentecalc.'!$O$1,(O22),K22))*(I22-(4*J22)))/E!I$85)))</f>
        <v>0</v>
      </c>
      <c r="K66" s="627"/>
      <c r="L66" s="627">
        <f>IF(P22=0,0,(IF(Q22=0,((DATE('Rentecalc.'!O$1+1,1,1)-DATE('Rentecalc.'!$O$1,(P22),K22))*(I22-(5*J22)))/E!I$85,((DATE('Rentecalc.'!$O$1,(Q22),K22)-DATE('Rentecalc.'!$O$1,(P22),K22))*(I22-(5*J22)))/E!I$85)))</f>
        <v>0</v>
      </c>
      <c r="M66" s="627"/>
      <c r="N66" s="627"/>
      <c r="O66" s="627"/>
      <c r="P66" s="627"/>
      <c r="Q66" s="627"/>
      <c r="R66" s="67">
        <f>IF(Q22=0,0,((DATE('Rentecalc.'!O$1+1,1,1)-DATE('Rentecalc.'!$O$1,(Q22),K22))*(I22-(6*J22)))/E!I$85)</f>
        <v>0</v>
      </c>
      <c r="S66" s="68">
        <f t="shared" si="15"/>
        <v>0</v>
      </c>
      <c r="T66" s="69">
        <f t="shared" si="16"/>
        <v>0</v>
      </c>
      <c r="U66" s="5"/>
      <c r="V66" s="46"/>
      <c r="W66" s="155"/>
      <c r="X66" s="155"/>
      <c r="Y66" s="155"/>
      <c r="Z66" s="155"/>
      <c r="AA66" s="155"/>
      <c r="AB66" s="155"/>
      <c r="AC66" s="160"/>
      <c r="AD66" s="160"/>
      <c r="AE66" s="159"/>
      <c r="AF66" s="159"/>
      <c r="AG66" s="159"/>
      <c r="AH66" s="159"/>
      <c r="AI66" s="159"/>
      <c r="AJ66" s="159"/>
      <c r="AK66" s="159"/>
      <c r="AL66" s="159"/>
      <c r="AM66" s="159"/>
    </row>
    <row r="67" spans="1:39" s="6" customFormat="1" ht="12.75" customHeight="1">
      <c r="A67" s="46"/>
      <c r="B67" s="172">
        <f t="shared" si="19"/>
        <v>818</v>
      </c>
      <c r="C67" s="628">
        <f>IF(J23=0,I23,(((DATE('Rentecalc.'!$O$1,L23,K23)-DATE('Rentecalc.'!$O$1,1,1))*I23)/E!I$85))</f>
        <v>0</v>
      </c>
      <c r="D67" s="628"/>
      <c r="E67" s="627">
        <f>IF(L23=0,0,(IF(M23=0,((DATE('Rentecalc.'!O$1+1,1,1)-DATE('Rentecalc.'!$O$1,(L23),K23))*(I23-(1*J23)))/E!I$85,((DATE('Rentecalc.'!$O$1,(M23),K23)-DATE('Rentecalc.'!$O$1,(L23),K23))*(I23-(1*J23)))/E!I$85)))</f>
        <v>0</v>
      </c>
      <c r="F67" s="627"/>
      <c r="G67" s="627">
        <f>IF(M23=0,0,(IF(N23=0,((DATE('Rentecalc.'!O$1+1,1,1)-DATE('Rentecalc.'!$O$1,(M23),K23))*(I23-(2*J23)))/365,((DATE('Rentecalc.'!$O$1,(N23),K23)-DATE('Rentecalc.'!$O$1,(M23),K23))*(I23-(2*J23)))/E!I$85)))</f>
        <v>0</v>
      </c>
      <c r="H67" s="627"/>
      <c r="I67" s="66">
        <f>IF(N23=0,0,(IF(O23=0,((DATE('Rentecalc.'!O$1+1,1,1)-DATE('Rentecalc.'!$O$1,(N23),K23))*(I23-(3*J23)))/E!I$85,((DATE('Rentecalc.'!$O$1,(O23),K23)-DATE('Rentecalc.'!$O$1,(N23),K23))*(I23-(3*J23)))/E!I$85)))</f>
        <v>0</v>
      </c>
      <c r="J67" s="627">
        <f>IF(O23=0,0,(IF(P23=0,((DATE('Rentecalc.'!O$1+1,1,1)-DATE('Rentecalc.'!$O$1,(O23),K23))*(I23-(4*J23)))/E!I$85,((DATE('Rentecalc.'!$O$1,(P23),K23)-DATE('Rentecalc.'!$O$1,(O23),K23))*(I23-(4*J23)))/E!I$85)))</f>
        <v>0</v>
      </c>
      <c r="K67" s="627"/>
      <c r="L67" s="627">
        <f>IF(P23=0,0,(IF(Q23=0,((DATE('Rentecalc.'!O$1+1,1,1)-DATE('Rentecalc.'!$O$1,(P23),K23))*(I23-(5*J23)))/E!I$85,((DATE('Rentecalc.'!$O$1,(Q23),K23)-DATE('Rentecalc.'!$O$1,(P23),K23))*(I23-(5*J23)))/E!I$85)))</f>
        <v>0</v>
      </c>
      <c r="M67" s="627"/>
      <c r="N67" s="627"/>
      <c r="O67" s="627"/>
      <c r="P67" s="627"/>
      <c r="Q67" s="627"/>
      <c r="R67" s="67">
        <f>IF(Q23=0,0,((DATE('Rentecalc.'!O$1+1,1,1)-DATE('Rentecalc.'!$O$1,(Q23),K23))*(I23-(6*J23)))/E!I$85)</f>
        <v>0</v>
      </c>
      <c r="S67" s="68">
        <f t="shared" si="15"/>
        <v>0</v>
      </c>
      <c r="T67" s="69">
        <f t="shared" si="16"/>
        <v>0</v>
      </c>
      <c r="U67" s="5"/>
      <c r="V67" s="46"/>
      <c r="W67" s="155"/>
      <c r="X67" s="155"/>
      <c r="Y67" s="155"/>
      <c r="Z67" s="155"/>
      <c r="AA67" s="155"/>
      <c r="AB67" s="155"/>
      <c r="AC67" s="160"/>
      <c r="AD67" s="160"/>
      <c r="AE67" s="159"/>
      <c r="AF67" s="159"/>
      <c r="AG67" s="159"/>
      <c r="AH67" s="159"/>
      <c r="AI67" s="159"/>
      <c r="AJ67" s="159"/>
      <c r="AK67" s="159"/>
      <c r="AL67" s="159"/>
      <c r="AM67" s="159"/>
    </row>
    <row r="68" spans="1:39" s="6" customFormat="1" ht="12.75" customHeight="1">
      <c r="A68" s="46"/>
      <c r="B68" s="172">
        <f t="shared" si="19"/>
        <v>819</v>
      </c>
      <c r="C68" s="628">
        <f>IF(J24=0,I24,(((DATE('Rentecalc.'!$O$1,L24,K24)-DATE('Rentecalc.'!$O$1,1,1))*I24)/E!I$85))</f>
        <v>0</v>
      </c>
      <c r="D68" s="628"/>
      <c r="E68" s="627">
        <f>IF(L24=0,0,(IF(M24=0,((DATE('Rentecalc.'!O$1+1,1,1)-DATE('Rentecalc.'!$O$1,(L24),K24))*(I24-(1*J24)))/E!I$85,((DATE('Rentecalc.'!$O$1,(M24),K24)-DATE('Rentecalc.'!$O$1,(L24),K24))*(I24-(1*J24)))/E!I$85)))</f>
        <v>0</v>
      </c>
      <c r="F68" s="627"/>
      <c r="G68" s="627">
        <f>IF(M24=0,0,(IF(N24=0,((DATE('Rentecalc.'!O$1+1,1,1)-DATE('Rentecalc.'!$O$1,(M24),K24))*(I24-(2*J24)))/365,((DATE('Rentecalc.'!$O$1,(N24),K24)-DATE('Rentecalc.'!$O$1,(M24),K24))*(I24-(2*J24)))/E!I$85)))</f>
        <v>0</v>
      </c>
      <c r="H68" s="627"/>
      <c r="I68" s="66">
        <f>IF(N24=0,0,(IF(O24=0,((DATE('Rentecalc.'!O$1+1,1,1)-DATE('Rentecalc.'!$O$1,(N24),K24))*(I24-(3*J24)))/E!I$85,((DATE('Rentecalc.'!$O$1,(O24),K24)-DATE('Rentecalc.'!$O$1,(N24),K24))*(I24-(3*J24)))/E!I$85)))</f>
        <v>0</v>
      </c>
      <c r="J68" s="627">
        <f>IF(O24=0,0,(IF(P24=0,((DATE('Rentecalc.'!O$1+1,1,1)-DATE('Rentecalc.'!$O$1,(O24),K24))*(I24-(4*J24)))/E!I$85,((DATE('Rentecalc.'!$O$1,(P24),K24)-DATE('Rentecalc.'!$O$1,(O24),K24))*(I24-(4*J24)))/E!I$85)))</f>
        <v>0</v>
      </c>
      <c r="K68" s="627"/>
      <c r="L68" s="627">
        <f>IF(P24=0,0,(IF(Q24=0,((DATE('Rentecalc.'!O$1+1,1,1)-DATE('Rentecalc.'!$O$1,(P24),K24))*(I24-(5*J24)))/E!I$85,((DATE('Rentecalc.'!$O$1,(Q24),K24)-DATE('Rentecalc.'!$O$1,(P24),K24))*(I24-(5*J24)))/E!I$85)))</f>
        <v>0</v>
      </c>
      <c r="M68" s="627"/>
      <c r="N68" s="627"/>
      <c r="O68" s="627"/>
      <c r="P68" s="627"/>
      <c r="Q68" s="627"/>
      <c r="R68" s="67">
        <f>IF(Q24=0,0,((DATE('Rentecalc.'!O$1+1,1,1)-DATE('Rentecalc.'!$O$1,(Q24),K24))*(I24-(6*J24)))/E!I$85)</f>
        <v>0</v>
      </c>
      <c r="S68" s="68">
        <f t="shared" si="15"/>
        <v>0</v>
      </c>
      <c r="T68" s="69">
        <f t="shared" si="16"/>
        <v>0</v>
      </c>
      <c r="U68" s="5"/>
      <c r="V68" s="46"/>
      <c r="W68" s="155"/>
      <c r="X68" s="155"/>
      <c r="Y68" s="155"/>
      <c r="Z68" s="155"/>
      <c r="AA68" s="155"/>
      <c r="AB68" s="155"/>
      <c r="AC68" s="160"/>
      <c r="AD68" s="160"/>
      <c r="AE68" s="159"/>
      <c r="AF68" s="159"/>
      <c r="AG68" s="159"/>
      <c r="AH68" s="159"/>
      <c r="AI68" s="159"/>
      <c r="AJ68" s="159"/>
      <c r="AK68" s="159"/>
      <c r="AL68" s="159"/>
      <c r="AM68" s="159"/>
    </row>
    <row r="69" spans="1:39" s="6" customFormat="1" ht="12.75" customHeight="1">
      <c r="A69" s="46"/>
      <c r="B69" s="172">
        <f t="shared" si="19"/>
        <v>820</v>
      </c>
      <c r="C69" s="628">
        <f>IF(J25=0,I25,(((DATE('Rentecalc.'!$O$1,L25,K25)-DATE('Rentecalc.'!$O$1,1,1))*I25)/E!I$85))</f>
        <v>0</v>
      </c>
      <c r="D69" s="628"/>
      <c r="E69" s="627">
        <f>IF(L25=0,0,(IF(M25=0,((DATE('Rentecalc.'!O$1+1,1,1)-DATE('Rentecalc.'!$O$1,(L25),K25))*(I25-(1*J25)))/E!I$85,((DATE('Rentecalc.'!$O$1,(M25),K25)-DATE('Rentecalc.'!$O$1,(L25),K25))*(I25-(1*J25)))/E!I$85)))</f>
        <v>0</v>
      </c>
      <c r="F69" s="627"/>
      <c r="G69" s="627">
        <f>IF(M25=0,0,(IF(N25=0,((DATE('Rentecalc.'!O$1+1,1,1)-DATE('Rentecalc.'!$O$1,(M25),K25))*(I25-(2*J25)))/365,((DATE('Rentecalc.'!$O$1,(N25),K25)-DATE('Rentecalc.'!$O$1,(M25),K25))*(I25-(2*J25)))/E!I$85)))</f>
        <v>0</v>
      </c>
      <c r="H69" s="627"/>
      <c r="I69" s="66">
        <f>IF(N25=0,0,(IF(O25=0,((DATE('Rentecalc.'!O$1+1,1,1)-DATE('Rentecalc.'!$O$1,(N25),K25))*(I25-(3*J25)))/E!I$85,((DATE('Rentecalc.'!$O$1,(O25),K25)-DATE('Rentecalc.'!$O$1,(N25),K25))*(I25-(3*J25)))/E!I$85)))</f>
        <v>0</v>
      </c>
      <c r="J69" s="627">
        <f>IF(O25=0,0,(IF(P25=0,((DATE('Rentecalc.'!O$1+1,1,1)-DATE('Rentecalc.'!$O$1,(O25),K25))*(I25-(4*J25)))/E!I$85,((DATE('Rentecalc.'!$O$1,(P25),K25)-DATE('Rentecalc.'!$O$1,(O25),K25))*(I25-(4*J25)))/E!I$85)))</f>
        <v>0</v>
      </c>
      <c r="K69" s="627"/>
      <c r="L69" s="627">
        <f>IF(P25=0,0,(IF(Q25=0,((DATE('Rentecalc.'!O$1+1,1,1)-DATE('Rentecalc.'!$O$1,(P25),K25))*(I25-(5*J25)))/E!I$85,((DATE('Rentecalc.'!$O$1,(Q25),K25)-DATE('Rentecalc.'!$O$1,(P25),K25))*(I25-(5*J25)))/E!I$85)))</f>
        <v>0</v>
      </c>
      <c r="M69" s="627"/>
      <c r="N69" s="627"/>
      <c r="O69" s="627"/>
      <c r="P69" s="627"/>
      <c r="Q69" s="627"/>
      <c r="R69" s="67">
        <f>IF(Q25=0,0,((DATE('Rentecalc.'!O$1+1,1,1)-DATE('Rentecalc.'!$O$1,(Q25),K25))*(I25-(6*J25)))/E!I$85)</f>
        <v>0</v>
      </c>
      <c r="S69" s="68">
        <f t="shared" si="15"/>
        <v>0</v>
      </c>
      <c r="T69" s="69">
        <f t="shared" si="16"/>
        <v>0</v>
      </c>
      <c r="U69" s="5"/>
      <c r="V69" s="46"/>
      <c r="W69" s="155"/>
      <c r="X69" s="155"/>
      <c r="Y69" s="155"/>
      <c r="Z69" s="155"/>
      <c r="AA69" s="155"/>
      <c r="AB69" s="155"/>
      <c r="AC69" s="160"/>
      <c r="AD69" s="160"/>
      <c r="AE69" s="159"/>
      <c r="AF69" s="159"/>
      <c r="AG69" s="159"/>
      <c r="AH69" s="159"/>
      <c r="AI69" s="159"/>
      <c r="AJ69" s="159"/>
      <c r="AK69" s="159"/>
      <c r="AL69" s="159"/>
      <c r="AM69" s="159"/>
    </row>
    <row r="70" spans="1:39" s="6" customFormat="1" ht="12.75" customHeight="1">
      <c r="A70" s="46"/>
      <c r="B70" s="172">
        <f t="shared" si="19"/>
        <v>821</v>
      </c>
      <c r="C70" s="628">
        <f>IF(J26=0,I26,(((DATE('Rentecalc.'!$O$1,L26,K26)-DATE('Rentecalc.'!$O$1,1,1))*I26)/E!I$85))</f>
        <v>0</v>
      </c>
      <c r="D70" s="628"/>
      <c r="E70" s="627">
        <f>IF(L26=0,0,(IF(M26=0,((DATE('Rentecalc.'!O$1+1,1,1)-DATE('Rentecalc.'!$O$1,(L26),K26))*(I26-(1*J26)))/E!I$85,((DATE('Rentecalc.'!$O$1,(M26),K26)-DATE('Rentecalc.'!$O$1,(L26),K26))*(I26-(1*J26)))/E!I$85)))</f>
        <v>0</v>
      </c>
      <c r="F70" s="627"/>
      <c r="G70" s="627">
        <f>IF(M26=0,0,(IF(N26=0,((DATE('Rentecalc.'!O$1+1,1,1)-DATE('Rentecalc.'!$O$1,(M26),K26))*(I26-(2*J26)))/365,((DATE('Rentecalc.'!$O$1,(N26),K26)-DATE('Rentecalc.'!$O$1,(M26),K26))*(I26-(2*J26)))/E!I$85)))</f>
        <v>0</v>
      </c>
      <c r="H70" s="627"/>
      <c r="I70" s="66">
        <f>IF(N26=0,0,(IF(O26=0,((DATE('Rentecalc.'!O$1+1,1,1)-DATE('Rentecalc.'!$O$1,(N26),K26))*(I26-(3*J26)))/E!I$85,((DATE('Rentecalc.'!$O$1,(O26),K26)-DATE('Rentecalc.'!$O$1,(N26),K26))*(I26-(3*J26)))/E!I$85)))</f>
        <v>0</v>
      </c>
      <c r="J70" s="627">
        <f>IF(O26=0,0,(IF(P26=0,((DATE('Rentecalc.'!O$1+1,1,1)-DATE('Rentecalc.'!$O$1,(O26),K26))*(I26-(4*J26)))/E!I$85,((DATE('Rentecalc.'!$O$1,(P26),K26)-DATE('Rentecalc.'!$O$1,(O26),K26))*(I26-(4*J26)))/E!I$85)))</f>
        <v>0</v>
      </c>
      <c r="K70" s="627"/>
      <c r="L70" s="627">
        <f>IF(P26=0,0,(IF(Q26=0,((DATE('Rentecalc.'!O$1+1,1,1)-DATE('Rentecalc.'!$O$1,(P26),K26))*(I26-(5*J26)))/E!I$85,((DATE('Rentecalc.'!$O$1,(Q26),K26)-DATE('Rentecalc.'!$O$1,(P26),K26))*(I26-(5*J26)))/E!I$85)))</f>
        <v>0</v>
      </c>
      <c r="M70" s="627"/>
      <c r="N70" s="627"/>
      <c r="O70" s="627"/>
      <c r="P70" s="627"/>
      <c r="Q70" s="627"/>
      <c r="R70" s="67">
        <f>IF(Q26=0,0,((DATE('Rentecalc.'!O$1+1,1,1)-DATE('Rentecalc.'!$O$1,(Q26),K26))*(I26-(6*J26)))/E!I$85)</f>
        <v>0</v>
      </c>
      <c r="S70" s="68">
        <f t="shared" si="15"/>
        <v>0</v>
      </c>
      <c r="T70" s="69">
        <f t="shared" si="16"/>
        <v>0</v>
      </c>
      <c r="U70" s="5"/>
      <c r="V70" s="46"/>
      <c r="W70" s="155"/>
      <c r="X70" s="155"/>
      <c r="Y70" s="155"/>
      <c r="Z70" s="155"/>
      <c r="AA70" s="155"/>
      <c r="AB70" s="155"/>
      <c r="AC70" s="160"/>
      <c r="AD70" s="160"/>
      <c r="AE70" s="159"/>
      <c r="AF70" s="159"/>
      <c r="AG70" s="159"/>
      <c r="AH70" s="159"/>
      <c r="AI70" s="159"/>
      <c r="AJ70" s="159"/>
      <c r="AK70" s="159"/>
      <c r="AL70" s="159"/>
      <c r="AM70" s="159"/>
    </row>
    <row r="71" spans="1:39" s="6" customFormat="1" ht="12.75" customHeight="1">
      <c r="A71" s="46"/>
      <c r="B71" s="172">
        <f t="shared" si="19"/>
        <v>822</v>
      </c>
      <c r="C71" s="628">
        <f>IF(J27=0,I27,(((DATE('Rentecalc.'!$O$1,L27,K27)-DATE('Rentecalc.'!$O$1,1,1))*I27)/E!I$85))</f>
        <v>0</v>
      </c>
      <c r="D71" s="628"/>
      <c r="E71" s="627">
        <f>IF(L27=0,0,(IF(M27=0,((DATE('Rentecalc.'!O$1+1,1,1)-DATE('Rentecalc.'!$O$1,(L27),K27))*(I27-(1*J27)))/E!I$85,((DATE('Rentecalc.'!$O$1,(M27),K27)-DATE('Rentecalc.'!$O$1,(L27),K27))*(I27-(1*J27)))/E!I$85)))</f>
        <v>0</v>
      </c>
      <c r="F71" s="627"/>
      <c r="G71" s="627">
        <f>IF(M27=0,0,(IF(N27=0,((DATE('Rentecalc.'!O$1+1,1,1)-DATE('Rentecalc.'!$O$1,(M27),K27))*(I27-(2*J27)))/365,((DATE('Rentecalc.'!$O$1,(N27),K27)-DATE('Rentecalc.'!$O$1,(M27),K27))*(I27-(2*J27)))/E!I$85)))</f>
        <v>0</v>
      </c>
      <c r="H71" s="627"/>
      <c r="I71" s="66">
        <f>IF(N27=0,0,(IF(O27=0,((DATE('Rentecalc.'!O$1+1,1,1)-DATE('Rentecalc.'!$O$1,(N27),K27))*(I27-(3*J27)))/E!I$85,((DATE('Rentecalc.'!$O$1,(O27),K27)-DATE('Rentecalc.'!$O$1,(N27),K27))*(I27-(3*J27)))/E!I$85)))</f>
        <v>0</v>
      </c>
      <c r="J71" s="627">
        <f>IF(O27=0,0,(IF(P27=0,((DATE('Rentecalc.'!O$1+1,1,1)-DATE('Rentecalc.'!$O$1,(O27),K27))*(I27-(4*J27)))/E!I$85,((DATE('Rentecalc.'!$O$1,(P27),K27)-DATE('Rentecalc.'!$O$1,(O27),K27))*(I27-(4*J27)))/E!I$85)))</f>
        <v>0</v>
      </c>
      <c r="K71" s="627"/>
      <c r="L71" s="627">
        <f>IF(P27=0,0,(IF(Q27=0,((DATE('Rentecalc.'!O$1+1,1,1)-DATE('Rentecalc.'!$O$1,(P27),K27))*(I27-(5*J27)))/E!I$85,((DATE('Rentecalc.'!$O$1,(Q27),K27)-DATE('Rentecalc.'!$O$1,(P27),K27))*(I27-(5*J27)))/E!I$85)))</f>
        <v>0</v>
      </c>
      <c r="M71" s="627"/>
      <c r="N71" s="627"/>
      <c r="O71" s="627"/>
      <c r="P71" s="627"/>
      <c r="Q71" s="627"/>
      <c r="R71" s="67">
        <f>IF(Q27=0,0,((DATE('Rentecalc.'!O$1+1,1,1)-DATE('Rentecalc.'!$O$1,(Q27),K27))*(I27-(6*J27)))/E!I$85)</f>
        <v>0</v>
      </c>
      <c r="S71" s="68">
        <f t="shared" si="15"/>
        <v>0</v>
      </c>
      <c r="T71" s="69">
        <f t="shared" si="16"/>
        <v>0</v>
      </c>
      <c r="U71" s="5"/>
      <c r="V71" s="46"/>
      <c r="W71" s="155"/>
      <c r="X71" s="155"/>
      <c r="Y71" s="155"/>
      <c r="Z71" s="155"/>
      <c r="AA71" s="155"/>
      <c r="AB71" s="155"/>
      <c r="AC71" s="160"/>
      <c r="AD71" s="160"/>
      <c r="AE71" s="159"/>
      <c r="AF71" s="159"/>
      <c r="AG71" s="159"/>
      <c r="AH71" s="159"/>
      <c r="AI71" s="159"/>
      <c r="AJ71" s="159"/>
      <c r="AK71" s="159"/>
      <c r="AL71" s="159"/>
      <c r="AM71" s="159"/>
    </row>
    <row r="72" spans="1:39" s="6" customFormat="1" ht="12.75" customHeight="1">
      <c r="A72" s="46"/>
      <c r="B72" s="172">
        <f t="shared" si="19"/>
        <v>823</v>
      </c>
      <c r="C72" s="628">
        <f>IF(J28=0,I28,(((DATE('Rentecalc.'!$O$1,L28,K28)-DATE('Rentecalc.'!$O$1,1,1))*I28)/E!I$85))</f>
        <v>0</v>
      </c>
      <c r="D72" s="628"/>
      <c r="E72" s="627">
        <f>IF(L28=0,0,(IF(M28=0,((DATE('Rentecalc.'!O$1+1,1,1)-DATE('Rentecalc.'!$O$1,(L28),K28))*(I28-(1*J28)))/E!I$85,((DATE('Rentecalc.'!$O$1,(M28),K28)-DATE('Rentecalc.'!$O$1,(L28),K28))*(I28-(1*J28)))/E!I$85)))</f>
        <v>0</v>
      </c>
      <c r="F72" s="627"/>
      <c r="G72" s="627">
        <f>IF(M28=0,0,(IF(N28=0,((DATE('Rentecalc.'!O$1+1,1,1)-DATE('Rentecalc.'!$O$1,(M28),K28))*(I28-(2*J28)))/365,((DATE('Rentecalc.'!$O$1,(N28),K28)-DATE('Rentecalc.'!$O$1,(M28),K28))*(I28-(2*J28)))/E!I$85)))</f>
        <v>0</v>
      </c>
      <c r="H72" s="627"/>
      <c r="I72" s="66">
        <f>IF(N28=0,0,(IF(O28=0,((DATE('Rentecalc.'!O$1+1,1,1)-DATE('Rentecalc.'!$O$1,(N28),K28))*(I28-(3*J28)))/E!I$85,((DATE('Rentecalc.'!$O$1,(O28),K28)-DATE('Rentecalc.'!$O$1,(N28),K28))*(I28-(3*J28)))/E!I$85)))</f>
        <v>0</v>
      </c>
      <c r="J72" s="627">
        <f>IF(O28=0,0,(IF(P28=0,((DATE('Rentecalc.'!O$1+1,1,1)-DATE('Rentecalc.'!$O$1,(O28),K28))*(I28-(4*J28)))/E!I$85,((DATE('Rentecalc.'!$O$1,(P28),K28)-DATE('Rentecalc.'!$O$1,(O28),K28))*(I28-(4*J28)))/E!I$85)))</f>
        <v>0</v>
      </c>
      <c r="K72" s="627"/>
      <c r="L72" s="627">
        <f>IF(P28=0,0,(IF(Q28=0,((DATE('Rentecalc.'!O$1+1,1,1)-DATE('Rentecalc.'!$O$1,(P28),K28))*(I28-(5*J28)))/E!I$85,((DATE('Rentecalc.'!$O$1,(Q28),K28)-DATE('Rentecalc.'!$O$1,(P28),K28))*(I28-(5*J28)))/E!I$85)))</f>
        <v>0</v>
      </c>
      <c r="M72" s="627"/>
      <c r="N72" s="627"/>
      <c r="O72" s="627"/>
      <c r="P72" s="627"/>
      <c r="Q72" s="627"/>
      <c r="R72" s="67">
        <f>IF(Q28=0,0,((DATE('Rentecalc.'!O$1+1,1,1)-DATE('Rentecalc.'!$O$1,(Q28),K28))*(I28-(6*J28)))/E!I$85)</f>
        <v>0</v>
      </c>
      <c r="S72" s="68">
        <f t="shared" si="15"/>
        <v>0</v>
      </c>
      <c r="T72" s="69">
        <f t="shared" si="16"/>
        <v>0</v>
      </c>
      <c r="U72" s="5"/>
      <c r="V72" s="46"/>
      <c r="W72" s="155"/>
      <c r="X72" s="155"/>
      <c r="Y72" s="155"/>
      <c r="Z72" s="155"/>
      <c r="AA72" s="155"/>
      <c r="AB72" s="155"/>
      <c r="AC72" s="160"/>
      <c r="AD72" s="160"/>
      <c r="AE72" s="159"/>
      <c r="AF72" s="159"/>
      <c r="AG72" s="159"/>
      <c r="AH72" s="159"/>
      <c r="AI72" s="159"/>
      <c r="AJ72" s="159"/>
      <c r="AK72" s="159"/>
      <c r="AL72" s="159"/>
      <c r="AM72" s="159"/>
    </row>
    <row r="73" spans="1:39" s="6" customFormat="1" ht="12.75" customHeight="1">
      <c r="A73" s="46"/>
      <c r="B73" s="172">
        <f t="shared" si="19"/>
        <v>824</v>
      </c>
      <c r="C73" s="628">
        <f>IF(J29=0,I29,(((DATE('Rentecalc.'!$O$1,L29,K29)-DATE('Rentecalc.'!$O$1,1,1))*I29)/E!I$85))</f>
        <v>0</v>
      </c>
      <c r="D73" s="628"/>
      <c r="E73" s="627">
        <f>IF(L29=0,0,(IF(M29=0,((DATE('Rentecalc.'!O$1+1,1,1)-DATE('Rentecalc.'!$O$1,(L29),K29))*(I29-(1*J29)))/E!I$85,((DATE('Rentecalc.'!$O$1,(M29),K29)-DATE('Rentecalc.'!$O$1,(L29),K29))*(I29-(1*J29)))/E!I$85)))</f>
        <v>0</v>
      </c>
      <c r="F73" s="627"/>
      <c r="G73" s="627">
        <f>IF(M29=0,0,(IF(N29=0,((DATE('Rentecalc.'!O$1+1,1,1)-DATE('Rentecalc.'!$O$1,(M29),K29))*(I29-(2*J29)))/365,((DATE('Rentecalc.'!$O$1,(N29),K29)-DATE('Rentecalc.'!$O$1,(M29),K29))*(I29-(2*J29)))/E!I$85)))</f>
        <v>0</v>
      </c>
      <c r="H73" s="627"/>
      <c r="I73" s="66">
        <f>IF(N29=0,0,(IF(O29=0,((DATE('Rentecalc.'!O$1+1,1,1)-DATE('Rentecalc.'!$O$1,(N29),K29))*(I29-(3*J29)))/E!I$85,((DATE('Rentecalc.'!$O$1,(O29),K29)-DATE('Rentecalc.'!$O$1,(N29),K29))*(I29-(3*J29)))/E!I$85)))</f>
        <v>0</v>
      </c>
      <c r="J73" s="627">
        <f>IF(O29=0,0,(IF(P29=0,((DATE('Rentecalc.'!O$1+1,1,1)-DATE('Rentecalc.'!$O$1,(O29),K29))*(I29-(4*J29)))/E!I$85,((DATE('Rentecalc.'!$O$1,(P29),K29)-DATE('Rentecalc.'!$O$1,(O29),K29))*(I29-(4*J29)))/E!I$85)))</f>
        <v>0</v>
      </c>
      <c r="K73" s="627"/>
      <c r="L73" s="627">
        <f>IF(P29=0,0,(IF(Q29=0,((DATE('Rentecalc.'!O$1+1,1,1)-DATE('Rentecalc.'!$O$1,(P29),K29))*(I29-(5*J29)))/E!I$85,((DATE('Rentecalc.'!$O$1,(Q29),K29)-DATE('Rentecalc.'!$O$1,(P29),K29))*(I29-(5*J29)))/E!I$85)))</f>
        <v>0</v>
      </c>
      <c r="M73" s="627"/>
      <c r="N73" s="627"/>
      <c r="O73" s="627"/>
      <c r="P73" s="627"/>
      <c r="Q73" s="627"/>
      <c r="R73" s="67">
        <f>IF(Q29=0,0,((DATE('Rentecalc.'!O$1+1,1,1)-DATE('Rentecalc.'!$O$1,(Q29),K29))*(I29-(6*J29)))/E!I$85)</f>
        <v>0</v>
      </c>
      <c r="S73" s="68">
        <f t="shared" si="15"/>
        <v>0</v>
      </c>
      <c r="T73" s="69">
        <f t="shared" si="16"/>
        <v>0</v>
      </c>
      <c r="U73" s="5"/>
      <c r="V73" s="46"/>
      <c r="W73" s="155"/>
      <c r="X73" s="155"/>
      <c r="Y73" s="155"/>
      <c r="Z73" s="155"/>
      <c r="AA73" s="155"/>
      <c r="AB73" s="155"/>
      <c r="AC73" s="160">
        <f t="shared" si="17"/>
        <v>0</v>
      </c>
      <c r="AD73" s="160">
        <f t="shared" si="18"/>
        <v>0</v>
      </c>
      <c r="AE73" s="159"/>
      <c r="AF73" s="159"/>
      <c r="AG73" s="159"/>
      <c r="AH73" s="159"/>
      <c r="AI73" s="159"/>
      <c r="AJ73" s="159"/>
      <c r="AK73" s="159"/>
      <c r="AL73" s="159"/>
      <c r="AM73" s="159"/>
    </row>
    <row r="74" spans="1:39" s="6" customFormat="1" ht="12.75" customHeight="1">
      <c r="A74" s="46"/>
      <c r="B74" s="172">
        <f t="shared" si="19"/>
        <v>825</v>
      </c>
      <c r="C74" s="628">
        <f>IF(J30=0,I30,(((DATE('Rentecalc.'!$O$1,L30,K30)-DATE('Rentecalc.'!$O$1,1,1))*I30)/E!I$85))</f>
        <v>0</v>
      </c>
      <c r="D74" s="628"/>
      <c r="E74" s="627">
        <f>IF(L30=0,0,(IF(M30=0,((DATE('Rentecalc.'!O$1+1,1,1)-DATE('Rentecalc.'!$O$1,(L30),K30))*(I30-(1*J30)))/E!I$85,((DATE('Rentecalc.'!$O$1,(M30),K30)-DATE('Rentecalc.'!$O$1,(L30),K30))*(I30-(1*J30)))/E!I$85)))</f>
        <v>0</v>
      </c>
      <c r="F74" s="627"/>
      <c r="G74" s="627">
        <f>IF(M30=0,0,(IF(N30=0,((DATE('Rentecalc.'!O$1+1,1,1)-DATE('Rentecalc.'!$O$1,(M30),K30))*(I30-(2*J30)))/365,((DATE('Rentecalc.'!$O$1,(N30),K30)-DATE('Rentecalc.'!$O$1,(M30),K30))*(I30-(2*J30)))/E!I$85)))</f>
        <v>0</v>
      </c>
      <c r="H74" s="627"/>
      <c r="I74" s="66">
        <f>IF(N30=0,0,(IF(O30=0,((DATE('Rentecalc.'!O$1+1,1,1)-DATE('Rentecalc.'!$O$1,(N30),K30))*(I30-(3*J30)))/E!I$85,((DATE('Rentecalc.'!$O$1,(O30),K30)-DATE('Rentecalc.'!$O$1,(N30),K30))*(I30-(3*J30)))/E!I$85)))</f>
        <v>0</v>
      </c>
      <c r="J74" s="627">
        <f>IF(O30=0,0,(IF(P30=0,((DATE('Rentecalc.'!O$1+1,1,1)-DATE('Rentecalc.'!$O$1,(O30),K30))*(I30-(4*J30)))/E!I$85,((DATE('Rentecalc.'!$O$1,(P30),K30)-DATE('Rentecalc.'!$O$1,(O30),K30))*(I30-(4*J30)))/E!I$85)))</f>
        <v>0</v>
      </c>
      <c r="K74" s="627"/>
      <c r="L74" s="627">
        <f>IF(P30=0,0,(IF(Q30=0,((DATE('Rentecalc.'!O$1+1,1,1)-DATE('Rentecalc.'!$O$1,(P30),K30))*(I30-(5*J30)))/E!I$85,((DATE('Rentecalc.'!$O$1,(Q30),K30)-DATE('Rentecalc.'!$O$1,(P30),K30))*(I30-(5*J30)))/E!I$85)))</f>
        <v>0</v>
      </c>
      <c r="M74" s="627"/>
      <c r="N74" s="627"/>
      <c r="O74" s="627"/>
      <c r="P74" s="627"/>
      <c r="Q74" s="627"/>
      <c r="R74" s="67">
        <f>IF(Q30=0,0,((DATE('Rentecalc.'!O$1+1,1,1)-DATE('Rentecalc.'!$O$1,(Q30),K30))*(I30-(6*J30)))/E!I$85)</f>
        <v>0</v>
      </c>
      <c r="S74" s="68">
        <f t="shared" si="15"/>
        <v>0</v>
      </c>
      <c r="T74" s="69">
        <f t="shared" si="16"/>
        <v>0</v>
      </c>
      <c r="U74" s="5"/>
      <c r="V74" s="46"/>
      <c r="W74" s="155"/>
      <c r="X74" s="155"/>
      <c r="Y74" s="155"/>
      <c r="Z74" s="155"/>
      <c r="AA74" s="155"/>
      <c r="AB74" s="155"/>
      <c r="AC74" s="160">
        <f t="shared" si="17"/>
        <v>0</v>
      </c>
      <c r="AD74" s="160">
        <f t="shared" si="18"/>
        <v>0</v>
      </c>
      <c r="AE74" s="159"/>
      <c r="AF74" s="159"/>
      <c r="AG74" s="159"/>
      <c r="AH74" s="159"/>
      <c r="AI74" s="159"/>
      <c r="AJ74" s="159"/>
      <c r="AK74" s="159"/>
      <c r="AL74" s="159"/>
      <c r="AM74" s="159"/>
    </row>
    <row r="75" spans="1:39" s="6" customFormat="1" ht="12.75" customHeight="1">
      <c r="A75" s="46"/>
      <c r="B75" s="172">
        <f t="shared" si="19"/>
        <v>826</v>
      </c>
      <c r="C75" s="628">
        <f>IF(J31=0,I31,(((DATE('Rentecalc.'!$O$1,L31,K31)-DATE('Rentecalc.'!$O$1,1,1))*I31)/E!I$85))</f>
        <v>0</v>
      </c>
      <c r="D75" s="628"/>
      <c r="E75" s="627">
        <f>IF(L31=0,0,(IF(M31=0,((DATE('Rentecalc.'!O$1+1,1,1)-DATE('Rentecalc.'!$O$1,(L31),K31))*(I31-(1*J31)))/E!I$85,((DATE('Rentecalc.'!$O$1,(M31),K31)-DATE('Rentecalc.'!$O$1,(L31),K31))*(I31-(1*J31)))/E!I$85)))</f>
        <v>0</v>
      </c>
      <c r="F75" s="627"/>
      <c r="G75" s="627">
        <f>IF(M31=0,0,(IF(N31=0,((DATE('Rentecalc.'!O$1+1,1,1)-DATE('Rentecalc.'!$O$1,(M31),K31))*(I31-(2*J31)))/365,((DATE('Rentecalc.'!$O$1,(N31),K31)-DATE('Rentecalc.'!$O$1,(M31),K31))*(I31-(2*J31)))/E!I$85)))</f>
        <v>0</v>
      </c>
      <c r="H75" s="627"/>
      <c r="I75" s="66">
        <f>IF(N31=0,0,(IF(O31=0,((DATE('Rentecalc.'!O$1+1,1,1)-DATE('Rentecalc.'!$O$1,(N31),K31))*(I31-(3*J31)))/E!I$85,((DATE('Rentecalc.'!$O$1,(O31),K31)-DATE('Rentecalc.'!$O$1,(N31),K31))*(I31-(3*J31)))/E!I$85)))</f>
        <v>0</v>
      </c>
      <c r="J75" s="627">
        <f>IF(O31=0,0,(IF(P31=0,((DATE('Rentecalc.'!O$1+1,1,1)-DATE('Rentecalc.'!$O$1,(O31),K31))*(I31-(4*J31)))/E!I$85,((DATE('Rentecalc.'!$O$1,(P31),K31)-DATE('Rentecalc.'!$O$1,(O31),K31))*(I31-(4*J31)))/E!I$85)))</f>
        <v>0</v>
      </c>
      <c r="K75" s="627"/>
      <c r="L75" s="627">
        <f>IF(P31=0,0,(IF(Q31=0,((DATE('Rentecalc.'!O$1+1,1,1)-DATE('Rentecalc.'!$O$1,(P31),K31))*(I31-(5*J31)))/E!I$85,((DATE('Rentecalc.'!$O$1,(Q31),K31)-DATE('Rentecalc.'!$O$1,(P31),K31))*(I31-(5*J31)))/E!I$85)))</f>
        <v>0</v>
      </c>
      <c r="M75" s="627"/>
      <c r="N75" s="627"/>
      <c r="O75" s="627"/>
      <c r="P75" s="627"/>
      <c r="Q75" s="627"/>
      <c r="R75" s="67">
        <f>IF(Q31=0,0,((DATE('Rentecalc.'!O$1+1,1,1)-DATE('Rentecalc.'!$O$1,(Q31),K31))*(I31-(6*J31)))/E!I$85)</f>
        <v>0</v>
      </c>
      <c r="S75" s="68">
        <f t="shared" si="15"/>
        <v>0</v>
      </c>
      <c r="T75" s="69">
        <f t="shared" si="16"/>
        <v>0</v>
      </c>
      <c r="U75" s="5"/>
      <c r="V75" s="46"/>
      <c r="W75" s="155"/>
      <c r="X75" s="155"/>
      <c r="Y75" s="155"/>
      <c r="Z75" s="155"/>
      <c r="AA75" s="155"/>
      <c r="AB75" s="155"/>
      <c r="AC75" s="160">
        <f t="shared" si="17"/>
        <v>0</v>
      </c>
      <c r="AD75" s="160">
        <f t="shared" si="18"/>
        <v>0</v>
      </c>
      <c r="AE75" s="159"/>
      <c r="AF75" s="159"/>
      <c r="AG75" s="159"/>
      <c r="AH75" s="159"/>
      <c r="AI75" s="159"/>
      <c r="AJ75" s="159"/>
      <c r="AK75" s="159"/>
      <c r="AL75" s="159"/>
      <c r="AM75" s="159"/>
    </row>
    <row r="76" spans="1:39" s="6" customFormat="1" ht="12.75" customHeight="1">
      <c r="A76" s="46"/>
      <c r="B76" s="172">
        <f t="shared" si="19"/>
        <v>827</v>
      </c>
      <c r="C76" s="628">
        <f>IF(J32=0,I32,(((DATE('Rentecalc.'!$O$1,L32,K32)-DATE('Rentecalc.'!$O$1,1,1))*I32)/E!I$85))</f>
        <v>0</v>
      </c>
      <c r="D76" s="628"/>
      <c r="E76" s="627">
        <f>IF(L32=0,0,(IF(M32=0,((DATE('Rentecalc.'!O$1+1,1,1)-DATE('Rentecalc.'!$O$1,(L32),K32))*(I32-(1*J32)))/E!I$85,((DATE('Rentecalc.'!$O$1,(M32),K32)-DATE('Rentecalc.'!$O$1,(L32),K32))*(I32-(1*J32)))/E!I$85)))</f>
        <v>0</v>
      </c>
      <c r="F76" s="627"/>
      <c r="G76" s="627">
        <f>IF(M32=0,0,(IF(N32=0,((DATE('Rentecalc.'!O$1+1,1,1)-DATE('Rentecalc.'!$O$1,(M32),K32))*(I32-(2*J32)))/365,((DATE('Rentecalc.'!$O$1,(N32),K32)-DATE('Rentecalc.'!$O$1,(M32),K32))*(I32-(2*J32)))/E!I$85)))</f>
        <v>0</v>
      </c>
      <c r="H76" s="627"/>
      <c r="I76" s="66">
        <f>IF(N32=0,0,(IF(O32=0,((DATE('Rentecalc.'!O$1+1,1,1)-DATE('Rentecalc.'!$O$1,(N32),K32))*(I32-(3*J32)))/E!I$85,((DATE('Rentecalc.'!$O$1,(O32),K32)-DATE('Rentecalc.'!$O$1,(N32),K32))*(I32-(3*J32)))/E!I$85)))</f>
        <v>0</v>
      </c>
      <c r="J76" s="627">
        <f>IF(O32=0,0,(IF(P32=0,((DATE('Rentecalc.'!O$1+1,1,1)-DATE('Rentecalc.'!$O$1,(O32),K32))*(I32-(4*J32)))/E!I$85,((DATE('Rentecalc.'!$O$1,(P32),K32)-DATE('Rentecalc.'!$O$1,(O32),K32))*(I32-(4*J32)))/E!I$85)))</f>
        <v>0</v>
      </c>
      <c r="K76" s="627"/>
      <c r="L76" s="627">
        <f>IF(P32=0,0,(IF(Q32=0,((DATE('Rentecalc.'!O$1+1,1,1)-DATE('Rentecalc.'!$O$1,(P32),K32))*(I32-(5*J32)))/E!I$85,((DATE('Rentecalc.'!$O$1,(Q32),K32)-DATE('Rentecalc.'!$O$1,(P32),K32))*(I32-(5*J32)))/E!I$85)))</f>
        <v>0</v>
      </c>
      <c r="M76" s="627"/>
      <c r="N76" s="627"/>
      <c r="O76" s="627"/>
      <c r="P76" s="627"/>
      <c r="Q76" s="627"/>
      <c r="R76" s="67">
        <f>IF(Q32=0,0,((DATE('Rentecalc.'!O$1+1,1,1)-DATE('Rentecalc.'!$O$1,(Q32),K32))*(I32-(6*J32)))/E!I$85)</f>
        <v>0</v>
      </c>
      <c r="S76" s="68">
        <f t="shared" si="15"/>
        <v>0</v>
      </c>
      <c r="T76" s="69">
        <f t="shared" si="16"/>
        <v>0</v>
      </c>
      <c r="U76" s="5"/>
      <c r="V76" s="46"/>
      <c r="W76" s="155"/>
      <c r="X76" s="155"/>
      <c r="Y76" s="155"/>
      <c r="Z76" s="155"/>
      <c r="AA76" s="155"/>
      <c r="AB76" s="155"/>
      <c r="AC76" s="160">
        <f t="shared" si="17"/>
        <v>0</v>
      </c>
      <c r="AD76" s="160">
        <f t="shared" si="18"/>
        <v>0</v>
      </c>
      <c r="AE76" s="159"/>
      <c r="AF76" s="159"/>
      <c r="AG76" s="159"/>
      <c r="AH76" s="159"/>
      <c r="AI76" s="159"/>
      <c r="AJ76" s="159"/>
      <c r="AK76" s="159"/>
      <c r="AL76" s="159"/>
      <c r="AM76" s="159"/>
    </row>
    <row r="77" spans="1:39" s="6" customFormat="1" ht="12.75" customHeight="1">
      <c r="A77" s="46"/>
      <c r="B77" s="172">
        <f t="shared" si="19"/>
        <v>828</v>
      </c>
      <c r="C77" s="628">
        <f>IF(J33=0,I33,(((DATE('Rentecalc.'!$O$1,L33,K33)-DATE('Rentecalc.'!$O$1,1,1))*I33)/E!I$85))</f>
        <v>0</v>
      </c>
      <c r="D77" s="628"/>
      <c r="E77" s="627">
        <f>IF(L33=0,0,(IF(M33=0,((DATE('Rentecalc.'!O$1+1,1,1)-DATE('Rentecalc.'!$O$1,(L33),K33))*(I33-(1*J33)))/E!I$85,((DATE('Rentecalc.'!$O$1,(M33),K33)-DATE('Rentecalc.'!$O$1,(L33),K33))*(I33-(1*J33)))/E!I$85)))</f>
        <v>0</v>
      </c>
      <c r="F77" s="627"/>
      <c r="G77" s="627">
        <f>IF(M33=0,0,(IF(N33=0,((DATE('Rentecalc.'!O$1+1,1,1)-DATE('Rentecalc.'!$O$1,(M33),K33))*(I33-(2*J33)))/365,((DATE('Rentecalc.'!$O$1,(N33),K33)-DATE('Rentecalc.'!$O$1,(M33),K33))*(I33-(2*J33)))/E!I$85)))</f>
        <v>0</v>
      </c>
      <c r="H77" s="627"/>
      <c r="I77" s="66">
        <f>IF(N33=0,0,(IF(O33=0,((DATE('Rentecalc.'!O$1+1,1,1)-DATE('Rentecalc.'!$O$1,(N33),K33))*(I33-(3*J33)))/E!I$85,((DATE('Rentecalc.'!$O$1,(O33),K33)-DATE('Rentecalc.'!$O$1,(N33),K33))*(I33-(3*J33)))/E!I$85)))</f>
        <v>0</v>
      </c>
      <c r="J77" s="627">
        <f>IF(O33=0,0,(IF(P33=0,((DATE('Rentecalc.'!O$1+1,1,1)-DATE('Rentecalc.'!$O$1,(O33),K33))*(I33-(4*J33)))/E!I$85,((DATE('Rentecalc.'!$O$1,(P33),K33)-DATE('Rentecalc.'!$O$1,(O33),K33))*(I33-(4*J33)))/E!I$85)))</f>
        <v>0</v>
      </c>
      <c r="K77" s="627"/>
      <c r="L77" s="627">
        <f>IF(P33=0,0,(IF(Q33=0,((DATE('Rentecalc.'!O$1+1,1,1)-DATE('Rentecalc.'!$O$1,(P33),K33))*(I33-(5*J33)))/E!I$85,((DATE('Rentecalc.'!$O$1,(Q33),K33)-DATE('Rentecalc.'!$O$1,(P33),K33))*(I33-(5*J33)))/E!I$85)))</f>
        <v>0</v>
      </c>
      <c r="M77" s="627"/>
      <c r="N77" s="627"/>
      <c r="O77" s="627"/>
      <c r="P77" s="627"/>
      <c r="Q77" s="627"/>
      <c r="R77" s="67">
        <f>IF(Q33=0,0,((DATE('Rentecalc.'!O$1+1,1,1)-DATE('Rentecalc.'!$O$1,(Q33),K33))*(I33-(6*J33)))/E!I$85)</f>
        <v>0</v>
      </c>
      <c r="S77" s="68">
        <f t="shared" si="15"/>
        <v>0</v>
      </c>
      <c r="T77" s="69">
        <f t="shared" si="16"/>
        <v>0</v>
      </c>
      <c r="U77" s="5"/>
      <c r="V77" s="46"/>
      <c r="W77" s="155"/>
      <c r="X77" s="155"/>
      <c r="Y77" s="155"/>
      <c r="Z77" s="155"/>
      <c r="AA77" s="155"/>
      <c r="AB77" s="155"/>
      <c r="AC77" s="160">
        <f t="shared" si="17"/>
        <v>0</v>
      </c>
      <c r="AD77" s="160">
        <f t="shared" si="18"/>
        <v>0</v>
      </c>
      <c r="AE77" s="159"/>
      <c r="AF77" s="159"/>
      <c r="AG77" s="159"/>
      <c r="AH77" s="159"/>
      <c r="AI77" s="159"/>
      <c r="AJ77" s="159"/>
      <c r="AK77" s="159"/>
      <c r="AL77" s="159"/>
      <c r="AM77" s="159"/>
    </row>
    <row r="78" spans="1:39" s="6" customFormat="1" ht="12.75" customHeight="1">
      <c r="A78" s="46"/>
      <c r="B78" s="172">
        <f t="shared" si="19"/>
        <v>829</v>
      </c>
      <c r="C78" s="628">
        <f>IF(J34=0,I34,(((DATE('Rentecalc.'!$O$1,L34,K34)-DATE('Rentecalc.'!$O$1,1,1))*I34)/E!I$85))</f>
        <v>0</v>
      </c>
      <c r="D78" s="628"/>
      <c r="E78" s="627">
        <f>IF(L34=0,0,(IF(M34=0,((DATE('Rentecalc.'!O$1+1,1,1)-DATE('Rentecalc.'!$O$1,(L34),K34))*(I34-(1*J34)))/E!I$85,((DATE('Rentecalc.'!$O$1,(M34),K34)-DATE('Rentecalc.'!$O$1,(L34),K34))*(I34-(1*J34)))/E!I$85)))</f>
        <v>0</v>
      </c>
      <c r="F78" s="627"/>
      <c r="G78" s="627">
        <f>IF(M34=0,0,(IF(N34=0,((DATE('Rentecalc.'!O$1+1,1,1)-DATE('Rentecalc.'!$O$1,(M34),K34))*(I34-(2*J34)))/365,((DATE('Rentecalc.'!$O$1,(N34),K34)-DATE('Rentecalc.'!$O$1,(M34),K34))*(I34-(2*J34)))/E!I$85)))</f>
        <v>0</v>
      </c>
      <c r="H78" s="627"/>
      <c r="I78" s="66">
        <f>IF(N34=0,0,(IF(O34=0,((DATE('Rentecalc.'!O$1+1,1,1)-DATE('Rentecalc.'!$O$1,(N34),K34))*(I34-(3*J34)))/E!I$85,((DATE('Rentecalc.'!$O$1,(O34),K34)-DATE('Rentecalc.'!$O$1,(N34),K34))*(I34-(3*J34)))/E!I$85)))</f>
        <v>0</v>
      </c>
      <c r="J78" s="627">
        <f>IF(O34=0,0,(IF(P34=0,((DATE('Rentecalc.'!O$1+1,1,1)-DATE('Rentecalc.'!$O$1,(O34),K34))*(I34-(4*J34)))/E!I$85,((DATE('Rentecalc.'!$O$1,(P34),K34)-DATE('Rentecalc.'!$O$1,(O34),K34))*(I34-(4*J34)))/E!I$85)))</f>
        <v>0</v>
      </c>
      <c r="K78" s="627"/>
      <c r="L78" s="627">
        <f>IF(P34=0,0,(IF(Q34=0,((DATE('Rentecalc.'!O$1+1,1,1)-DATE('Rentecalc.'!$O$1,(P34),K34))*(I34-(5*J34)))/E!I$85,((DATE('Rentecalc.'!$O$1,(Q34),K34)-DATE('Rentecalc.'!$O$1,(P34),K34))*(I34-(5*J34)))/E!I$85)))</f>
        <v>0</v>
      </c>
      <c r="M78" s="627"/>
      <c r="N78" s="627"/>
      <c r="O78" s="627"/>
      <c r="P78" s="627"/>
      <c r="Q78" s="627"/>
      <c r="R78" s="67">
        <f>IF(Q34=0,0,((DATE('Rentecalc.'!O$1+1,1,1)-DATE('Rentecalc.'!$O$1,(Q34),K34))*(I34-(6*J34)))/E!I$85)</f>
        <v>0</v>
      </c>
      <c r="S78" s="68">
        <f t="shared" si="15"/>
        <v>0</v>
      </c>
      <c r="T78" s="69">
        <f t="shared" si="16"/>
        <v>0</v>
      </c>
      <c r="U78" s="5"/>
      <c r="V78" s="46"/>
      <c r="W78" s="155"/>
      <c r="X78" s="155"/>
      <c r="Y78" s="155"/>
      <c r="Z78" s="155"/>
      <c r="AA78" s="155"/>
      <c r="AB78" s="155"/>
      <c r="AC78" s="160">
        <f t="shared" si="17"/>
        <v>0</v>
      </c>
      <c r="AD78" s="160">
        <f t="shared" si="18"/>
        <v>0</v>
      </c>
      <c r="AE78" s="159"/>
      <c r="AF78" s="159"/>
      <c r="AG78" s="159"/>
      <c r="AH78" s="159"/>
      <c r="AI78" s="159"/>
      <c r="AJ78" s="159"/>
      <c r="AK78" s="159"/>
      <c r="AL78" s="159"/>
      <c r="AM78" s="159"/>
    </row>
    <row r="79" spans="1:39" s="6" customFormat="1" ht="12.75" customHeight="1">
      <c r="A79" s="46"/>
      <c r="B79" s="172">
        <f t="shared" si="19"/>
        <v>830</v>
      </c>
      <c r="C79" s="70"/>
      <c r="D79" s="71"/>
      <c r="E79" s="71"/>
      <c r="F79" s="71"/>
      <c r="G79" s="71"/>
      <c r="H79" s="71"/>
      <c r="I79" s="71"/>
      <c r="J79" s="71"/>
      <c r="K79" s="71"/>
      <c r="L79" s="71"/>
      <c r="M79" s="71"/>
      <c r="N79" s="71"/>
      <c r="O79" s="71"/>
      <c r="P79" s="71"/>
      <c r="Q79" s="71"/>
      <c r="R79" s="72"/>
      <c r="S79" s="34">
        <f>SUM(S50:S78)</f>
        <v>0</v>
      </c>
      <c r="T79" s="34">
        <f>SUM(T50:T78)</f>
        <v>0</v>
      </c>
      <c r="U79" s="5"/>
      <c r="V79" s="46"/>
      <c r="W79" s="155"/>
      <c r="X79" s="155"/>
      <c r="Y79" s="155"/>
      <c r="Z79" s="155"/>
      <c r="AA79" s="155"/>
      <c r="AB79" s="155"/>
      <c r="AC79" s="160"/>
      <c r="AD79" s="160"/>
      <c r="AE79" s="159"/>
      <c r="AF79" s="159"/>
      <c r="AG79" s="159"/>
      <c r="AH79" s="159"/>
      <c r="AI79" s="159"/>
      <c r="AJ79" s="159"/>
      <c r="AK79" s="159"/>
      <c r="AL79" s="159"/>
      <c r="AM79" s="159"/>
    </row>
    <row r="80" ht="11.25"/>
    <row r="81" spans="2:10" ht="11.25">
      <c r="B81" s="90"/>
      <c r="C81" s="230" t="s">
        <v>112</v>
      </c>
      <c r="I81" s="231"/>
      <c r="J81" s="231"/>
    </row>
    <row r="82" spans="2:10" ht="11.25">
      <c r="B82" s="172">
        <f>B79+1</f>
        <v>831</v>
      </c>
      <c r="C82" s="73" t="s">
        <v>34</v>
      </c>
      <c r="D82" s="74"/>
      <c r="E82" s="75"/>
      <c r="F82" s="74"/>
      <c r="G82" s="74"/>
      <c r="H82" s="74"/>
      <c r="I82" s="381">
        <f>'Rentecalc.'!O1</f>
        <v>2010</v>
      </c>
      <c r="J82" s="232"/>
    </row>
    <row r="83" spans="2:9" ht="11.25">
      <c r="B83" s="172">
        <f>B82+1</f>
        <v>832</v>
      </c>
      <c r="C83" s="73" t="str">
        <f>CONCATENATE("Datumwaarde van 1-1-",I82)</f>
        <v>Datumwaarde van 1-1-2010</v>
      </c>
      <c r="D83" s="74"/>
      <c r="E83" s="75"/>
      <c r="F83" s="74"/>
      <c r="G83" s="74"/>
      <c r="H83" s="74"/>
      <c r="I83" s="76">
        <f>DATE(I82,1,1)</f>
        <v>40179</v>
      </c>
    </row>
    <row r="84" spans="2:9" ht="11.25">
      <c r="B84" s="172">
        <f>B83+1</f>
        <v>833</v>
      </c>
      <c r="C84" s="73" t="str">
        <f>CONCATENATE("Datumwaarde van 1-1-",I82+1)</f>
        <v>Datumwaarde van 1-1-2011</v>
      </c>
      <c r="D84" s="74"/>
      <c r="E84" s="75"/>
      <c r="F84" s="74"/>
      <c r="G84" s="74"/>
      <c r="H84" s="74"/>
      <c r="I84" s="76">
        <f>DATE(I82+1,1,1)</f>
        <v>40544</v>
      </c>
    </row>
    <row r="85" spans="2:9" ht="11.25">
      <c r="B85" s="172">
        <f>B84+1</f>
        <v>834</v>
      </c>
      <c r="C85" s="189" t="str">
        <f>CONCATENATE("Aantal dagen van ",I82)</f>
        <v>Aantal dagen van 2010</v>
      </c>
      <c r="D85" s="190"/>
      <c r="E85" s="64"/>
      <c r="F85" s="190"/>
      <c r="G85" s="190"/>
      <c r="H85" s="190"/>
      <c r="I85" s="34">
        <f>I84-I83</f>
        <v>365</v>
      </c>
    </row>
    <row r="86" ht="11.25"/>
    <row r="87" ht="11.25" hidden="1"/>
    <row r="88" ht="11.25" hidden="1"/>
    <row r="89" ht="11.25" hidden="1"/>
  </sheetData>
  <sheetProtection password="C7EC" sheet="1" objects="1" scenarios="1"/>
  <mergeCells count="152">
    <mergeCell ref="B41:U41"/>
    <mergeCell ref="B42:U42"/>
    <mergeCell ref="B43:G43"/>
    <mergeCell ref="L65:Q65"/>
    <mergeCell ref="L60:Q60"/>
    <mergeCell ref="E52:F52"/>
    <mergeCell ref="J52:K52"/>
    <mergeCell ref="L52:Q52"/>
    <mergeCell ref="G52:H52"/>
    <mergeCell ref="G53:H53"/>
    <mergeCell ref="E73:F73"/>
    <mergeCell ref="J68:K68"/>
    <mergeCell ref="J73:K73"/>
    <mergeCell ref="J66:K66"/>
    <mergeCell ref="J69:K69"/>
    <mergeCell ref="J63:K63"/>
    <mergeCell ref="J65:K65"/>
    <mergeCell ref="G57:H57"/>
    <mergeCell ref="G60:H60"/>
    <mergeCell ref="E53:F53"/>
    <mergeCell ref="L66:Q66"/>
    <mergeCell ref="E71:F71"/>
    <mergeCell ref="E70:F70"/>
    <mergeCell ref="L70:Q70"/>
    <mergeCell ref="J70:K70"/>
    <mergeCell ref="L67:Q67"/>
    <mergeCell ref="J67:K67"/>
    <mergeCell ref="L68:Q68"/>
    <mergeCell ref="L69:Q69"/>
    <mergeCell ref="E60:F60"/>
    <mergeCell ref="L63:Q63"/>
    <mergeCell ref="J64:K64"/>
    <mergeCell ref="L64:Q64"/>
    <mergeCell ref="L61:Q61"/>
    <mergeCell ref="L62:Q62"/>
    <mergeCell ref="J61:K61"/>
    <mergeCell ref="J62:K62"/>
    <mergeCell ref="J60:K60"/>
    <mergeCell ref="G61:H61"/>
    <mergeCell ref="J54:K54"/>
    <mergeCell ref="G59:H59"/>
    <mergeCell ref="G58:H58"/>
    <mergeCell ref="G56:H56"/>
    <mergeCell ref="G55:H55"/>
    <mergeCell ref="G54:H54"/>
    <mergeCell ref="J4:Q4"/>
    <mergeCell ref="J51:K51"/>
    <mergeCell ref="L51:Q51"/>
    <mergeCell ref="J50:K50"/>
    <mergeCell ref="L50:Q50"/>
    <mergeCell ref="C48:R49"/>
    <mergeCell ref="L5:Q5"/>
    <mergeCell ref="E50:F50"/>
    <mergeCell ref="G51:H51"/>
    <mergeCell ref="G50:H50"/>
    <mergeCell ref="L75:Q75"/>
    <mergeCell ref="L76:Q76"/>
    <mergeCell ref="L77:Q77"/>
    <mergeCell ref="L71:Q71"/>
    <mergeCell ref="L74:Q74"/>
    <mergeCell ref="L72:Q72"/>
    <mergeCell ref="L73:Q73"/>
    <mergeCell ref="L78:Q78"/>
    <mergeCell ref="E51:F51"/>
    <mergeCell ref="E75:F75"/>
    <mergeCell ref="E76:F76"/>
    <mergeCell ref="E77:F77"/>
    <mergeCell ref="E68:F68"/>
    <mergeCell ref="E69:F69"/>
    <mergeCell ref="J56:K56"/>
    <mergeCell ref="L56:Q56"/>
    <mergeCell ref="J71:K71"/>
    <mergeCell ref="E78:F78"/>
    <mergeCell ref="G71:H71"/>
    <mergeCell ref="G78:H78"/>
    <mergeCell ref="E72:F72"/>
    <mergeCell ref="G72:H72"/>
    <mergeCell ref="G75:H75"/>
    <mergeCell ref="G76:H76"/>
    <mergeCell ref="G77:H77"/>
    <mergeCell ref="E74:F74"/>
    <mergeCell ref="G74:H74"/>
    <mergeCell ref="J78:K78"/>
    <mergeCell ref="J72:K72"/>
    <mergeCell ref="G68:H68"/>
    <mergeCell ref="G69:H69"/>
    <mergeCell ref="J77:K77"/>
    <mergeCell ref="J75:K75"/>
    <mergeCell ref="J76:K76"/>
    <mergeCell ref="J74:K74"/>
    <mergeCell ref="G73:H73"/>
    <mergeCell ref="G70:H70"/>
    <mergeCell ref="E65:F65"/>
    <mergeCell ref="G65:H65"/>
    <mergeCell ref="E67:F67"/>
    <mergeCell ref="G67:H67"/>
    <mergeCell ref="E66:F66"/>
    <mergeCell ref="G66:H66"/>
    <mergeCell ref="E64:F64"/>
    <mergeCell ref="G64:H64"/>
    <mergeCell ref="E61:F61"/>
    <mergeCell ref="E63:F63"/>
    <mergeCell ref="G63:H63"/>
    <mergeCell ref="G62:H62"/>
    <mergeCell ref="E62:F62"/>
    <mergeCell ref="C60:D60"/>
    <mergeCell ref="C61:D61"/>
    <mergeCell ref="C62:D62"/>
    <mergeCell ref="C50:D50"/>
    <mergeCell ref="C51:D51"/>
    <mergeCell ref="C52:D52"/>
    <mergeCell ref="C53:D53"/>
    <mergeCell ref="C55:D55"/>
    <mergeCell ref="C54:D54"/>
    <mergeCell ref="C57:D57"/>
    <mergeCell ref="C63:D63"/>
    <mergeCell ref="C64:D64"/>
    <mergeCell ref="C65:D65"/>
    <mergeCell ref="C66:D66"/>
    <mergeCell ref="C67:D67"/>
    <mergeCell ref="C68:D68"/>
    <mergeCell ref="C69:D69"/>
    <mergeCell ref="C73:D73"/>
    <mergeCell ref="C72:D72"/>
    <mergeCell ref="C78:D78"/>
    <mergeCell ref="C77:D77"/>
    <mergeCell ref="J55:K55"/>
    <mergeCell ref="L55:Q55"/>
    <mergeCell ref="C70:D70"/>
    <mergeCell ref="C71:D71"/>
    <mergeCell ref="C74:D74"/>
    <mergeCell ref="C75:D75"/>
    <mergeCell ref="C76:D76"/>
    <mergeCell ref="C56:D56"/>
    <mergeCell ref="C59:D59"/>
    <mergeCell ref="E54:F54"/>
    <mergeCell ref="C58:D58"/>
    <mergeCell ref="E58:F58"/>
    <mergeCell ref="E55:F55"/>
    <mergeCell ref="E59:F59"/>
    <mergeCell ref="E56:F56"/>
    <mergeCell ref="E57:F57"/>
    <mergeCell ref="S48:S49"/>
    <mergeCell ref="J58:K58"/>
    <mergeCell ref="J59:K59"/>
    <mergeCell ref="L59:Q59"/>
    <mergeCell ref="J57:K57"/>
    <mergeCell ref="L57:Q57"/>
    <mergeCell ref="L58:Q58"/>
    <mergeCell ref="L54:Q54"/>
    <mergeCell ref="J53:K53"/>
    <mergeCell ref="L53:Q53"/>
  </mergeCells>
  <conditionalFormatting sqref="B82:B85 B50:B79">
    <cfRule type="cellIs" priority="1" dxfId="5" operator="equal" stopIfTrue="1">
      <formula>0</formula>
    </cfRule>
  </conditionalFormatting>
  <conditionalFormatting sqref="C6:Q33 I34:J34 S36:S37 R34:U34">
    <cfRule type="expression" priority="2" dxfId="1" stopIfTrue="1">
      <formula>$R$2=TRUE</formula>
    </cfRule>
  </conditionalFormatting>
  <dataValidations count="9">
    <dataValidation type="custom" showInputMessage="1" showErrorMessage="1" errorTitle="Onjuiste invoer:" error="Hier kan alleen een getal van 1 t/m 12 worden ingevuld als de instelling onder de reikwijdte van de WTZi valt.&#10;Tevens moet de voorgaande kolom ingevuld zijn." sqref="M6:Q33">
      <formula1>AND(M6&gt;=1,M6&lt;=12,L6&lt;&gt;"",ROUND(M6,0)=M6)</formula1>
    </dataValidation>
    <dataValidation type="date" operator="greaterThan" allowBlank="1" showInputMessage="1" showErrorMessage="1" errorTitle="Onjuiste invoer" error="Hier kan alleen een datum worden ingevuld." sqref="D6:E33">
      <formula1>1</formula1>
    </dataValidation>
    <dataValidation type="list" allowBlank="1" showInputMessage="1" showErrorMessage="1" errorTitle="Onjuiste invoer:" error="- de mogelijke invoer is N, W of V" sqref="H6:H33">
      <formula1>"n,N,w,W,v,V"</formula1>
    </dataValidation>
    <dataValidation type="custom" allowBlank="1" showInputMessage="1" showErrorMessage="1" errorTitle="Onjuiste invoer" error="Hier kan alleen een positieve waarde worden ingevuld met maximaal 3 decimalen. Tevens moet de zorgaanbieder onder de reikwijdte van de WTZi vallen." sqref="F6:G33">
      <formula1>AND(F6=ROUND(F6,3),F6&gt;=0,F6&lt;=100)</formula1>
    </dataValidation>
    <dataValidation type="custom" allowBlank="1" showInputMessage="1" showErrorMessage="1" errorTitle="Onjuiste invoer" error="Hier kan alleen een positief geheel bedrag worden ingevuld." sqref="I6:I34">
      <formula1>AND(ROUND(I6,0)=I6,I6&gt;=0)</formula1>
    </dataValidation>
    <dataValidation type="custom" allowBlank="1" showInputMessage="1" showErrorMessage="1" errorTitle="Onjuiste invoer" error="Hier kan alleen een geheel bedrag worden ingevuld." sqref="J6:J34">
      <formula1>AND(ROUND(J6,0)=J6)</formula1>
    </dataValidation>
    <dataValidation type="custom" allowBlank="1" showInputMessage="1" showErrorMessage="1" errorTitle="Onjuiste invoer" error="Hier kan alleen het getal 1 t/m 31 worden ingevuld als de zorgaanbieder onder de reikwijdte van de WTZi valt." sqref="K6:K33">
      <formula1>AND(K6&gt;=0,K6&lt;=31,ROUND(K6,0)=K6)</formula1>
    </dataValidation>
    <dataValidation type="custom" allowBlank="1" showInputMessage="1" showErrorMessage="1" errorTitle="Onjuiste invoer" error="Hier kan alleen een geheel bedrag worden ingevuld." sqref="S36:S37 R34 T34:V34 U6:V33 S6:S34">
      <formula1>AND(S36=ROUND(S36,0))</formula1>
    </dataValidation>
    <dataValidation type="custom" allowBlank="1" showInputMessage="1" showErrorMessage="1" errorTitle="Onjuiste invoer:" error="Hier kan alleen een getal van 1 t/m 12 worden ingevuld als de zorgaanbieder onder de reikwijdte van de WTZi valt." sqref="L6:L33">
      <formula1>AND(L6&gt;=1,L6&lt;=12,ROUND(L6,0)=L6)</formula1>
    </dataValidation>
  </dataValidations>
  <printOptions/>
  <pageMargins left="0.3937007874015748" right="0.3937007874015748" top="0.7874015748031497" bottom="0.3937007874015748" header="0.5118110236220472" footer="0.5118110236220472"/>
  <pageSetup firstPageNumber="5" useFirstPageNumber="1" horizontalDpi="300" verticalDpi="300" orientation="landscape" paperSize="9" scale="86" r:id="rId2"/>
  <headerFooter alignWithMargins="0">
    <oddHeader>&amp;LAWBZ-BREED CALCULATIEMODEL RENTEKOSTEN 2010
&amp;R&amp;G</oddHeader>
  </headerFooter>
  <rowBreaks count="1" manualBreakCount="1">
    <brk id="45" min="1" max="21" man="1"/>
  </rowBreaks>
  <ignoredErrors>
    <ignoredError sqref="C50:T78 R6:R38 W6:IV39 T6:T38 U35:U38 W41:IV43 S35 S37:S38" emptyCellReference="1"/>
    <ignoredError sqref="U6:U33 S7:S34" emptyCellReference="1" unlockedFormula="1"/>
    <ignoredError sqref="S6" unlockedFormula="1"/>
  </ignoredErrors>
  <legacyDrawingHF r:id="rId1"/>
</worksheet>
</file>

<file path=xl/worksheets/sheet7.xml><?xml version="1.0" encoding="utf-8"?>
<worksheet xmlns="http://schemas.openxmlformats.org/spreadsheetml/2006/main" xmlns:r="http://schemas.openxmlformats.org/officeDocument/2006/relationships">
  <sheetPr codeName="Blad15"/>
  <dimension ref="B1:R39"/>
  <sheetViews>
    <sheetView showGridLines="0" workbookViewId="0" topLeftCell="A1">
      <selection activeCell="D4" sqref="D4"/>
    </sheetView>
  </sheetViews>
  <sheetFormatPr defaultColWidth="9.140625" defaultRowHeight="12.75" zeroHeight="1"/>
  <cols>
    <col min="1" max="1" width="3.00390625" style="5" customWidth="1"/>
    <col min="2" max="2" width="5.7109375" style="33" customWidth="1"/>
    <col min="3" max="3" width="84.57421875" style="5" customWidth="1"/>
    <col min="4" max="5" width="17.7109375" style="3" customWidth="1"/>
    <col min="6" max="6" width="17.7109375" style="5" customWidth="1"/>
    <col min="7" max="7" width="3.140625" style="5" customWidth="1"/>
    <col min="8" max="8" width="10.7109375" style="5" hidden="1" customWidth="1"/>
    <col min="9" max="9" width="10.7109375" style="6" hidden="1" customWidth="1"/>
    <col min="10" max="14" width="10.7109375" style="5" hidden="1" customWidth="1"/>
    <col min="15" max="22" width="0" style="5" hidden="1" customWidth="1"/>
    <col min="23" max="23" width="1.7109375" style="5" hidden="1" customWidth="1"/>
    <col min="24" max="16384" width="0" style="5" hidden="1" customWidth="1"/>
  </cols>
  <sheetData>
    <row r="1" spans="6:8" ht="11.25">
      <c r="F1" s="369" t="str">
        <f>"Pagina "&amp;H1&amp;""</f>
        <v>Pagina 9</v>
      </c>
      <c r="H1" s="152">
        <f>E!X46+1</f>
        <v>9</v>
      </c>
    </row>
    <row r="2" spans="2:9" ht="12.75" customHeight="1">
      <c r="B2" s="90" t="s">
        <v>203</v>
      </c>
      <c r="C2" s="224" t="s">
        <v>106</v>
      </c>
      <c r="D2" s="151" t="b">
        <f>'Rentecalc.'!J4</f>
        <v>1</v>
      </c>
      <c r="I2" s="5"/>
    </row>
    <row r="3" spans="2:6" ht="12.75" customHeight="1">
      <c r="B3" s="91"/>
      <c r="C3" s="374"/>
      <c r="D3" s="382" t="str">
        <f>CONCATENATE("31-12-",'Rentecalc.'!O1-1," ")</f>
        <v>31-12-2009 </v>
      </c>
      <c r="E3" s="382" t="str">
        <f>CONCATENATE("31-12-",'Rentecalc.'!O1," ")</f>
        <v>31-12-2010 </v>
      </c>
      <c r="F3" s="335" t="str">
        <f>CONCATENATE("Gemiddeld ",'Rentecalc.'!O1," ")</f>
        <v>Gemiddeld 2010 </v>
      </c>
    </row>
    <row r="4" spans="2:9" ht="12.75" customHeight="1">
      <c r="B4" s="172">
        <v>910</v>
      </c>
      <c r="C4" s="233" t="s">
        <v>79</v>
      </c>
      <c r="D4" s="348"/>
      <c r="E4" s="348"/>
      <c r="F4" s="479">
        <f aca="true" t="shared" si="0" ref="F4:F15">(D4+E4)/2</f>
        <v>0</v>
      </c>
      <c r="I4" s="5"/>
    </row>
    <row r="5" spans="2:9" ht="12.75" customHeight="1">
      <c r="B5" s="172">
        <f>B4+1</f>
        <v>911</v>
      </c>
      <c r="C5" s="234" t="s">
        <v>80</v>
      </c>
      <c r="D5" s="62"/>
      <c r="E5" s="62"/>
      <c r="F5" s="480">
        <f t="shared" si="0"/>
        <v>0</v>
      </c>
      <c r="I5" s="5"/>
    </row>
    <row r="6" spans="2:9" ht="12.75" customHeight="1">
      <c r="B6" s="172">
        <f aca="true" t="shared" si="1" ref="B6:B21">B5+1</f>
        <v>912</v>
      </c>
      <c r="C6" s="234" t="s">
        <v>81</v>
      </c>
      <c r="D6" s="62"/>
      <c r="E6" s="62"/>
      <c r="F6" s="480">
        <f t="shared" si="0"/>
        <v>0</v>
      </c>
      <c r="I6" s="5"/>
    </row>
    <row r="7" spans="2:18" ht="12.75" customHeight="1">
      <c r="B7" s="172">
        <f t="shared" si="1"/>
        <v>913</v>
      </c>
      <c r="C7" s="234" t="s">
        <v>82</v>
      </c>
      <c r="D7" s="62"/>
      <c r="E7" s="62"/>
      <c r="F7" s="480">
        <f t="shared" si="0"/>
        <v>0</v>
      </c>
      <c r="I7" s="5"/>
      <c r="R7" s="24"/>
    </row>
    <row r="8" spans="2:9" ht="12.75" customHeight="1">
      <c r="B8" s="172">
        <f t="shared" si="1"/>
        <v>914</v>
      </c>
      <c r="C8" s="234" t="s">
        <v>83</v>
      </c>
      <c r="D8" s="62"/>
      <c r="E8" s="62"/>
      <c r="F8" s="480">
        <f t="shared" si="0"/>
        <v>0</v>
      </c>
      <c r="I8" s="5"/>
    </row>
    <row r="9" spans="2:9" ht="12.75" customHeight="1">
      <c r="B9" s="172">
        <f t="shared" si="1"/>
        <v>915</v>
      </c>
      <c r="C9" s="234" t="s">
        <v>84</v>
      </c>
      <c r="D9" s="62"/>
      <c r="E9" s="62"/>
      <c r="F9" s="480">
        <f t="shared" si="0"/>
        <v>0</v>
      </c>
      <c r="I9" s="5"/>
    </row>
    <row r="10" spans="2:9" ht="12.75" customHeight="1">
      <c r="B10" s="172">
        <f t="shared" si="1"/>
        <v>916</v>
      </c>
      <c r="C10" s="234" t="s">
        <v>85</v>
      </c>
      <c r="D10" s="62"/>
      <c r="E10" s="62"/>
      <c r="F10" s="480">
        <f t="shared" si="0"/>
        <v>0</v>
      </c>
      <c r="I10" s="5"/>
    </row>
    <row r="11" spans="2:9" ht="12.75" customHeight="1">
      <c r="B11" s="172">
        <f t="shared" si="1"/>
        <v>917</v>
      </c>
      <c r="C11" s="234" t="s">
        <v>86</v>
      </c>
      <c r="D11" s="62"/>
      <c r="E11" s="62"/>
      <c r="F11" s="480">
        <f t="shared" si="0"/>
        <v>0</v>
      </c>
      <c r="I11" s="5"/>
    </row>
    <row r="12" spans="2:9" ht="12.75" customHeight="1">
      <c r="B12" s="172">
        <f t="shared" si="1"/>
        <v>918</v>
      </c>
      <c r="C12" s="234" t="s">
        <v>87</v>
      </c>
      <c r="D12" s="62"/>
      <c r="E12" s="62"/>
      <c r="F12" s="480">
        <f t="shared" si="0"/>
        <v>0</v>
      </c>
      <c r="I12" s="5"/>
    </row>
    <row r="13" spans="2:9" ht="12.75" customHeight="1">
      <c r="B13" s="172">
        <f t="shared" si="1"/>
        <v>919</v>
      </c>
      <c r="C13" s="234" t="s">
        <v>88</v>
      </c>
      <c r="D13" s="62"/>
      <c r="E13" s="62"/>
      <c r="F13" s="480">
        <f t="shared" si="0"/>
        <v>0</v>
      </c>
      <c r="I13" s="5"/>
    </row>
    <row r="14" spans="2:9" ht="12.75" customHeight="1">
      <c r="B14" s="172">
        <f t="shared" si="1"/>
        <v>920</v>
      </c>
      <c r="C14" s="234" t="s">
        <v>89</v>
      </c>
      <c r="D14" s="62"/>
      <c r="E14" s="62"/>
      <c r="F14" s="480">
        <f t="shared" si="0"/>
        <v>0</v>
      </c>
      <c r="I14" s="5"/>
    </row>
    <row r="15" spans="2:9" ht="12.75" customHeight="1">
      <c r="B15" s="172">
        <f t="shared" si="1"/>
        <v>921</v>
      </c>
      <c r="C15" s="42"/>
      <c r="D15" s="62"/>
      <c r="E15" s="62"/>
      <c r="F15" s="480">
        <f t="shared" si="0"/>
        <v>0</v>
      </c>
      <c r="I15" s="5"/>
    </row>
    <row r="16" spans="2:9" ht="12.75" customHeight="1">
      <c r="B16" s="172">
        <f t="shared" si="1"/>
        <v>922</v>
      </c>
      <c r="C16" s="204" t="s">
        <v>255</v>
      </c>
      <c r="D16" s="484">
        <f>SUM(D4:D15)</f>
        <v>0</v>
      </c>
      <c r="E16" s="484">
        <f>SUM(E4:E15)</f>
        <v>0</v>
      </c>
      <c r="F16" s="493">
        <f>SUM(F4:F15)</f>
        <v>0</v>
      </c>
      <c r="I16" s="5"/>
    </row>
    <row r="17" spans="2:9" ht="12.75" customHeight="1">
      <c r="B17" s="172">
        <f t="shared" si="1"/>
        <v>923</v>
      </c>
      <c r="C17" s="75" t="s">
        <v>246</v>
      </c>
      <c r="D17" s="494"/>
      <c r="E17" s="495"/>
      <c r="F17" s="496">
        <f>(D17+E17)/2</f>
        <v>0</v>
      </c>
      <c r="I17" s="5"/>
    </row>
    <row r="18" spans="2:9" ht="12.75" customHeight="1">
      <c r="B18" s="172">
        <f t="shared" si="1"/>
        <v>924</v>
      </c>
      <c r="C18" s="82" t="s">
        <v>236</v>
      </c>
      <c r="D18" s="495"/>
      <c r="E18" s="495"/>
      <c r="F18" s="496">
        <f>(D18+E18)/2</f>
        <v>0</v>
      </c>
      <c r="I18" s="5"/>
    </row>
    <row r="19" spans="2:9" ht="12.75" customHeight="1">
      <c r="B19" s="172">
        <f t="shared" si="1"/>
        <v>925</v>
      </c>
      <c r="C19" s="82" t="s">
        <v>258</v>
      </c>
      <c r="D19" s="495"/>
      <c r="E19" s="495"/>
      <c r="F19" s="496">
        <f>(D19+E19)/2</f>
        <v>0</v>
      </c>
      <c r="I19" s="5"/>
    </row>
    <row r="20" spans="2:9" ht="12.75" customHeight="1">
      <c r="B20" s="172">
        <f t="shared" si="1"/>
        <v>926</v>
      </c>
      <c r="C20" s="82" t="s">
        <v>73</v>
      </c>
      <c r="D20" s="495"/>
      <c r="E20" s="495"/>
      <c r="F20" s="496">
        <f>(D20+E20)/2</f>
        <v>0</v>
      </c>
      <c r="I20" s="5"/>
    </row>
    <row r="21" spans="2:9" ht="12.75" customHeight="1">
      <c r="B21" s="172">
        <f t="shared" si="1"/>
        <v>927</v>
      </c>
      <c r="C21" s="204" t="str">
        <f>CONCATENATE("In aanmerking te nemen eigen vermogen (regel ",B16," -/- regels ",B17," t/m ",B20,")")</f>
        <v>In aanmerking te nemen eigen vermogen (regel 922 -/- regels 923 t/m 926)</v>
      </c>
      <c r="D21" s="484">
        <f>D16-SUM(D17:D20)</f>
        <v>0</v>
      </c>
      <c r="E21" s="484">
        <f>E16-SUM(E17:E20)</f>
        <v>0</v>
      </c>
      <c r="F21" s="484">
        <f>F16-SUM(F17:F20)</f>
        <v>0</v>
      </c>
      <c r="I21" s="5"/>
    </row>
    <row r="22" ht="12.75" customHeight="1">
      <c r="B22" s="371" t="s">
        <v>235</v>
      </c>
    </row>
    <row r="23" spans="2:10" ht="12.75" customHeight="1">
      <c r="B23" s="371" t="s">
        <v>245</v>
      </c>
      <c r="C23" s="77"/>
      <c r="D23" s="528"/>
      <c r="E23" s="29"/>
      <c r="I23" s="5"/>
      <c r="J23" s="3"/>
    </row>
    <row r="24" spans="2:10" ht="12.75" customHeight="1">
      <c r="B24" s="371"/>
      <c r="C24" s="77"/>
      <c r="D24" s="77"/>
      <c r="E24" s="5"/>
      <c r="I24" s="5"/>
      <c r="J24" s="3"/>
    </row>
    <row r="25" spans="2:4" s="35" customFormat="1" ht="12.75" customHeight="1">
      <c r="B25" s="90" t="s">
        <v>204</v>
      </c>
      <c r="C25" s="196" t="s">
        <v>27</v>
      </c>
      <c r="D25" s="78"/>
    </row>
    <row r="26" spans="2:10" ht="12.75" customHeight="1">
      <c r="B26" s="91"/>
      <c r="C26" s="115"/>
      <c r="D26" s="384"/>
      <c r="E26" s="374"/>
      <c r="F26" s="328" t="s">
        <v>98</v>
      </c>
      <c r="I26" s="5"/>
      <c r="J26" s="3"/>
    </row>
    <row r="27" spans="2:6" s="3" customFormat="1" ht="12.75" customHeight="1">
      <c r="B27" s="172">
        <f>B21+1</f>
        <v>928</v>
      </c>
      <c r="C27" s="235" t="str">
        <f>CONCATENATE("Rente lange leningen onderdeel ",LEFT(E!B2)," (exclusief eventuele boeterente van conversies)")</f>
        <v>Rente lange leningen onderdeel E (exclusief eventuele boeterente van conversies)</v>
      </c>
      <c r="D27" s="79"/>
      <c r="E27" s="80"/>
      <c r="F27" s="479">
        <f>E!U38</f>
        <v>0</v>
      </c>
    </row>
    <row r="28" spans="2:6" s="3" customFormat="1" ht="12.75" customHeight="1">
      <c r="B28" s="172">
        <f>B27+1</f>
        <v>929</v>
      </c>
      <c r="C28" s="236" t="str">
        <f>CONCATENATE("Intrest leasingcontracten (corresponderend leningbedrag invullen op regel ",E!B37,")")</f>
        <v>Intrest leasingcontracten (corresponderend leningbedrag invullen op regel 732)</v>
      </c>
      <c r="D28" s="81"/>
      <c r="E28" s="82"/>
      <c r="F28" s="491"/>
    </row>
    <row r="29" spans="2:6" s="3" customFormat="1" ht="11.25">
      <c r="B29" s="172">
        <f>B28+1</f>
        <v>930</v>
      </c>
      <c r="C29" s="225" t="str">
        <f>CONCATENATE("Totaal regels ",B27," t/m ",B28)</f>
        <v>Totaal regels 928 t/m 929</v>
      </c>
      <c r="D29" s="40"/>
      <c r="E29" s="41"/>
      <c r="F29" s="478">
        <f>SUM(F27:F28)</f>
        <v>0</v>
      </c>
    </row>
    <row r="30" spans="4:9" ht="13.5" customHeight="1">
      <c r="D30" s="5"/>
      <c r="E30" s="5"/>
      <c r="I30" s="5"/>
    </row>
    <row r="31" spans="2:9" ht="12.75" customHeight="1" hidden="1">
      <c r="B31" s="6"/>
      <c r="C31" s="6"/>
      <c r="D31" s="6"/>
      <c r="E31" s="6"/>
      <c r="F31" s="6"/>
      <c r="I31" s="5"/>
    </row>
    <row r="32" spans="2:9" ht="12.75" customHeight="1" hidden="1">
      <c r="B32" s="6"/>
      <c r="C32" s="6"/>
      <c r="D32" s="6"/>
      <c r="E32" s="6"/>
      <c r="F32" s="6"/>
      <c r="I32" s="5"/>
    </row>
    <row r="33" spans="2:9" ht="12.75" customHeight="1" hidden="1">
      <c r="B33" s="6"/>
      <c r="C33" s="6"/>
      <c r="D33" s="6"/>
      <c r="E33" s="6"/>
      <c r="F33" s="6"/>
      <c r="I33" s="5"/>
    </row>
    <row r="34" spans="2:9" ht="12.75" customHeight="1" hidden="1">
      <c r="B34" s="6"/>
      <c r="C34" s="6"/>
      <c r="D34" s="6"/>
      <c r="E34" s="6"/>
      <c r="F34" s="6"/>
      <c r="I34" s="5"/>
    </row>
    <row r="35" spans="2:9" ht="11.25" hidden="1">
      <c r="B35" s="6"/>
      <c r="C35" s="6"/>
      <c r="D35" s="6"/>
      <c r="E35" s="6"/>
      <c r="F35" s="6"/>
      <c r="I35" s="5"/>
    </row>
    <row r="36" spans="2:9" ht="11.25" hidden="1">
      <c r="B36" s="6"/>
      <c r="C36" s="6"/>
      <c r="D36" s="6"/>
      <c r="E36" s="6"/>
      <c r="F36" s="6"/>
      <c r="I36" s="5"/>
    </row>
    <row r="37" spans="2:6" ht="11.25" hidden="1">
      <c r="B37" s="228"/>
      <c r="C37" s="6"/>
      <c r="D37" s="23"/>
      <c r="E37" s="23"/>
      <c r="F37" s="6"/>
    </row>
    <row r="38" ht="11.25" hidden="1"/>
    <row r="39" ht="11.25" hidden="1">
      <c r="C39" s="5" t="s">
        <v>97</v>
      </c>
    </row>
    <row r="40" ht="11.25" hidden="1"/>
    <row r="41" ht="11.25" hidden="1"/>
    <row r="42" ht="11.25" hidden="1"/>
    <row r="43" ht="11.25" hidden="1"/>
    <row r="44" ht="11.25" hidden="1"/>
    <row r="45" ht="11.25" hidden="1"/>
    <row r="46" ht="11.25" hidden="1"/>
    <row r="47" ht="11.25" hidden="1"/>
    <row r="48" ht="11.25" hidden="1"/>
  </sheetData>
  <sheetProtection password="C7EC" sheet="1" objects="1" scenarios="1"/>
  <conditionalFormatting sqref="F28 C15 D18:E20 E17 D4:E15">
    <cfRule type="expression" priority="1" dxfId="1" stopIfTrue="1">
      <formula>$D$2=TRUE</formula>
    </cfRule>
  </conditionalFormatting>
  <dataValidations count="1">
    <dataValidation type="custom" allowBlank="1" showInputMessage="1" showErrorMessage="1" errorTitle="Onjuiste invoer" error="Hier kan alleen een geheel bedrag worden ingevuld.&#10;" sqref="F28 C15 E17:E20 D18:D20 D4:E15">
      <formula1>AND(F28=ROUND(F28,0))</formula1>
    </dataValidation>
  </dataValidations>
  <printOptions/>
  <pageMargins left="0.3937007874015748" right="0.3937007874015748" top="0.7874015748031497" bottom="0.3937007874015748" header="0.5118110236220472" footer="0.5118110236220472"/>
  <pageSetup firstPageNumber="5" useFirstPageNumber="1" horizontalDpi="300" verticalDpi="300" orientation="landscape" paperSize="9" scale="86" r:id="rId2"/>
  <headerFooter alignWithMargins="0">
    <oddHeader>&amp;LAWBZ-BREED CALCULATIEMODEL RENTEKOSTEN 2010
&amp;R&amp;G</oddHeader>
  </headerFooter>
  <ignoredErrors>
    <ignoredError sqref="D16:E16 D21 F29 F4:F15 F17:F21" emptyCellReference="1"/>
    <ignoredError sqref="F16" emptyCellReference="1" formula="1"/>
  </ignoredErrors>
  <legacyDrawingHF r:id="rId1"/>
</worksheet>
</file>

<file path=xl/worksheets/sheet8.xml><?xml version="1.0" encoding="utf-8"?>
<worksheet xmlns="http://schemas.openxmlformats.org/spreadsheetml/2006/main" xmlns:r="http://schemas.openxmlformats.org/officeDocument/2006/relationships">
  <dimension ref="B1:N26"/>
  <sheetViews>
    <sheetView showGridLines="0" workbookViewId="0" topLeftCell="A3">
      <selection activeCell="C8" sqref="C8"/>
    </sheetView>
  </sheetViews>
  <sheetFormatPr defaultColWidth="9.140625" defaultRowHeight="12.75" zeroHeight="1"/>
  <cols>
    <col min="1" max="1" width="2.421875" style="150" customWidth="1"/>
    <col min="2" max="2" width="9.140625" style="273" customWidth="1"/>
    <col min="3" max="4" width="9.8515625" style="150" customWidth="1"/>
    <col min="5" max="7" width="9.140625" style="150" customWidth="1"/>
    <col min="8" max="8" width="20.28125" style="150" customWidth="1"/>
    <col min="9" max="11" width="9.140625" style="150" customWidth="1"/>
    <col min="12" max="12" width="15.140625" style="150" customWidth="1"/>
    <col min="13" max="13" width="1.8515625" style="150" customWidth="1"/>
    <col min="14" max="16384" width="0" style="150" hidden="1" customWidth="1"/>
  </cols>
  <sheetData>
    <row r="1" spans="2:13" ht="12" hidden="1">
      <c r="B1" s="270" t="b">
        <v>1</v>
      </c>
      <c r="C1" s="137" t="s">
        <v>127</v>
      </c>
      <c r="D1" s="104"/>
      <c r="E1" s="104"/>
      <c r="F1" s="104"/>
      <c r="G1" s="104"/>
      <c r="I1" s="357">
        <v>11.86</v>
      </c>
      <c r="J1" s="104"/>
      <c r="K1" s="105"/>
      <c r="L1" s="105"/>
      <c r="M1" s="104"/>
    </row>
    <row r="2" spans="2:13" ht="12" hidden="1">
      <c r="B2" s="271">
        <v>6</v>
      </c>
      <c r="C2" s="105">
        <v>6.43</v>
      </c>
      <c r="D2" s="104">
        <v>8.43</v>
      </c>
      <c r="E2" s="104">
        <v>14.86</v>
      </c>
      <c r="F2" s="104">
        <v>22.57</v>
      </c>
      <c r="G2" s="104">
        <v>11.86</v>
      </c>
      <c r="I2" s="104">
        <v>11</v>
      </c>
      <c r="J2" s="104">
        <v>11.14</v>
      </c>
      <c r="K2" s="105">
        <v>11.43</v>
      </c>
      <c r="L2" s="105">
        <v>13</v>
      </c>
      <c r="M2" s="105">
        <v>5</v>
      </c>
    </row>
    <row r="3" spans="2:14" s="388" customFormat="1" ht="12">
      <c r="B3" s="389"/>
      <c r="C3" s="390"/>
      <c r="D3" s="391"/>
      <c r="E3" s="391"/>
      <c r="F3" s="391"/>
      <c r="G3" s="391"/>
      <c r="I3" s="391"/>
      <c r="J3" s="391"/>
      <c r="K3" s="390"/>
      <c r="L3" s="385" t="str">
        <f>"Pagina "&amp;N3&amp;""</f>
        <v>Pagina 10</v>
      </c>
      <c r="M3" s="390"/>
      <c r="N3" s="386">
        <f>'F-G'!H1+1</f>
        <v>10</v>
      </c>
    </row>
    <row r="4" spans="2:13" ht="12">
      <c r="B4" s="387" t="s">
        <v>105</v>
      </c>
      <c r="C4" s="272" t="s">
        <v>209</v>
      </c>
      <c r="D4" s="151"/>
      <c r="E4" s="139"/>
      <c r="F4" s="139"/>
      <c r="I4" s="139"/>
      <c r="J4" s="139"/>
      <c r="K4" s="139"/>
      <c r="M4" s="139"/>
    </row>
    <row r="5" spans="2:13" ht="12">
      <c r="B5" s="272"/>
      <c r="C5" s="138"/>
      <c r="D5" s="148"/>
      <c r="E5" s="141"/>
      <c r="F5" s="141"/>
      <c r="G5" s="149" t="b">
        <f>'Rentecalc.'!J4</f>
        <v>1</v>
      </c>
      <c r="H5" s="151" t="s">
        <v>132</v>
      </c>
      <c r="I5" s="141"/>
      <c r="J5" s="141"/>
      <c r="K5" s="141"/>
      <c r="L5" s="140"/>
      <c r="M5" s="142"/>
    </row>
    <row r="6" spans="2:13" ht="12">
      <c r="B6" s="143"/>
      <c r="C6" s="640" t="s">
        <v>128</v>
      </c>
      <c r="D6" s="641"/>
      <c r="E6" s="640" t="s">
        <v>129</v>
      </c>
      <c r="F6" s="644"/>
      <c r="G6" s="644"/>
      <c r="H6" s="644"/>
      <c r="I6" s="644"/>
      <c r="J6" s="644"/>
      <c r="K6" s="641"/>
      <c r="L6" s="450" t="s">
        <v>130</v>
      </c>
      <c r="M6" s="144"/>
    </row>
    <row r="7" spans="2:13" ht="12">
      <c r="B7" s="145"/>
      <c r="C7" s="642"/>
      <c r="D7" s="643"/>
      <c r="E7" s="642"/>
      <c r="F7" s="645"/>
      <c r="G7" s="645"/>
      <c r="H7" s="645"/>
      <c r="I7" s="645"/>
      <c r="J7" s="645"/>
      <c r="K7" s="643"/>
      <c r="L7" s="451" t="s">
        <v>131</v>
      </c>
      <c r="M7" s="144"/>
    </row>
    <row r="8" spans="2:13" ht="12">
      <c r="B8" s="310">
        <v>1001</v>
      </c>
      <c r="C8" s="497"/>
      <c r="D8" s="497"/>
      <c r="E8" s="499"/>
      <c r="F8" s="500"/>
      <c r="G8" s="500"/>
      <c r="H8" s="500"/>
      <c r="I8" s="500"/>
      <c r="J8" s="500"/>
      <c r="K8" s="501"/>
      <c r="L8" s="62"/>
      <c r="M8" s="146"/>
    </row>
    <row r="9" spans="2:13" ht="12">
      <c r="B9" s="310">
        <f aca="true" t="shared" si="0" ref="B9:B26">B8+1</f>
        <v>1002</v>
      </c>
      <c r="C9" s="497"/>
      <c r="D9" s="497"/>
      <c r="E9" s="499"/>
      <c r="F9" s="500"/>
      <c r="G9" s="500"/>
      <c r="H9" s="500"/>
      <c r="I9" s="500"/>
      <c r="J9" s="500"/>
      <c r="K9" s="501"/>
      <c r="L9" s="62"/>
      <c r="M9" s="146"/>
    </row>
    <row r="10" spans="2:13" ht="12">
      <c r="B10" s="310">
        <f t="shared" si="0"/>
        <v>1003</v>
      </c>
      <c r="C10" s="497"/>
      <c r="D10" s="497"/>
      <c r="E10" s="499"/>
      <c r="F10" s="500"/>
      <c r="G10" s="500"/>
      <c r="H10" s="500"/>
      <c r="I10" s="500"/>
      <c r="J10" s="500"/>
      <c r="K10" s="501"/>
      <c r="L10" s="62"/>
      <c r="M10" s="146"/>
    </row>
    <row r="11" spans="2:13" ht="12">
      <c r="B11" s="310">
        <f t="shared" si="0"/>
        <v>1004</v>
      </c>
      <c r="C11" s="497"/>
      <c r="D11" s="497"/>
      <c r="E11" s="499"/>
      <c r="F11" s="500"/>
      <c r="G11" s="500"/>
      <c r="H11" s="500"/>
      <c r="I11" s="500"/>
      <c r="J11" s="500"/>
      <c r="K11" s="501"/>
      <c r="L11" s="62"/>
      <c r="M11" s="146"/>
    </row>
    <row r="12" spans="2:13" ht="12">
      <c r="B12" s="310">
        <f t="shared" si="0"/>
        <v>1005</v>
      </c>
      <c r="C12" s="497"/>
      <c r="D12" s="497"/>
      <c r="E12" s="499"/>
      <c r="F12" s="500"/>
      <c r="G12" s="500"/>
      <c r="H12" s="500"/>
      <c r="I12" s="500"/>
      <c r="J12" s="500"/>
      <c r="K12" s="501"/>
      <c r="L12" s="62"/>
      <c r="M12" s="146"/>
    </row>
    <row r="13" spans="2:13" ht="12">
      <c r="B13" s="310">
        <f t="shared" si="0"/>
        <v>1006</v>
      </c>
      <c r="C13" s="497"/>
      <c r="D13" s="497"/>
      <c r="E13" s="499"/>
      <c r="F13" s="500"/>
      <c r="G13" s="500"/>
      <c r="H13" s="500"/>
      <c r="I13" s="500"/>
      <c r="J13" s="500"/>
      <c r="K13" s="501"/>
      <c r="L13" s="62"/>
      <c r="M13" s="146"/>
    </row>
    <row r="14" spans="2:13" ht="12">
      <c r="B14" s="310">
        <f t="shared" si="0"/>
        <v>1007</v>
      </c>
      <c r="C14" s="497"/>
      <c r="D14" s="497"/>
      <c r="E14" s="499"/>
      <c r="F14" s="500"/>
      <c r="G14" s="500"/>
      <c r="H14" s="500"/>
      <c r="I14" s="500"/>
      <c r="J14" s="500"/>
      <c r="K14" s="501"/>
      <c r="L14" s="62"/>
      <c r="M14" s="146"/>
    </row>
    <row r="15" spans="2:13" ht="12">
      <c r="B15" s="310">
        <f t="shared" si="0"/>
        <v>1008</v>
      </c>
      <c r="C15" s="497"/>
      <c r="D15" s="497"/>
      <c r="E15" s="499"/>
      <c r="F15" s="500"/>
      <c r="G15" s="500"/>
      <c r="H15" s="500"/>
      <c r="I15" s="500"/>
      <c r="J15" s="500"/>
      <c r="K15" s="501"/>
      <c r="L15" s="62"/>
      <c r="M15" s="146"/>
    </row>
    <row r="16" spans="2:13" ht="12">
      <c r="B16" s="310">
        <f t="shared" si="0"/>
        <v>1009</v>
      </c>
      <c r="C16" s="497"/>
      <c r="D16" s="497"/>
      <c r="E16" s="499"/>
      <c r="F16" s="500"/>
      <c r="G16" s="500"/>
      <c r="H16" s="500"/>
      <c r="I16" s="500"/>
      <c r="J16" s="500"/>
      <c r="K16" s="501"/>
      <c r="L16" s="62"/>
      <c r="M16" s="146"/>
    </row>
    <row r="17" spans="2:13" ht="12">
      <c r="B17" s="310">
        <f t="shared" si="0"/>
        <v>1010</v>
      </c>
      <c r="C17" s="497"/>
      <c r="D17" s="497"/>
      <c r="E17" s="499"/>
      <c r="F17" s="500"/>
      <c r="G17" s="500"/>
      <c r="H17" s="500"/>
      <c r="I17" s="500"/>
      <c r="J17" s="500"/>
      <c r="K17" s="501"/>
      <c r="L17" s="62"/>
      <c r="M17" s="146"/>
    </row>
    <row r="18" spans="2:13" ht="12">
      <c r="B18" s="310">
        <f t="shared" si="0"/>
        <v>1011</v>
      </c>
      <c r="C18" s="497"/>
      <c r="D18" s="497"/>
      <c r="E18" s="499"/>
      <c r="F18" s="500"/>
      <c r="G18" s="500"/>
      <c r="H18" s="500"/>
      <c r="I18" s="500"/>
      <c r="J18" s="500"/>
      <c r="K18" s="501"/>
      <c r="L18" s="62"/>
      <c r="M18" s="146"/>
    </row>
    <row r="19" spans="2:13" ht="12">
      <c r="B19" s="310">
        <f t="shared" si="0"/>
        <v>1012</v>
      </c>
      <c r="C19" s="497"/>
      <c r="D19" s="497"/>
      <c r="E19" s="499"/>
      <c r="F19" s="500"/>
      <c r="G19" s="500"/>
      <c r="H19" s="500"/>
      <c r="I19" s="500"/>
      <c r="J19" s="500"/>
      <c r="K19" s="501"/>
      <c r="L19" s="62"/>
      <c r="M19" s="146"/>
    </row>
    <row r="20" spans="2:13" ht="12">
      <c r="B20" s="310">
        <f t="shared" si="0"/>
        <v>1013</v>
      </c>
      <c r="C20" s="497"/>
      <c r="D20" s="497"/>
      <c r="E20" s="499"/>
      <c r="F20" s="500"/>
      <c r="G20" s="500"/>
      <c r="H20" s="500"/>
      <c r="I20" s="500"/>
      <c r="J20" s="500"/>
      <c r="K20" s="501"/>
      <c r="L20" s="62"/>
      <c r="M20" s="146"/>
    </row>
    <row r="21" spans="2:13" ht="12">
      <c r="B21" s="310">
        <f t="shared" si="0"/>
        <v>1014</v>
      </c>
      <c r="C21" s="497"/>
      <c r="D21" s="497"/>
      <c r="E21" s="499"/>
      <c r="F21" s="500"/>
      <c r="G21" s="500"/>
      <c r="H21" s="500"/>
      <c r="I21" s="500"/>
      <c r="J21" s="500"/>
      <c r="K21" s="501"/>
      <c r="L21" s="62"/>
      <c r="M21" s="146"/>
    </row>
    <row r="22" spans="2:13" ht="12">
      <c r="B22" s="310">
        <f t="shared" si="0"/>
        <v>1015</v>
      </c>
      <c r="C22" s="497"/>
      <c r="D22" s="497"/>
      <c r="E22" s="499"/>
      <c r="F22" s="500"/>
      <c r="G22" s="500"/>
      <c r="H22" s="500"/>
      <c r="I22" s="500"/>
      <c r="J22" s="500"/>
      <c r="K22" s="501"/>
      <c r="L22" s="62"/>
      <c r="M22" s="146"/>
    </row>
    <row r="23" spans="2:13" ht="12">
      <c r="B23" s="311">
        <f t="shared" si="0"/>
        <v>1016</v>
      </c>
      <c r="C23" s="498"/>
      <c r="D23" s="498"/>
      <c r="E23" s="502"/>
      <c r="F23" s="503"/>
      <c r="G23" s="503"/>
      <c r="H23" s="503"/>
      <c r="I23" s="503"/>
      <c r="J23" s="503"/>
      <c r="K23" s="504"/>
      <c r="L23" s="491"/>
      <c r="M23" s="146"/>
    </row>
    <row r="24" spans="2:13" ht="12">
      <c r="B24" s="316">
        <f t="shared" si="0"/>
        <v>1017</v>
      </c>
      <c r="C24" s="317" t="str">
        <f>"Totaal (regel "&amp;B8&amp;" t/m regel "&amp;B23&amp;")"</f>
        <v>Totaal (regel 1001 t/m regel 1016)</v>
      </c>
      <c r="D24" s="313"/>
      <c r="E24" s="313"/>
      <c r="F24" s="313"/>
      <c r="G24" s="313"/>
      <c r="H24" s="313"/>
      <c r="I24" s="313"/>
      <c r="J24" s="313"/>
      <c r="K24" s="318"/>
      <c r="L24" s="505">
        <f>SUM(L8:L23)</f>
        <v>0</v>
      </c>
      <c r="M24" s="147"/>
    </row>
    <row r="25" spans="2:13" ht="12">
      <c r="B25" s="316">
        <f t="shared" si="0"/>
        <v>1018</v>
      </c>
      <c r="C25" s="314" t="s">
        <v>259</v>
      </c>
      <c r="D25" s="315"/>
      <c r="E25" s="315"/>
      <c r="F25" s="315"/>
      <c r="G25" s="315"/>
      <c r="H25" s="315"/>
      <c r="I25" s="315"/>
      <c r="J25" s="315"/>
      <c r="K25" s="319"/>
      <c r="L25" s="506">
        <f>'Rentecalc.'!K29</f>
        <v>0</v>
      </c>
      <c r="M25" s="312"/>
    </row>
    <row r="26" spans="2:13" ht="12">
      <c r="B26" s="316">
        <f t="shared" si="0"/>
        <v>1019</v>
      </c>
      <c r="C26" s="317" t="str">
        <f>"Verschil (regel "&amp;B24&amp;" -/- regel "&amp;B25&amp;")"</f>
        <v>Verschil (regel 1017 -/- regel 1018)</v>
      </c>
      <c r="D26" s="313"/>
      <c r="E26" s="313"/>
      <c r="F26" s="313"/>
      <c r="G26" s="313"/>
      <c r="H26" s="313"/>
      <c r="I26" s="313"/>
      <c r="J26" s="313"/>
      <c r="K26" s="318"/>
      <c r="L26" s="505">
        <f>L24-L25</f>
        <v>0</v>
      </c>
      <c r="M26" s="147"/>
    </row>
    <row r="27" ht="12"/>
    <row r="28" ht="12" hidden="1"/>
    <row r="29" ht="12" hidden="1"/>
    <row r="30" ht="12" hidden="1"/>
    <row r="31" ht="12" hidden="1"/>
    <row r="32" ht="12" hidden="1"/>
    <row r="33" ht="12" hidden="1"/>
    <row r="34" ht="12" hidden="1"/>
    <row r="35" ht="12" hidden="1"/>
    <row r="36" ht="12" hidden="1"/>
    <row r="37" ht="12" hidden="1"/>
  </sheetData>
  <sheetProtection password="C7EC" sheet="1" objects="1" scenarios="1"/>
  <mergeCells count="2">
    <mergeCell ref="C6:D7"/>
    <mergeCell ref="E6:K7"/>
  </mergeCells>
  <conditionalFormatting sqref="C8:L23">
    <cfRule type="expression" priority="1" dxfId="1" stopIfTrue="1">
      <formula>$G$5=TRUE</formula>
    </cfRule>
  </conditionalFormatting>
  <dataValidations count="4">
    <dataValidation type="whole" allowBlank="1" showInputMessage="1" showErrorMessage="1" errorTitle="Onjuiste invoer:" error="- de invoer moet een geheel getal zijn" sqref="M24:M26 L24">
      <formula1>$X24</formula1>
      <formula2>$Y24</formula2>
    </dataValidation>
    <dataValidation type="custom" allowBlank="1" showInputMessage="1" showErrorMessage="1" sqref="M8:M23">
      <formula1>OR($M$1="140",$N$1="145")</formula1>
    </dataValidation>
    <dataValidation allowBlank="1" showInputMessage="1" showErrorMessage="1" errorTitle="Onjuiste invoer:" error="- de invoer moet een geheel getal zijn" sqref="L25:L26"/>
    <dataValidation type="custom" allowBlank="1" showInputMessage="1" showErrorMessage="1" errorTitle="Onjuiste invoer" error="Hier kan alleen een geheel bedrag worden ingevuld." sqref="L8:L23">
      <formula1>AND($C$1="ja",L8=ROUND(L8,0))</formula1>
    </dataValidation>
  </dataValidations>
  <printOptions/>
  <pageMargins left="0.3937007874015748" right="0.3937007874015748" top="0.7874015748031497" bottom="0.3937007874015748" header="0.5118110236220472" footer="0.5118110236220472"/>
  <pageSetup firstPageNumber="5" useFirstPageNumber="1" horizontalDpi="600" verticalDpi="600" orientation="landscape" paperSize="9" scale="86" r:id="rId2"/>
  <headerFooter alignWithMargins="0">
    <oddHeader>&amp;LAWBZ-BREED CALCULATIEMODEL RENTEKOSTEN 2010
&amp;R&amp;G</oddHeader>
  </headerFooter>
  <ignoredErrors>
    <ignoredError sqref="L24" emptyCellReference="1"/>
  </ignoredErrors>
  <legacyDrawingHF r:id="rId1"/>
</worksheet>
</file>

<file path=xl/worksheets/sheet9.xml><?xml version="1.0" encoding="utf-8"?>
<worksheet xmlns="http://schemas.openxmlformats.org/spreadsheetml/2006/main" xmlns:r="http://schemas.openxmlformats.org/officeDocument/2006/relationships">
  <sheetPr codeName="Blad16"/>
  <dimension ref="B1:N18"/>
  <sheetViews>
    <sheetView showGridLines="0" zoomScaleSheetLayoutView="95" workbookViewId="0" topLeftCell="A1">
      <selection activeCell="D6" sqref="D6"/>
    </sheetView>
  </sheetViews>
  <sheetFormatPr defaultColWidth="9.140625" defaultRowHeight="12.75" zeroHeight="1"/>
  <cols>
    <col min="1" max="1" width="2.421875" style="5" customWidth="1"/>
    <col min="2" max="2" width="6.421875" style="33" bestFit="1" customWidth="1"/>
    <col min="3" max="3" width="29.8515625" style="5" customWidth="1"/>
    <col min="4" max="6" width="17.7109375" style="3" customWidth="1"/>
    <col min="7" max="7" width="2.28125" style="3" customWidth="1"/>
    <col min="8" max="8" width="17.7109375" style="5" hidden="1" customWidth="1"/>
    <col min="9" max="9" width="2.57421875" style="5" hidden="1" customWidth="1"/>
    <col min="10" max="10" width="10.7109375" style="5" hidden="1" customWidth="1"/>
    <col min="11" max="11" width="10.7109375" style="6" hidden="1" customWidth="1"/>
    <col min="12" max="16" width="10.7109375" style="5" hidden="1" customWidth="1"/>
    <col min="17" max="24" width="0" style="5" hidden="1" customWidth="1"/>
    <col min="25" max="25" width="1.7109375" style="5" hidden="1" customWidth="1"/>
    <col min="26" max="16384" width="0" style="5" hidden="1" customWidth="1"/>
  </cols>
  <sheetData>
    <row r="1" spans="6:8" ht="11.25">
      <c r="F1" s="385" t="str">
        <f>"Pagina "&amp;H1&amp;""</f>
        <v>Pagina 11</v>
      </c>
      <c r="H1" s="5">
        <v>11</v>
      </c>
    </row>
    <row r="2" spans="2:14" ht="12" customHeight="1">
      <c r="B2" s="428" t="s">
        <v>205</v>
      </c>
      <c r="C2" s="208" t="s">
        <v>181</v>
      </c>
      <c r="D2" s="32"/>
      <c r="E2" s="32"/>
      <c r="G2" s="5"/>
      <c r="I2" s="152"/>
      <c r="J2" s="3"/>
      <c r="K2" s="23"/>
      <c r="L2" s="3"/>
      <c r="M2" s="3"/>
      <c r="N2" s="3"/>
    </row>
    <row r="3" spans="2:14" ht="12" customHeight="1">
      <c r="B3" s="237"/>
      <c r="C3" s="208"/>
      <c r="D3" s="32"/>
      <c r="E3" s="32"/>
      <c r="G3" s="5"/>
      <c r="I3" s="152"/>
      <c r="J3" s="3"/>
      <c r="K3" s="23"/>
      <c r="L3" s="3"/>
      <c r="M3" s="3"/>
      <c r="N3" s="3"/>
    </row>
    <row r="4" spans="2:14" ht="12" customHeight="1">
      <c r="B4" s="195"/>
      <c r="C4" s="625" t="s">
        <v>183</v>
      </c>
      <c r="D4" s="340" t="s">
        <v>16</v>
      </c>
      <c r="E4" s="646" t="s">
        <v>76</v>
      </c>
      <c r="F4" s="340" t="s">
        <v>16</v>
      </c>
      <c r="G4" s="344">
        <f>IF('Rentecalc.'!D4=650,1,0)</f>
        <v>0</v>
      </c>
      <c r="K4" s="23"/>
      <c r="M4" s="164"/>
      <c r="N4" s="3"/>
    </row>
    <row r="5" spans="2:14" ht="14.25" customHeight="1">
      <c r="B5" s="90"/>
      <c r="C5" s="626"/>
      <c r="D5" s="346" t="s">
        <v>286</v>
      </c>
      <c r="E5" s="647"/>
      <c r="F5" s="346" t="s">
        <v>17</v>
      </c>
      <c r="G5" s="23"/>
      <c r="J5" s="452">
        <f>'Rentecalc.'!D4</f>
        <v>0</v>
      </c>
      <c r="K5" s="23"/>
      <c r="L5" s="3"/>
      <c r="M5" s="3"/>
      <c r="N5" s="3"/>
    </row>
    <row r="6" spans="2:14" ht="12" customHeight="1">
      <c r="B6" s="172">
        <v>1101</v>
      </c>
      <c r="C6" s="209">
        <f>'Rentecalc.'!O$1</f>
        <v>2010</v>
      </c>
      <c r="D6" s="62"/>
      <c r="E6" s="345">
        <v>9.5</v>
      </c>
      <c r="F6" s="479">
        <f>IF(OR('Rentecalc.'!$D$4=650,'Rentecalc.'!$D$4=600),0,D6*E6)</f>
        <v>0</v>
      </c>
      <c r="G6" s="162"/>
      <c r="H6" s="162"/>
      <c r="J6" s="163"/>
      <c r="K6" s="163"/>
      <c r="L6" s="163"/>
      <c r="M6" s="163"/>
      <c r="N6" s="163"/>
    </row>
    <row r="7" spans="2:14" ht="12" customHeight="1">
      <c r="B7" s="172">
        <f aca="true" t="shared" si="0" ref="B7:B16">B6+1</f>
        <v>1102</v>
      </c>
      <c r="C7" s="210">
        <f>'Rentecalc.'!O$1-1</f>
        <v>2009</v>
      </c>
      <c r="D7" s="62"/>
      <c r="E7" s="57">
        <v>8.5</v>
      </c>
      <c r="F7" s="479">
        <f>IF(OR('Rentecalc.'!$D$4=650,'Rentecalc.'!$D$4=600),0,D7*E7)</f>
        <v>0</v>
      </c>
      <c r="G7" s="162"/>
      <c r="H7" s="162"/>
      <c r="J7" s="163"/>
      <c r="L7" s="163"/>
      <c r="M7" s="163"/>
      <c r="N7" s="163"/>
    </row>
    <row r="8" spans="2:14" ht="12" customHeight="1">
      <c r="B8" s="172">
        <f t="shared" si="0"/>
        <v>1103</v>
      </c>
      <c r="C8" s="210">
        <f>'Rentecalc.'!O$1-2</f>
        <v>2008</v>
      </c>
      <c r="D8" s="62"/>
      <c r="E8" s="57">
        <v>7.5</v>
      </c>
      <c r="F8" s="479">
        <f>IF(OR('Rentecalc.'!$D$4=650,'Rentecalc.'!$D$4=600),0,D8*E8)</f>
        <v>0</v>
      </c>
      <c r="G8" s="162"/>
      <c r="H8" s="162"/>
      <c r="J8" s="3"/>
      <c r="K8" s="23"/>
      <c r="L8" s="3"/>
      <c r="M8" s="3"/>
      <c r="N8" s="3"/>
    </row>
    <row r="9" spans="2:14" ht="12" customHeight="1">
      <c r="B9" s="172">
        <f t="shared" si="0"/>
        <v>1104</v>
      </c>
      <c r="C9" s="210">
        <f>'Rentecalc.'!O$1-3</f>
        <v>2007</v>
      </c>
      <c r="D9" s="62"/>
      <c r="E9" s="57">
        <v>6.5</v>
      </c>
      <c r="F9" s="479">
        <f>IF(OR('Rentecalc.'!$D$4=650,'Rentecalc.'!$D$4=600),0,D9*E9)</f>
        <v>0</v>
      </c>
      <c r="G9" s="162"/>
      <c r="H9" s="162"/>
      <c r="J9" s="3"/>
      <c r="K9" s="23"/>
      <c r="L9" s="3"/>
      <c r="M9" s="3"/>
      <c r="N9" s="3"/>
    </row>
    <row r="10" spans="2:14" ht="12" customHeight="1">
      <c r="B10" s="172">
        <f t="shared" si="0"/>
        <v>1105</v>
      </c>
      <c r="C10" s="210">
        <f>'Rentecalc.'!O$1-4</f>
        <v>2006</v>
      </c>
      <c r="D10" s="62"/>
      <c r="E10" s="57">
        <v>5.5</v>
      </c>
      <c r="F10" s="479">
        <f>IF(OR('Rentecalc.'!$D$4=650,'Rentecalc.'!$D$4=600),0,D10*E10)</f>
        <v>0</v>
      </c>
      <c r="G10" s="162"/>
      <c r="H10" s="162"/>
      <c r="J10" s="3"/>
      <c r="K10" s="23"/>
      <c r="L10" s="3"/>
      <c r="M10" s="3"/>
      <c r="N10" s="3"/>
    </row>
    <row r="11" spans="2:14" ht="12" customHeight="1">
      <c r="B11" s="172">
        <f t="shared" si="0"/>
        <v>1106</v>
      </c>
      <c r="C11" s="210">
        <f>'Rentecalc.'!O$1-5</f>
        <v>2005</v>
      </c>
      <c r="D11" s="62"/>
      <c r="E11" s="57">
        <v>4.5</v>
      </c>
      <c r="F11" s="479">
        <f>IF(OR('Rentecalc.'!$D$4=650,'Rentecalc.'!$D$4=600),0,D11*E11)</f>
        <v>0</v>
      </c>
      <c r="G11" s="162"/>
      <c r="H11" s="162"/>
      <c r="J11" s="3"/>
      <c r="K11" s="23"/>
      <c r="L11" s="3"/>
      <c r="M11" s="3"/>
      <c r="N11" s="3"/>
    </row>
    <row r="12" spans="2:14" ht="12" customHeight="1">
      <c r="B12" s="172">
        <f t="shared" si="0"/>
        <v>1107</v>
      </c>
      <c r="C12" s="210">
        <f>'Rentecalc.'!O$1-6</f>
        <v>2004</v>
      </c>
      <c r="D12" s="62"/>
      <c r="E12" s="57">
        <v>3.5</v>
      </c>
      <c r="F12" s="479">
        <f>IF(OR('Rentecalc.'!$D$4=650,'Rentecalc.'!$D$4=600),0,D12*E12)</f>
        <v>0</v>
      </c>
      <c r="G12" s="162"/>
      <c r="H12" s="162"/>
      <c r="J12" s="3"/>
      <c r="K12" s="23"/>
      <c r="L12" s="3"/>
      <c r="M12" s="3"/>
      <c r="N12" s="3"/>
    </row>
    <row r="13" spans="2:14" ht="12" customHeight="1">
      <c r="B13" s="172">
        <f t="shared" si="0"/>
        <v>1108</v>
      </c>
      <c r="C13" s="210">
        <f>'Rentecalc.'!O$1-7</f>
        <v>2003</v>
      </c>
      <c r="D13" s="62"/>
      <c r="E13" s="57">
        <v>2.5</v>
      </c>
      <c r="F13" s="479">
        <f>IF(OR('Rentecalc.'!$D$4=650,'Rentecalc.'!$D$4=600),0,D13*E13)</f>
        <v>0</v>
      </c>
      <c r="G13" s="162"/>
      <c r="H13" s="162"/>
      <c r="J13" s="3"/>
      <c r="K13" s="23"/>
      <c r="L13" s="3"/>
      <c r="M13" s="3"/>
      <c r="N13" s="3"/>
    </row>
    <row r="14" spans="2:14" ht="12" customHeight="1">
      <c r="B14" s="172">
        <f t="shared" si="0"/>
        <v>1109</v>
      </c>
      <c r="C14" s="210">
        <f>'Rentecalc.'!O$1-8</f>
        <v>2002</v>
      </c>
      <c r="D14" s="62"/>
      <c r="E14" s="57">
        <v>1.5</v>
      </c>
      <c r="F14" s="479">
        <f>IF(OR('Rentecalc.'!$D$4=650,'Rentecalc.'!$D$4=600),0,D14*E14)</f>
        <v>0</v>
      </c>
      <c r="G14" s="162"/>
      <c r="H14" s="162"/>
      <c r="J14" s="3"/>
      <c r="K14" s="23"/>
      <c r="L14" s="3"/>
      <c r="M14" s="3"/>
      <c r="N14" s="3"/>
    </row>
    <row r="15" spans="2:14" ht="12" customHeight="1">
      <c r="B15" s="172">
        <f t="shared" si="0"/>
        <v>1110</v>
      </c>
      <c r="C15" s="211">
        <f>'Rentecalc.'!O$1-9</f>
        <v>2001</v>
      </c>
      <c r="D15" s="62"/>
      <c r="E15" s="58">
        <v>0.5</v>
      </c>
      <c r="F15" s="479">
        <f>IF(OR('Rentecalc.'!$D$4=650,'Rentecalc.'!$D$4=600),0,D15*E15)</f>
        <v>0</v>
      </c>
      <c r="G15" s="162"/>
      <c r="H15" s="162"/>
      <c r="J15" s="3"/>
      <c r="K15" s="23"/>
      <c r="L15" s="3"/>
      <c r="M15" s="3"/>
      <c r="N15" s="3"/>
    </row>
    <row r="16" spans="2:14" ht="12" customHeight="1">
      <c r="B16" s="172">
        <f t="shared" si="0"/>
        <v>1111</v>
      </c>
      <c r="C16" s="204" t="str">
        <f>CONCATENATE("Totaal (regel ",B6," t/m ",B15,")")</f>
        <v>Totaal (regel 1101 t/m 1110)</v>
      </c>
      <c r="D16" s="484">
        <f>SUM(D6:D15)</f>
        <v>0</v>
      </c>
      <c r="E16" s="30"/>
      <c r="F16" s="484">
        <f>SUM(F6:F15)</f>
        <v>0</v>
      </c>
      <c r="G16" s="5"/>
      <c r="J16" s="3"/>
      <c r="K16" s="23"/>
      <c r="L16" s="3"/>
      <c r="M16" s="3"/>
      <c r="N16" s="3"/>
    </row>
    <row r="17" spans="2:14" ht="12" customHeight="1">
      <c r="B17" s="392" t="s">
        <v>237</v>
      </c>
      <c r="D17" s="5"/>
      <c r="E17" s="5"/>
      <c r="F17" s="5"/>
      <c r="G17" s="5"/>
      <c r="J17" s="3"/>
      <c r="K17" s="23"/>
      <c r="L17" s="3"/>
      <c r="M17" s="3"/>
      <c r="N17" s="3"/>
    </row>
    <row r="18" spans="2:14" ht="12" customHeight="1">
      <c r="B18" s="91"/>
      <c r="C18" s="212"/>
      <c r="D18" s="5"/>
      <c r="E18" s="5"/>
      <c r="F18" s="5"/>
      <c r="G18" s="5"/>
      <c r="J18" s="3"/>
      <c r="K18" s="23"/>
      <c r="L18" s="3"/>
      <c r="M18" s="3"/>
      <c r="N18" s="3"/>
    </row>
    <row r="19" ht="11.25" hidden="1"/>
    <row r="20" ht="11.25" hidden="1"/>
    <row r="21" ht="11.25" hidden="1"/>
    <row r="22" ht="11.25" hidden="1"/>
    <row r="23" ht="11.25" hidden="1"/>
    <row r="24" ht="11.25" hidden="1"/>
    <row r="25" ht="11.25" hidden="1"/>
    <row r="26" ht="11.25" hidden="1"/>
    <row r="27" ht="11.25" hidden="1"/>
    <row r="28" ht="11.25" hidden="1"/>
    <row r="29" ht="11.25" hidden="1"/>
    <row r="30" ht="11.25" hidden="1"/>
    <row r="31" ht="11.25" hidden="1"/>
    <row r="32" ht="11.25" hidden="1"/>
    <row r="33" ht="11.25" hidden="1"/>
    <row r="34" ht="11.25"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11.25" hidden="1"/>
    <row r="88" ht="11.25" hidden="1"/>
    <row r="89" ht="11.25" hidden="1"/>
    <row r="90" ht="11.25" hidden="1"/>
    <row r="91" ht="11.25" hidden="1"/>
    <row r="92" ht="11.25" hidden="1"/>
    <row r="93" ht="11.25" hidden="1"/>
    <row r="94" ht="11.25" hidden="1"/>
    <row r="95" ht="11.25" hidden="1"/>
    <row r="96" ht="11.25" hidden="1"/>
    <row r="97" ht="11.25" hidden="1"/>
    <row r="98" ht="11.25" hidden="1"/>
    <row r="99" ht="11.25" hidden="1"/>
    <row r="100" ht="11.25" hidden="1"/>
    <row r="101" ht="11.25" hidden="1"/>
    <row r="102" ht="11.25" hidden="1"/>
    <row r="103" ht="11.25" hidden="1"/>
    <row r="104" ht="11.25" hidden="1"/>
    <row r="105" ht="11.25" hidden="1"/>
    <row r="106" ht="11.25" hidden="1"/>
    <row r="107" ht="11.25" hidden="1"/>
    <row r="108" ht="11.25" hidden="1"/>
    <row r="109" ht="11.25" hidden="1"/>
    <row r="110" ht="11.25" hidden="1"/>
    <row r="111" ht="11.25" hidden="1"/>
    <row r="112" ht="11.25" hidden="1"/>
    <row r="113" ht="11.25" hidden="1"/>
    <row r="114" ht="11.25" hidden="1"/>
    <row r="115" ht="11.25" hidden="1"/>
    <row r="116" ht="11.25" hidden="1"/>
    <row r="117" ht="11.25" hidden="1"/>
    <row r="118" ht="11.25" hidden="1"/>
    <row r="119" ht="11.25" hidden="1"/>
    <row r="120" ht="11.25" hidden="1"/>
    <row r="121" ht="11.25" hidden="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sheetData>
  <sheetProtection password="C7EC" sheet="1" objects="1" scenarios="1"/>
  <mergeCells count="2">
    <mergeCell ref="C4:C5"/>
    <mergeCell ref="E4:E5"/>
  </mergeCells>
  <conditionalFormatting sqref="J6:N6">
    <cfRule type="expression" priority="1" dxfId="0" stopIfTrue="1">
      <formula>$M6&lt;&gt;""</formula>
    </cfRule>
  </conditionalFormatting>
  <conditionalFormatting sqref="H6:H15 G6">
    <cfRule type="expression" priority="2" dxfId="0" stopIfTrue="1">
      <formula>$F$6=""</formula>
    </cfRule>
  </conditionalFormatting>
  <conditionalFormatting sqref="G7:G15">
    <cfRule type="expression" priority="3" dxfId="0" stopIfTrue="1">
      <formula>$F$6=" "</formula>
    </cfRule>
  </conditionalFormatting>
  <conditionalFormatting sqref="D6:D15">
    <cfRule type="expression" priority="4" dxfId="1" stopIfTrue="1">
      <formula>$J$5=120</formula>
    </cfRule>
  </conditionalFormatting>
  <dataValidations count="2">
    <dataValidation type="custom" allowBlank="1" showInputMessage="1" showErrorMessage="1" errorTitle="Onjuiste invoer" error="Hier kan alleen een geheel bedrag worden ingevuld worden voor de 120 categorie" sqref="D7:D15">
      <formula1>AND(L5=120,D7=ROUND(D7,0))</formula1>
    </dataValidation>
    <dataValidation type="custom" allowBlank="1" showInputMessage="1" showErrorMessage="1" errorTitle="Onjuiste invoer" error="Hier kan alleen een geheel bedrag worden ingevuld worden voor de 120 categorie" sqref="D6">
      <formula1>AND(J5=120,D6=ROUND(D6,0))</formula1>
    </dataValidation>
  </dataValidations>
  <printOptions/>
  <pageMargins left="0.3937007874015748" right="0.3937007874015748" top="0.7874015748031497" bottom="0.3937007874015748" header="0.5118110236220472" footer="0.5118110236220472"/>
  <pageSetup firstPageNumber="5" useFirstPageNumber="1" horizontalDpi="300" verticalDpi="300" orientation="landscape" paperSize="9" scale="86" r:id="rId2"/>
  <headerFooter alignWithMargins="0">
    <oddHeader>&amp;LAWBZ-BREED CALCULATIEMODEL RENTEKOSTEN 2010
&amp;R&amp;G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Admin95</dc:creator>
  <cp:keywords/>
  <dc:description/>
  <cp:lastModifiedBy>P.C. de Hollander - Bosman</cp:lastModifiedBy>
  <cp:lastPrinted>2011-01-26T10:26:51Z</cp:lastPrinted>
  <dcterms:created xsi:type="dcterms:W3CDTF">2000-02-23T15:17:24Z</dcterms:created>
  <dcterms:modified xsi:type="dcterms:W3CDTF">2011-02-04T11:15:37Z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THRFR6N5WDQ4-17-3269</vt:lpwstr>
  </property>
  <property fmtid="{D5CDD505-2E9C-101B-9397-08002B2CF9AE}" pid="4" name="_dlc_DocIdItemGu">
    <vt:lpwstr>39fd6df1-47aa-4229-b40c-4f1dc9b3a377</vt:lpwstr>
  </property>
  <property fmtid="{D5CDD505-2E9C-101B-9397-08002B2CF9AE}" pid="5" name="_dlc_DocIdU">
    <vt:lpwstr>http://kennisnet.nza.nl/publicaties/Aanleveren/_layouts/DocIdRedir.aspx?ID=THRFR6N5WDQ4-17-3269, THRFR6N5WDQ4-17-3269</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Alle:Geestelijke Gezondheidszorg|aac55fe0-d021-4665-8076-363545aab21d;Alle:Langdurige zorg:Gehandicaptenzorg|2825f16e-cd19-47cf-b940-f084053e3b91;Alle:Langdurige zorg:Ouderenzorg|8cffa657-26ae-44a0-a572-e0304e7752db;Alle:Langdurige zorg:Verpleging en verz</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Geestelijke Gezondheidszorg|aac55fe0-d021-4665-8076-363545aab21d;Gehandicaptenzorg|2825f16e-cd19-47cf-b940-f084053e3b91;Ouderenzorg|8cffa657-26ae-44a0-a572-e0304e7752db;Verpleging en verzorging|33367432-927b-4a96-adc1-6d221f5d18a9</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140;#Geestelijke Gezondheidszorg|aac55fe0-d021-4665-8076-363545aab21d;#132;#Gehandicaptenzorg|2825f16e-cd19-47cf-b940-f084053e3b91;#141;#Ouderenzorg|8cffa657-26ae-44a0-a572-e0304e7752db;#131;#Verpleging en verzorging|33367432-927b-4a96-adc1-6d221f5d18a9</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131;#Verpleging en verzorging|33367432-927b-4a96-adc1-6d221f5d18a9;#141;#Ouderenzorg|8cffa657-26ae-44a0-a572-e0304e7752db;#140;#Geestelijke Gezondheidszorg|aac55fe0-d021-4665-8076-363545aab21d;#103;#Formulier|4bc40415-667d-4fea-816d-9688ca6ffa69;#132;#Geh</vt:lpwstr>
  </property>
</Properties>
</file>